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1.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35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414.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DDDA089-EC36-4A9E-939E-C99666D5043B}" xr6:coauthVersionLast="47" xr6:coauthVersionMax="47" xr10:uidLastSave="{00000000-0000-0000-0000-000000000000}"/>
  <bookViews>
    <workbookView xWindow="-120" yWindow="-120" windowWidth="29040" windowHeight="15840" xr2:uid="{5E75C0B7-992B-4ABA-B0AC-6C4CA191E1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468" i="1" l="1"/>
  <c r="AU468" i="1"/>
  <c r="AV467" i="1"/>
  <c r="AU467" i="1"/>
  <c r="AT467" i="1"/>
  <c r="AV466" i="1"/>
  <c r="AU466" i="1"/>
  <c r="AV465" i="1"/>
  <c r="AU465" i="1"/>
  <c r="AT465" i="1"/>
  <c r="AV464" i="1"/>
  <c r="AU464" i="1"/>
  <c r="AV463" i="1"/>
  <c r="AU463" i="1"/>
  <c r="AT463" i="1"/>
  <c r="AV462" i="1"/>
  <c r="AU462" i="1"/>
  <c r="AT462" i="1"/>
  <c r="AV461" i="1"/>
  <c r="AU461" i="1"/>
  <c r="AT461" i="1"/>
  <c r="AV460" i="1"/>
  <c r="AU460" i="1"/>
  <c r="AV459" i="1"/>
  <c r="AU459" i="1"/>
  <c r="AT459" i="1"/>
  <c r="AV458" i="1"/>
  <c r="AU458" i="1"/>
  <c r="AV457" i="1"/>
  <c r="AU457" i="1"/>
  <c r="AV456" i="1"/>
  <c r="AU456" i="1"/>
  <c r="AT456" i="1"/>
  <c r="AV455" i="1"/>
  <c r="AU455" i="1"/>
  <c r="AT455" i="1"/>
  <c r="AV454" i="1"/>
  <c r="AU454" i="1"/>
  <c r="AT454" i="1"/>
  <c r="AV453" i="1"/>
  <c r="AU453" i="1"/>
  <c r="AV452" i="1"/>
  <c r="AU452" i="1"/>
  <c r="AV451" i="1"/>
  <c r="AU451" i="1"/>
  <c r="AV450" i="1"/>
  <c r="AU450" i="1"/>
  <c r="AT450" i="1"/>
  <c r="AV449" i="1"/>
  <c r="AU449" i="1"/>
  <c r="AV448" i="1"/>
  <c r="AU448" i="1"/>
  <c r="AV447" i="1"/>
  <c r="AU447" i="1"/>
  <c r="AV446" i="1"/>
  <c r="AU446" i="1"/>
  <c r="AT446" i="1"/>
  <c r="AV445" i="1"/>
  <c r="AU445" i="1"/>
  <c r="AT445" i="1"/>
  <c r="AV444" i="1"/>
  <c r="AU444" i="1"/>
  <c r="AT444" i="1"/>
  <c r="AV443" i="1"/>
  <c r="AU443" i="1"/>
  <c r="AT443" i="1"/>
  <c r="AV442" i="1"/>
  <c r="AU442" i="1"/>
  <c r="AV441" i="1"/>
  <c r="AU441" i="1"/>
  <c r="AT441" i="1"/>
  <c r="AV440" i="1"/>
  <c r="AU440" i="1"/>
  <c r="AV439" i="1"/>
  <c r="AU439" i="1"/>
  <c r="AT439" i="1"/>
  <c r="AV438" i="1"/>
  <c r="AU438" i="1"/>
  <c r="AT438" i="1"/>
  <c r="AV437" i="1"/>
  <c r="AU437" i="1"/>
  <c r="AT437" i="1"/>
  <c r="AV436" i="1"/>
  <c r="AU436" i="1"/>
  <c r="AT436" i="1"/>
  <c r="AV435" i="1"/>
  <c r="AU435" i="1"/>
  <c r="AT435" i="1"/>
  <c r="AV434" i="1"/>
  <c r="AU434" i="1"/>
  <c r="AV433" i="1"/>
  <c r="AU433" i="1"/>
  <c r="AV432" i="1"/>
  <c r="AU432" i="1"/>
  <c r="AT432" i="1"/>
  <c r="AV431" i="1"/>
  <c r="AU431" i="1"/>
  <c r="AT431" i="1"/>
  <c r="AV430" i="1"/>
  <c r="AU430" i="1"/>
  <c r="AV429" i="1"/>
  <c r="AU429" i="1"/>
  <c r="AV428" i="1"/>
  <c r="AU428" i="1"/>
  <c r="AT428" i="1"/>
  <c r="AV427" i="1"/>
  <c r="AU427" i="1"/>
  <c r="AV426" i="1"/>
  <c r="AU426" i="1"/>
  <c r="AV425" i="1"/>
  <c r="AU425" i="1"/>
  <c r="AT425" i="1"/>
  <c r="AV424" i="1"/>
  <c r="AU424" i="1"/>
  <c r="AT424" i="1"/>
  <c r="AV423" i="1"/>
  <c r="AU423" i="1"/>
  <c r="AT423" i="1"/>
  <c r="AV422" i="1"/>
  <c r="AU422" i="1"/>
  <c r="AT422" i="1"/>
  <c r="AV421" i="1"/>
  <c r="AU421" i="1"/>
  <c r="AV420" i="1"/>
  <c r="AU420" i="1"/>
  <c r="AT420" i="1"/>
  <c r="AV419" i="1"/>
  <c r="AU419" i="1"/>
  <c r="AV418" i="1"/>
  <c r="AU418" i="1"/>
  <c r="AT418" i="1"/>
  <c r="AV417" i="1"/>
  <c r="AU417" i="1"/>
  <c r="AT417" i="1"/>
  <c r="AV416" i="1"/>
  <c r="AU416" i="1"/>
  <c r="AV415" i="1"/>
  <c r="AU415" i="1"/>
  <c r="AT415" i="1"/>
  <c r="AV414" i="1"/>
  <c r="AU414" i="1"/>
  <c r="AT414" i="1"/>
  <c r="AV413" i="1"/>
  <c r="AU413" i="1"/>
  <c r="AT413" i="1"/>
  <c r="AV412" i="1"/>
  <c r="AU412" i="1"/>
  <c r="AT412" i="1"/>
  <c r="AV411" i="1"/>
  <c r="AU411" i="1"/>
  <c r="AT411" i="1"/>
  <c r="AV410" i="1"/>
  <c r="AU410" i="1"/>
  <c r="AV409" i="1"/>
  <c r="AU409" i="1"/>
  <c r="AV408" i="1"/>
  <c r="AU408" i="1"/>
  <c r="AT408" i="1"/>
  <c r="AV407" i="1"/>
  <c r="AU407" i="1"/>
  <c r="AV406" i="1"/>
  <c r="AU406" i="1"/>
  <c r="AT406" i="1"/>
  <c r="AV405" i="1"/>
  <c r="AU405" i="1"/>
  <c r="AT405" i="1"/>
  <c r="AV404" i="1"/>
  <c r="AU404" i="1"/>
  <c r="AT404" i="1"/>
  <c r="AV403" i="1"/>
  <c r="AU403" i="1"/>
  <c r="AT403" i="1"/>
  <c r="AV402" i="1"/>
  <c r="AU402" i="1"/>
  <c r="AV401" i="1"/>
  <c r="AU401" i="1"/>
  <c r="AV400" i="1"/>
  <c r="AU400" i="1"/>
  <c r="AT400" i="1"/>
  <c r="AV399" i="1"/>
  <c r="AU399" i="1"/>
  <c r="AT399" i="1"/>
  <c r="AV398" i="1"/>
  <c r="AU398" i="1"/>
  <c r="AT398" i="1"/>
  <c r="AV397" i="1"/>
  <c r="AU397" i="1"/>
  <c r="AT397" i="1"/>
  <c r="AV396" i="1"/>
  <c r="AU396" i="1"/>
  <c r="AV395" i="1"/>
  <c r="AU395" i="1"/>
  <c r="AV394" i="1"/>
  <c r="AU394" i="1"/>
  <c r="AV393" i="1"/>
  <c r="AU393" i="1"/>
  <c r="AV392" i="1"/>
  <c r="AU392" i="1"/>
  <c r="AT392" i="1"/>
  <c r="AV391" i="1"/>
  <c r="AU391" i="1"/>
  <c r="AV390" i="1"/>
  <c r="AU390" i="1"/>
  <c r="AT390" i="1"/>
  <c r="AV389" i="1"/>
  <c r="AU389" i="1"/>
  <c r="AT389" i="1"/>
  <c r="AV388" i="1"/>
  <c r="AU388" i="1"/>
  <c r="AT388" i="1"/>
  <c r="AV387" i="1"/>
  <c r="AU387" i="1"/>
  <c r="AT387" i="1"/>
  <c r="AV386" i="1"/>
  <c r="AU386" i="1"/>
  <c r="AT386" i="1"/>
  <c r="AV385" i="1"/>
  <c r="AU385" i="1"/>
  <c r="AT385" i="1"/>
  <c r="AV384" i="1"/>
  <c r="AU384" i="1"/>
  <c r="AT384" i="1"/>
  <c r="AV383" i="1"/>
  <c r="AU383" i="1"/>
  <c r="AV382" i="1"/>
  <c r="AU382" i="1"/>
  <c r="AV381" i="1"/>
  <c r="AU381" i="1"/>
  <c r="AT381" i="1"/>
  <c r="AV380" i="1"/>
  <c r="AU380" i="1"/>
  <c r="AT380" i="1"/>
  <c r="AV379" i="1"/>
  <c r="AU379" i="1"/>
  <c r="AV378" i="1"/>
  <c r="AU378" i="1"/>
  <c r="AV377" i="1"/>
  <c r="AU377" i="1"/>
  <c r="AT377" i="1"/>
  <c r="AV376" i="1"/>
  <c r="AU376" i="1"/>
  <c r="AT376" i="1"/>
  <c r="AV375" i="1"/>
  <c r="AU375" i="1"/>
  <c r="AT375" i="1"/>
  <c r="AV374" i="1"/>
  <c r="AU374" i="1"/>
  <c r="AV373" i="1"/>
  <c r="AU373" i="1"/>
  <c r="AT373" i="1"/>
  <c r="AV372" i="1"/>
  <c r="AU372" i="1"/>
  <c r="AT372" i="1"/>
  <c r="AV371" i="1"/>
  <c r="AU371" i="1"/>
  <c r="AT371" i="1"/>
  <c r="AV370" i="1"/>
  <c r="AU370" i="1"/>
  <c r="AV369" i="1"/>
  <c r="AU369" i="1"/>
  <c r="AV368" i="1"/>
  <c r="AU368" i="1"/>
  <c r="AT368" i="1"/>
  <c r="AV367" i="1"/>
  <c r="AU367" i="1"/>
  <c r="AV366" i="1"/>
  <c r="AU366" i="1"/>
  <c r="AV365" i="1"/>
  <c r="AU365" i="1"/>
  <c r="AV364" i="1"/>
  <c r="AU364" i="1"/>
  <c r="AT364" i="1"/>
  <c r="AV363" i="1"/>
  <c r="AU363" i="1"/>
  <c r="AT363" i="1"/>
  <c r="AV362" i="1"/>
  <c r="AU362" i="1"/>
  <c r="AV361" i="1"/>
  <c r="AU361" i="1"/>
  <c r="AV360" i="1"/>
  <c r="AU360" i="1"/>
  <c r="AT360" i="1"/>
  <c r="AV359" i="1"/>
  <c r="AU359" i="1"/>
  <c r="AV358" i="1"/>
  <c r="AU358" i="1"/>
  <c r="AT358" i="1"/>
  <c r="AV357" i="1"/>
  <c r="AU357" i="1"/>
  <c r="AV356" i="1"/>
  <c r="AU356" i="1"/>
  <c r="AV355" i="1"/>
  <c r="AU355" i="1"/>
  <c r="AV354" i="1"/>
  <c r="AU354" i="1"/>
  <c r="AT354" i="1"/>
  <c r="AV353" i="1"/>
  <c r="AU353" i="1"/>
  <c r="AV352" i="1"/>
  <c r="AU352" i="1"/>
  <c r="AV351" i="1"/>
  <c r="AU351" i="1"/>
  <c r="AV350" i="1"/>
  <c r="AU350" i="1"/>
  <c r="AT350" i="1"/>
  <c r="AV349" i="1"/>
  <c r="AU349" i="1"/>
  <c r="AT349" i="1"/>
  <c r="AV348" i="1"/>
  <c r="AU348" i="1"/>
  <c r="AT348" i="1"/>
  <c r="AV347" i="1"/>
  <c r="AU347" i="1"/>
  <c r="AV346" i="1"/>
  <c r="AU346" i="1"/>
  <c r="AV345" i="1"/>
  <c r="AU345" i="1"/>
  <c r="AV344" i="1"/>
  <c r="AU344" i="1"/>
  <c r="AV343" i="1"/>
  <c r="AU343" i="1"/>
  <c r="AV342" i="1"/>
  <c r="AU342" i="1"/>
  <c r="AV341" i="1"/>
  <c r="AU341" i="1"/>
  <c r="AT341" i="1"/>
  <c r="AV340" i="1"/>
  <c r="AU340" i="1"/>
  <c r="AV339" i="1"/>
  <c r="AU339" i="1"/>
  <c r="AV338" i="1"/>
  <c r="AU338" i="1"/>
  <c r="AT338" i="1"/>
  <c r="AV337" i="1"/>
  <c r="AU337" i="1"/>
  <c r="AV336" i="1"/>
  <c r="AU336" i="1"/>
  <c r="AT336" i="1"/>
  <c r="AV335" i="1"/>
  <c r="AU335" i="1"/>
  <c r="AV334" i="1"/>
  <c r="AU334" i="1"/>
  <c r="AT334" i="1"/>
  <c r="AV333" i="1"/>
  <c r="AU333" i="1"/>
  <c r="AT333" i="1"/>
  <c r="AV332" i="1"/>
  <c r="AU332" i="1"/>
  <c r="AV331" i="1"/>
  <c r="AU331" i="1"/>
  <c r="AT331" i="1"/>
  <c r="AV330" i="1"/>
  <c r="AU330" i="1"/>
  <c r="AT330" i="1"/>
  <c r="AV329" i="1"/>
  <c r="AU329" i="1"/>
  <c r="AT329" i="1"/>
  <c r="AV328" i="1"/>
  <c r="AU328" i="1"/>
  <c r="AV327" i="1"/>
  <c r="AU327" i="1"/>
  <c r="AV326" i="1"/>
  <c r="AU326" i="1"/>
  <c r="AV325" i="1"/>
  <c r="AU325" i="1"/>
  <c r="AT325" i="1"/>
  <c r="AV324" i="1"/>
  <c r="AU324" i="1"/>
  <c r="AT324" i="1"/>
  <c r="AV323" i="1"/>
  <c r="AU323" i="1"/>
  <c r="AT323" i="1"/>
  <c r="AV322" i="1"/>
  <c r="AU322" i="1"/>
  <c r="AT322" i="1"/>
  <c r="AV321" i="1"/>
  <c r="AU321" i="1"/>
  <c r="AV320" i="1"/>
  <c r="AU320" i="1"/>
  <c r="AV319" i="1"/>
  <c r="AU319" i="1"/>
  <c r="AT319" i="1"/>
  <c r="AV318" i="1"/>
  <c r="AU318" i="1"/>
  <c r="AT318" i="1"/>
  <c r="AV317" i="1"/>
  <c r="AU317" i="1"/>
  <c r="AT317" i="1"/>
  <c r="AV316" i="1"/>
  <c r="AU316" i="1"/>
  <c r="AV315" i="1"/>
  <c r="AU315" i="1"/>
  <c r="AT315" i="1"/>
  <c r="AV314" i="1"/>
  <c r="AU314" i="1"/>
  <c r="AV313" i="1"/>
  <c r="AU313" i="1"/>
  <c r="AT313" i="1"/>
  <c r="AV312" i="1"/>
  <c r="AU312" i="1"/>
  <c r="AV311" i="1"/>
  <c r="AU311" i="1"/>
  <c r="AT311" i="1"/>
  <c r="AV310" i="1"/>
  <c r="AU310" i="1"/>
  <c r="AT310" i="1"/>
  <c r="AV309" i="1"/>
  <c r="AU309" i="1"/>
  <c r="AT309" i="1"/>
  <c r="AV308" i="1"/>
  <c r="AU308" i="1"/>
  <c r="AT308" i="1"/>
  <c r="AV307" i="1"/>
  <c r="AU307" i="1"/>
  <c r="AT307" i="1"/>
  <c r="AV306" i="1"/>
  <c r="AU306" i="1"/>
  <c r="AV305" i="1"/>
  <c r="AU305" i="1"/>
  <c r="AT305" i="1"/>
  <c r="AV304" i="1"/>
  <c r="AU304" i="1"/>
  <c r="AT304" i="1"/>
  <c r="AV303" i="1"/>
  <c r="AU303" i="1"/>
  <c r="AT303" i="1"/>
  <c r="AV302" i="1"/>
  <c r="AU302" i="1"/>
  <c r="AV301" i="1"/>
  <c r="AU301" i="1"/>
  <c r="AT301" i="1"/>
  <c r="AV300" i="1"/>
  <c r="AU300" i="1"/>
  <c r="AT300" i="1"/>
  <c r="AV299" i="1"/>
  <c r="AU299" i="1"/>
  <c r="AT299" i="1"/>
  <c r="AV298" i="1"/>
  <c r="AU298" i="1"/>
  <c r="AT298" i="1"/>
  <c r="AV297" i="1"/>
  <c r="AU297" i="1"/>
  <c r="AV296" i="1"/>
  <c r="AU296" i="1"/>
  <c r="AV295" i="1"/>
  <c r="AU295" i="1"/>
  <c r="AV294" i="1"/>
  <c r="AU294" i="1"/>
  <c r="AV293" i="1"/>
  <c r="AU293" i="1"/>
  <c r="AT293" i="1"/>
  <c r="AV292" i="1"/>
  <c r="AU292" i="1"/>
  <c r="AT292" i="1"/>
  <c r="AV291" i="1"/>
  <c r="AU291" i="1"/>
  <c r="AT291" i="1"/>
  <c r="AV290" i="1"/>
  <c r="AU290" i="1"/>
  <c r="AT290" i="1"/>
  <c r="AV289" i="1"/>
  <c r="AU289" i="1"/>
  <c r="AT289" i="1"/>
  <c r="AV288" i="1"/>
  <c r="AU288" i="1"/>
  <c r="AT288" i="1"/>
  <c r="AV287" i="1"/>
  <c r="AU287" i="1"/>
  <c r="AT287" i="1"/>
  <c r="AV286" i="1"/>
  <c r="AU286" i="1"/>
  <c r="AV285" i="1"/>
  <c r="AU285" i="1"/>
  <c r="AV284" i="1"/>
  <c r="AU284" i="1"/>
  <c r="AT284" i="1"/>
  <c r="AV283" i="1"/>
  <c r="AU283" i="1"/>
  <c r="AV282" i="1"/>
  <c r="AU282" i="1"/>
  <c r="AT282" i="1"/>
  <c r="AV281" i="1"/>
  <c r="AU281" i="1"/>
  <c r="AT281" i="1"/>
  <c r="AV280" i="1"/>
  <c r="AU280" i="1"/>
  <c r="AT280" i="1"/>
  <c r="AV279" i="1"/>
  <c r="AU279" i="1"/>
  <c r="AT279" i="1"/>
  <c r="AV278" i="1"/>
  <c r="AU278" i="1"/>
  <c r="AT278" i="1"/>
  <c r="AV277" i="1"/>
  <c r="AU277" i="1"/>
  <c r="AT277" i="1"/>
  <c r="AV276" i="1"/>
  <c r="AU276" i="1"/>
  <c r="AV275" i="1"/>
  <c r="AU275" i="1"/>
  <c r="AV274" i="1"/>
  <c r="AU274" i="1"/>
  <c r="AV273" i="1"/>
  <c r="AU273" i="1"/>
  <c r="AT273" i="1"/>
  <c r="AV272" i="1"/>
  <c r="AU272" i="1"/>
  <c r="AV271" i="1"/>
  <c r="AU271" i="1"/>
  <c r="AV270" i="1"/>
  <c r="AU270" i="1"/>
  <c r="AV269" i="1"/>
  <c r="AU269" i="1"/>
  <c r="AV268" i="1"/>
  <c r="AU268" i="1"/>
  <c r="AV267" i="1"/>
  <c r="AU267" i="1"/>
  <c r="AV266" i="1"/>
  <c r="AU266" i="1"/>
  <c r="AT266" i="1"/>
  <c r="AV265" i="1"/>
  <c r="AU265" i="1"/>
  <c r="AV264" i="1"/>
  <c r="AU264" i="1"/>
  <c r="AV263" i="1"/>
  <c r="AU263" i="1"/>
  <c r="AT263" i="1"/>
  <c r="AV262" i="1"/>
  <c r="AU262" i="1"/>
  <c r="AT262" i="1"/>
  <c r="AV261" i="1"/>
  <c r="AU261" i="1"/>
  <c r="AV260" i="1"/>
  <c r="AU260" i="1"/>
  <c r="AT260" i="1"/>
  <c r="AV259" i="1"/>
  <c r="AU259" i="1"/>
  <c r="AT259" i="1"/>
  <c r="AV258" i="1"/>
  <c r="AU258" i="1"/>
  <c r="AT258" i="1"/>
  <c r="AV257" i="1"/>
  <c r="AU257" i="1"/>
  <c r="AT257" i="1"/>
  <c r="AV256" i="1"/>
  <c r="AU256" i="1"/>
  <c r="AV255" i="1"/>
  <c r="AU255" i="1"/>
  <c r="AV254" i="1"/>
  <c r="AU254" i="1"/>
  <c r="AV253" i="1"/>
  <c r="AU253" i="1"/>
  <c r="AT253" i="1"/>
  <c r="AV252" i="1"/>
  <c r="AU252" i="1"/>
  <c r="AT252" i="1"/>
  <c r="AV251" i="1"/>
  <c r="AU251" i="1"/>
  <c r="AT251" i="1"/>
  <c r="AV250" i="1"/>
  <c r="AU250" i="1"/>
  <c r="AT250" i="1"/>
  <c r="AV249" i="1"/>
  <c r="AU249" i="1"/>
  <c r="AV248" i="1"/>
  <c r="AU248" i="1"/>
  <c r="AV247" i="1"/>
  <c r="AU247" i="1"/>
  <c r="AT247" i="1"/>
  <c r="AV246" i="1"/>
  <c r="AU246" i="1"/>
  <c r="AV245" i="1"/>
  <c r="AU245" i="1"/>
  <c r="AT245" i="1"/>
  <c r="AV244" i="1"/>
  <c r="AU244" i="1"/>
  <c r="AT244" i="1"/>
  <c r="AV243" i="1"/>
  <c r="AU243" i="1"/>
  <c r="AT243" i="1"/>
  <c r="AV242" i="1"/>
  <c r="AU242" i="1"/>
  <c r="AV241" i="1"/>
  <c r="AU241" i="1"/>
  <c r="AT241" i="1"/>
  <c r="AV240" i="1"/>
  <c r="AU240" i="1"/>
  <c r="AT240" i="1"/>
  <c r="AV239" i="1"/>
  <c r="AU239" i="1"/>
  <c r="AT239" i="1"/>
  <c r="AV238" i="1"/>
  <c r="AU238" i="1"/>
  <c r="AT238" i="1"/>
  <c r="AV237" i="1"/>
  <c r="AU237" i="1"/>
  <c r="AV236" i="1"/>
  <c r="AU236" i="1"/>
  <c r="AT236" i="1"/>
  <c r="AV235" i="1"/>
  <c r="AU235" i="1"/>
  <c r="AV234" i="1"/>
  <c r="AU234" i="1"/>
  <c r="AT234" i="1"/>
  <c r="AV233" i="1"/>
  <c r="AU233" i="1"/>
  <c r="AT233" i="1"/>
  <c r="AV232" i="1"/>
  <c r="AU232" i="1"/>
  <c r="AT232" i="1"/>
  <c r="AV231" i="1"/>
  <c r="AU231" i="1"/>
  <c r="AV230" i="1"/>
  <c r="AU230" i="1"/>
  <c r="AV229" i="1"/>
  <c r="AU229" i="1"/>
  <c r="AT229" i="1"/>
  <c r="AV228" i="1"/>
  <c r="AU228" i="1"/>
  <c r="AT228" i="1"/>
  <c r="AV227" i="1"/>
  <c r="AU227" i="1"/>
  <c r="AT227" i="1"/>
  <c r="AV226" i="1"/>
  <c r="AU226" i="1"/>
  <c r="AT226" i="1"/>
  <c r="AV225" i="1"/>
  <c r="AU225" i="1"/>
  <c r="AT225" i="1"/>
  <c r="AV224" i="1"/>
  <c r="AU224" i="1"/>
  <c r="AT224" i="1"/>
  <c r="AV223" i="1"/>
  <c r="AU223" i="1"/>
  <c r="AT223" i="1"/>
  <c r="AV222" i="1"/>
  <c r="AU222" i="1"/>
  <c r="AT222" i="1"/>
  <c r="AV221" i="1"/>
  <c r="AU221" i="1"/>
  <c r="AV220" i="1"/>
  <c r="AU220" i="1"/>
  <c r="AT220" i="1"/>
  <c r="AV219" i="1"/>
  <c r="AU219" i="1"/>
  <c r="AV218" i="1"/>
  <c r="AU218" i="1"/>
  <c r="AV217" i="1"/>
  <c r="AU217" i="1"/>
  <c r="AV216" i="1"/>
  <c r="AU216" i="1"/>
  <c r="AT216" i="1"/>
  <c r="AV215" i="1"/>
  <c r="AU215" i="1"/>
  <c r="AV214" i="1"/>
  <c r="AU214" i="1"/>
  <c r="AT214" i="1"/>
  <c r="AV213" i="1"/>
  <c r="AU213" i="1"/>
  <c r="AV212" i="1"/>
  <c r="AU212" i="1"/>
  <c r="AT212" i="1"/>
  <c r="AV211" i="1"/>
  <c r="AU211" i="1"/>
  <c r="AT211" i="1"/>
  <c r="AV210" i="1"/>
  <c r="AU210" i="1"/>
  <c r="AT210" i="1"/>
  <c r="AV209" i="1"/>
  <c r="AU209" i="1"/>
  <c r="AV208" i="1"/>
  <c r="AU208" i="1"/>
  <c r="AT208" i="1"/>
  <c r="AV207" i="1"/>
  <c r="AU207" i="1"/>
  <c r="AV206" i="1"/>
  <c r="AU206" i="1"/>
  <c r="AV205" i="1"/>
  <c r="AU205" i="1"/>
  <c r="AV204" i="1"/>
  <c r="AU204" i="1"/>
  <c r="AT204" i="1"/>
  <c r="AV203" i="1"/>
  <c r="AU203" i="1"/>
  <c r="AV202" i="1"/>
  <c r="AU202" i="1"/>
  <c r="AT202" i="1"/>
  <c r="AV201" i="1"/>
  <c r="AU201" i="1"/>
  <c r="AT201" i="1"/>
  <c r="AV200" i="1"/>
  <c r="AU200" i="1"/>
  <c r="AT200" i="1"/>
  <c r="AV199" i="1"/>
  <c r="AU199" i="1"/>
  <c r="AV198" i="1"/>
  <c r="AU198" i="1"/>
  <c r="AT198" i="1"/>
  <c r="AV197" i="1"/>
  <c r="AU197" i="1"/>
  <c r="AT197" i="1"/>
  <c r="AV196" i="1"/>
  <c r="AU196" i="1"/>
  <c r="AT196" i="1"/>
  <c r="AV195" i="1"/>
  <c r="AU195" i="1"/>
  <c r="AT195" i="1"/>
  <c r="AV194" i="1"/>
  <c r="AU194" i="1"/>
  <c r="AT194" i="1"/>
  <c r="AV193" i="1"/>
  <c r="AU193" i="1"/>
  <c r="AV192" i="1"/>
  <c r="AU192" i="1"/>
  <c r="AT192" i="1"/>
  <c r="AV191" i="1"/>
  <c r="AU191" i="1"/>
  <c r="AV190" i="1"/>
  <c r="AU190" i="1"/>
  <c r="AV189" i="1"/>
  <c r="AU189" i="1"/>
  <c r="AV188" i="1"/>
  <c r="AU188" i="1"/>
  <c r="AV187" i="1"/>
  <c r="AU187" i="1"/>
  <c r="AT187" i="1"/>
  <c r="AV186" i="1"/>
  <c r="AU186" i="1"/>
  <c r="AT186" i="1"/>
  <c r="AV185" i="1"/>
  <c r="AU185" i="1"/>
  <c r="AT185" i="1"/>
  <c r="AV184" i="1"/>
  <c r="AU184" i="1"/>
  <c r="AT184" i="1"/>
  <c r="AV183" i="1"/>
  <c r="AU183" i="1"/>
  <c r="AV182" i="1"/>
  <c r="AU182" i="1"/>
  <c r="AV181" i="1"/>
  <c r="AU181" i="1"/>
  <c r="AT181" i="1"/>
  <c r="AV180" i="1"/>
  <c r="AU180" i="1"/>
  <c r="AV179" i="1"/>
  <c r="AU179" i="1"/>
  <c r="AV178" i="1"/>
  <c r="AU178" i="1"/>
  <c r="AT178" i="1"/>
  <c r="AV177" i="1"/>
  <c r="AU177" i="1"/>
  <c r="AT177" i="1"/>
  <c r="AV176" i="1"/>
  <c r="AU176" i="1"/>
  <c r="AT176" i="1"/>
  <c r="AV175" i="1"/>
  <c r="AU175" i="1"/>
  <c r="AV174" i="1"/>
  <c r="AU174" i="1"/>
  <c r="AT174" i="1"/>
  <c r="AV173" i="1"/>
  <c r="AU173" i="1"/>
  <c r="AT173" i="1"/>
  <c r="AV172" i="1"/>
  <c r="AU172" i="1"/>
  <c r="AT172" i="1"/>
  <c r="AV171" i="1"/>
  <c r="AU171" i="1"/>
  <c r="AV170" i="1"/>
  <c r="AU170" i="1"/>
  <c r="AT170" i="1"/>
  <c r="AV169" i="1"/>
  <c r="AU169" i="1"/>
  <c r="AT169" i="1"/>
  <c r="AV168" i="1"/>
  <c r="AU168" i="1"/>
  <c r="AV167" i="1"/>
  <c r="AU167" i="1"/>
  <c r="AV166" i="1"/>
  <c r="AU166" i="1"/>
  <c r="AT166" i="1"/>
  <c r="AV165" i="1"/>
  <c r="AU165" i="1"/>
  <c r="AV164" i="1"/>
  <c r="AU164" i="1"/>
  <c r="AT164" i="1"/>
  <c r="AV163" i="1"/>
  <c r="AU163" i="1"/>
  <c r="AV162" i="1"/>
  <c r="AU162" i="1"/>
  <c r="AV161" i="1"/>
  <c r="AU161" i="1"/>
  <c r="AV160" i="1"/>
  <c r="AU160" i="1"/>
  <c r="AT160" i="1"/>
  <c r="AV159" i="1"/>
  <c r="AU159" i="1"/>
  <c r="AT159" i="1"/>
  <c r="AV158" i="1"/>
  <c r="AU158" i="1"/>
  <c r="AV157" i="1"/>
  <c r="AU157" i="1"/>
  <c r="AT157" i="1"/>
  <c r="AV156" i="1"/>
  <c r="AU156" i="1"/>
  <c r="AV155" i="1"/>
  <c r="AU155" i="1"/>
  <c r="AV154" i="1"/>
  <c r="AU154" i="1"/>
  <c r="AV153" i="1"/>
  <c r="AU153" i="1"/>
  <c r="AT153" i="1"/>
  <c r="AV152" i="1"/>
  <c r="AU152" i="1"/>
  <c r="AT152" i="1"/>
  <c r="AV151" i="1"/>
  <c r="AU151" i="1"/>
  <c r="AT151" i="1"/>
  <c r="AV150" i="1"/>
  <c r="AU150" i="1"/>
  <c r="AV149" i="1"/>
  <c r="AU149" i="1"/>
  <c r="AT149" i="1"/>
  <c r="AV148" i="1"/>
  <c r="AU148" i="1"/>
  <c r="AT148" i="1"/>
  <c r="AV147" i="1"/>
  <c r="AU147" i="1"/>
  <c r="AT147" i="1"/>
  <c r="AV146" i="1"/>
  <c r="AU146" i="1"/>
  <c r="AV145" i="1"/>
  <c r="AU145" i="1"/>
  <c r="AT145" i="1"/>
  <c r="AV144" i="1"/>
  <c r="AU144" i="1"/>
  <c r="AT144" i="1"/>
  <c r="AV143" i="1"/>
  <c r="AU143" i="1"/>
  <c r="AT143" i="1"/>
  <c r="AV142" i="1"/>
  <c r="AU142" i="1"/>
  <c r="AV141" i="1"/>
  <c r="AU141" i="1"/>
  <c r="AT141" i="1"/>
  <c r="AV140" i="1"/>
  <c r="AU140" i="1"/>
  <c r="AT140" i="1"/>
  <c r="AV139" i="1"/>
  <c r="AU139" i="1"/>
  <c r="AV138" i="1"/>
  <c r="AU138" i="1"/>
  <c r="AV137" i="1"/>
  <c r="AU137" i="1"/>
  <c r="AT137" i="1"/>
  <c r="AV136" i="1"/>
  <c r="AU136" i="1"/>
  <c r="AT136" i="1"/>
  <c r="AV135" i="1"/>
  <c r="AU135" i="1"/>
  <c r="AV134" i="1"/>
  <c r="AU134" i="1"/>
  <c r="AV133" i="1"/>
  <c r="AU133" i="1"/>
  <c r="AV132" i="1"/>
  <c r="AU132" i="1"/>
  <c r="AT132" i="1"/>
  <c r="AV131" i="1"/>
  <c r="AU131" i="1"/>
  <c r="AV130" i="1"/>
  <c r="AU130" i="1"/>
  <c r="AV129" i="1"/>
  <c r="AU129" i="1"/>
  <c r="AT129" i="1"/>
  <c r="AV128" i="1"/>
  <c r="AU128" i="1"/>
  <c r="AT128" i="1"/>
  <c r="AV127" i="1"/>
  <c r="AU127" i="1"/>
  <c r="AT127" i="1"/>
  <c r="AV126" i="1"/>
  <c r="AU126" i="1"/>
  <c r="AV125" i="1"/>
  <c r="AU125" i="1"/>
  <c r="AT125" i="1"/>
  <c r="AV124" i="1"/>
  <c r="AU124" i="1"/>
  <c r="AT124" i="1"/>
  <c r="AV123" i="1"/>
  <c r="AU123" i="1"/>
  <c r="AT123" i="1"/>
  <c r="AV122" i="1"/>
  <c r="AU122" i="1"/>
  <c r="AV121" i="1"/>
  <c r="AU121" i="1"/>
  <c r="AV120" i="1"/>
  <c r="AU120" i="1"/>
  <c r="AT120" i="1"/>
  <c r="AV119" i="1"/>
  <c r="AU119" i="1"/>
  <c r="AV118" i="1"/>
  <c r="AU118" i="1"/>
  <c r="AV117" i="1"/>
  <c r="AU117" i="1"/>
  <c r="AT117" i="1"/>
  <c r="AV116" i="1"/>
  <c r="AU116" i="1"/>
  <c r="AT116" i="1"/>
  <c r="AV115" i="1"/>
  <c r="AU115" i="1"/>
  <c r="AV114" i="1"/>
  <c r="AU114" i="1"/>
  <c r="AV113" i="1"/>
  <c r="AU113" i="1"/>
  <c r="AT113" i="1"/>
  <c r="AV112" i="1"/>
  <c r="AU112" i="1"/>
  <c r="AT112" i="1"/>
  <c r="AV111" i="1"/>
  <c r="AU111" i="1"/>
  <c r="AV110" i="1"/>
  <c r="AU110" i="1"/>
  <c r="AT110" i="1"/>
  <c r="AV109" i="1"/>
  <c r="AU109" i="1"/>
  <c r="AT109" i="1"/>
  <c r="AV108" i="1"/>
  <c r="AU108" i="1"/>
  <c r="AT108" i="1"/>
  <c r="AV107" i="1"/>
  <c r="AU107" i="1"/>
  <c r="AT107" i="1"/>
  <c r="AV106" i="1"/>
  <c r="AU106" i="1"/>
  <c r="AT106" i="1"/>
  <c r="AV105" i="1"/>
  <c r="AU105" i="1"/>
  <c r="AV104" i="1"/>
  <c r="AU104" i="1"/>
  <c r="AV103" i="1"/>
  <c r="AU103" i="1"/>
  <c r="AT103" i="1"/>
  <c r="AV102" i="1"/>
  <c r="AU102" i="1"/>
  <c r="AT102" i="1"/>
  <c r="AV101" i="1"/>
  <c r="AU101" i="1"/>
  <c r="AV100" i="1"/>
  <c r="AU100" i="1"/>
  <c r="AV99" i="1"/>
  <c r="AU99" i="1"/>
  <c r="AV98" i="1"/>
  <c r="AU98" i="1"/>
  <c r="AT98" i="1"/>
  <c r="AV97" i="1"/>
  <c r="AU97" i="1"/>
  <c r="AV96" i="1"/>
  <c r="AU96" i="1"/>
  <c r="AT96" i="1"/>
  <c r="AV95" i="1"/>
  <c r="AU95" i="1"/>
  <c r="AV94" i="1"/>
  <c r="AU94" i="1"/>
  <c r="AV93" i="1"/>
  <c r="AU93" i="1"/>
  <c r="AV92" i="1"/>
  <c r="AU92" i="1"/>
  <c r="AT92" i="1"/>
  <c r="AV91" i="1"/>
  <c r="AU91" i="1"/>
  <c r="AV90" i="1"/>
  <c r="AU90" i="1"/>
  <c r="AV89" i="1"/>
  <c r="AU89" i="1"/>
  <c r="AV88" i="1"/>
  <c r="AU88" i="1"/>
  <c r="AT88" i="1"/>
  <c r="AV87" i="1"/>
  <c r="AU87" i="1"/>
  <c r="AV86" i="1"/>
  <c r="AU86" i="1"/>
  <c r="AV85" i="1"/>
  <c r="AU85" i="1"/>
  <c r="AV84" i="1"/>
  <c r="AU84" i="1"/>
  <c r="AV83" i="1"/>
  <c r="AU83" i="1"/>
  <c r="AT83" i="1"/>
  <c r="AV82" i="1"/>
  <c r="AU82" i="1"/>
  <c r="AT82" i="1"/>
  <c r="AV81" i="1"/>
  <c r="AU81" i="1"/>
  <c r="AT81" i="1"/>
  <c r="AV80" i="1"/>
  <c r="AU80" i="1"/>
  <c r="AV79" i="1"/>
  <c r="AU79" i="1"/>
  <c r="AV78" i="1"/>
  <c r="AU78" i="1"/>
  <c r="AV77" i="1"/>
  <c r="AU77" i="1"/>
  <c r="AT77" i="1"/>
  <c r="AV76" i="1"/>
  <c r="AU76" i="1"/>
  <c r="AT76" i="1"/>
  <c r="AV75" i="1"/>
  <c r="AU75" i="1"/>
  <c r="AV74" i="1"/>
  <c r="AU74" i="1"/>
  <c r="AT74" i="1"/>
  <c r="AV73" i="1"/>
  <c r="AU73" i="1"/>
  <c r="AV72" i="1"/>
  <c r="AU72" i="1"/>
  <c r="AV71" i="1"/>
  <c r="AU71" i="1"/>
  <c r="AV70" i="1"/>
  <c r="AU70" i="1"/>
  <c r="AV69" i="1"/>
  <c r="AU69" i="1"/>
  <c r="AV68" i="1"/>
  <c r="AU68" i="1"/>
  <c r="AT68" i="1"/>
  <c r="AV67" i="1"/>
  <c r="AU67" i="1"/>
  <c r="AT67" i="1"/>
  <c r="AV66" i="1"/>
  <c r="AU66" i="1"/>
  <c r="AV65" i="1"/>
  <c r="AU65" i="1"/>
  <c r="AV64" i="1"/>
  <c r="AU64" i="1"/>
  <c r="AV63" i="1"/>
  <c r="AU63" i="1"/>
  <c r="AV62" i="1"/>
  <c r="AU62" i="1"/>
  <c r="AT62" i="1"/>
  <c r="AV61" i="1"/>
  <c r="AU61" i="1"/>
  <c r="AT61" i="1"/>
  <c r="AV60" i="1"/>
  <c r="AU60" i="1"/>
  <c r="AV59" i="1"/>
  <c r="AU59" i="1"/>
  <c r="AT59" i="1"/>
  <c r="AV58" i="1"/>
  <c r="AU58" i="1"/>
  <c r="AV57" i="1"/>
  <c r="AU57" i="1"/>
  <c r="AV56" i="1"/>
  <c r="AU56" i="1"/>
  <c r="AT56" i="1"/>
  <c r="AV55" i="1"/>
  <c r="AU55" i="1"/>
  <c r="AV54" i="1"/>
  <c r="AU54" i="1"/>
  <c r="AT54" i="1"/>
  <c r="AV53" i="1"/>
  <c r="AU53" i="1"/>
  <c r="AV52" i="1"/>
  <c r="AU52" i="1"/>
  <c r="AT52" i="1"/>
  <c r="AV51" i="1"/>
  <c r="AU51" i="1"/>
  <c r="AT51" i="1"/>
  <c r="AV50" i="1"/>
  <c r="AU50" i="1"/>
  <c r="AV49" i="1"/>
  <c r="AU49" i="1"/>
  <c r="AV48" i="1"/>
  <c r="AU48" i="1"/>
  <c r="AV47" i="1"/>
  <c r="AU47" i="1"/>
  <c r="AT47" i="1"/>
  <c r="AV46" i="1"/>
  <c r="AU46" i="1"/>
  <c r="AV45" i="1"/>
  <c r="AU45" i="1"/>
  <c r="AT45" i="1"/>
  <c r="AV44" i="1"/>
  <c r="AU44" i="1"/>
  <c r="AV43" i="1"/>
  <c r="AU43" i="1"/>
  <c r="AV42" i="1"/>
  <c r="AU42" i="1"/>
  <c r="AV41" i="1"/>
  <c r="AU41" i="1"/>
  <c r="AT41" i="1"/>
  <c r="AV40" i="1"/>
  <c r="AU40" i="1"/>
  <c r="AT40" i="1"/>
  <c r="AV39" i="1"/>
  <c r="AU39" i="1"/>
  <c r="AT39" i="1"/>
  <c r="AV38" i="1"/>
  <c r="AU38" i="1"/>
  <c r="AV37" i="1"/>
  <c r="AU37" i="1"/>
  <c r="AV36" i="1"/>
  <c r="AU36" i="1"/>
  <c r="AT36" i="1"/>
  <c r="AV35" i="1"/>
  <c r="AU35" i="1"/>
  <c r="AT35" i="1"/>
  <c r="AV34" i="1"/>
  <c r="AU34" i="1"/>
  <c r="AV33" i="1"/>
  <c r="AU33" i="1"/>
  <c r="AT33" i="1"/>
  <c r="AV32" i="1"/>
  <c r="AU32" i="1"/>
  <c r="AT32" i="1"/>
  <c r="AV31" i="1"/>
  <c r="AU31" i="1"/>
  <c r="AT31" i="1"/>
  <c r="AV30" i="1"/>
  <c r="AU30" i="1"/>
  <c r="AV29" i="1"/>
  <c r="AU29" i="1"/>
  <c r="AT29" i="1"/>
  <c r="AV28" i="1"/>
  <c r="AU28" i="1"/>
  <c r="AT28" i="1"/>
  <c r="AV27" i="1"/>
  <c r="AU27" i="1"/>
  <c r="AT27" i="1"/>
  <c r="AV26" i="1"/>
  <c r="AU26" i="1"/>
  <c r="AV25" i="1"/>
  <c r="AU25" i="1"/>
  <c r="AT25" i="1"/>
  <c r="AV24" i="1"/>
  <c r="AU24" i="1"/>
  <c r="AT24" i="1"/>
  <c r="AV23" i="1"/>
  <c r="AU23" i="1"/>
  <c r="AT23" i="1"/>
  <c r="AV22" i="1"/>
  <c r="AU22" i="1"/>
  <c r="AT22" i="1"/>
  <c r="AV21" i="1"/>
  <c r="AU21" i="1"/>
  <c r="AT21" i="1"/>
  <c r="AV20" i="1"/>
  <c r="AU20" i="1"/>
  <c r="AT20" i="1"/>
  <c r="AV19" i="1"/>
  <c r="AU19" i="1"/>
  <c r="AV18" i="1"/>
  <c r="AU18" i="1"/>
  <c r="AT18" i="1"/>
  <c r="AV17" i="1"/>
  <c r="AU17" i="1"/>
  <c r="AT17" i="1"/>
  <c r="AV16" i="1"/>
  <c r="AU16" i="1"/>
  <c r="AV15" i="1"/>
  <c r="AU15" i="1"/>
  <c r="AT15" i="1"/>
  <c r="AV14" i="1"/>
  <c r="AU14" i="1"/>
  <c r="AV13" i="1"/>
  <c r="AU13" i="1"/>
  <c r="AV12" i="1"/>
  <c r="AU12" i="1"/>
  <c r="AT12" i="1"/>
  <c r="AV11" i="1"/>
  <c r="AU11" i="1"/>
  <c r="AV10" i="1"/>
  <c r="AU10" i="1"/>
  <c r="AV9" i="1"/>
  <c r="AU9" i="1"/>
  <c r="AT9" i="1"/>
  <c r="AV8" i="1"/>
  <c r="AU8" i="1"/>
  <c r="AT8" i="1"/>
  <c r="AV7" i="1"/>
  <c r="AU7" i="1"/>
  <c r="AT7" i="1"/>
  <c r="AV6" i="1"/>
  <c r="AU6" i="1"/>
  <c r="AT6" i="1"/>
  <c r="AV5" i="1"/>
  <c r="AU5" i="1"/>
  <c r="AT5" i="1"/>
  <c r="AV4" i="1"/>
  <c r="AU4" i="1"/>
  <c r="AT4" i="1"/>
  <c r="AV3" i="1"/>
  <c r="AU3" i="1"/>
  <c r="AT3" i="1"/>
  <c r="AV2" i="1"/>
  <c r="AU2" i="1"/>
  <c r="AT2" i="1"/>
</calcChain>
</file>

<file path=xl/sharedStrings.xml><?xml version="1.0" encoding="utf-8"?>
<sst xmlns="http://schemas.openxmlformats.org/spreadsheetml/2006/main" count="14551" uniqueCount="6356">
  <si>
    <t>CURAL</t>
  </si>
  <si>
    <t>SHELVES</t>
  </si>
  <si>
    <t>K1 .C3</t>
  </si>
  <si>
    <t>0                      K  0001000C  3</t>
  </si>
  <si>
    <t>Legal philosophy from Plato to Hegel / by Huntington Cairns.</t>
  </si>
  <si>
    <t>No</t>
  </si>
  <si>
    <t>1</t>
  </si>
  <si>
    <t>0</t>
  </si>
  <si>
    <t>Cairns, Huntington, 1904-1985.</t>
  </si>
  <si>
    <t>Baltimore, Johns Hopkins Press [1949]</t>
  </si>
  <si>
    <t>1949</t>
  </si>
  <si>
    <t>eng</t>
  </si>
  <si>
    <t xml:space="preserve">xx </t>
  </si>
  <si>
    <t xml:space="preserve">K  </t>
  </si>
  <si>
    <t>1999-04-08</t>
  </si>
  <si>
    <t>1992-06-12</t>
  </si>
  <si>
    <t>Yes</t>
  </si>
  <si>
    <t>112821699:eng</t>
  </si>
  <si>
    <t>497360</t>
  </si>
  <si>
    <t>991004229159702656</t>
  </si>
  <si>
    <t>2261146480002656</t>
  </si>
  <si>
    <t>BOOK</t>
  </si>
  <si>
    <t>32285001174571</t>
  </si>
  <si>
    <t>893429809</t>
  </si>
  <si>
    <t>K1420.5 .P6</t>
  </si>
  <si>
    <t>0                      K  1420500P  6</t>
  </si>
  <si>
    <t>Copyright : intellectual property in the information age / Edward W. Ploman and L. Clark Hamilton.</t>
  </si>
  <si>
    <t>Ploman, Edward W., 1926-</t>
  </si>
  <si>
    <t>London ; Boston : Routledge &amp; Kegan Paul, 1980.</t>
  </si>
  <si>
    <t>1980</t>
  </si>
  <si>
    <t>enk</t>
  </si>
  <si>
    <t>2004-12-11</t>
  </si>
  <si>
    <t>1992-06-11</t>
  </si>
  <si>
    <t>889388595:eng</t>
  </si>
  <si>
    <t>6953622</t>
  </si>
  <si>
    <t>991005065709702656</t>
  </si>
  <si>
    <t>2258025140002656</t>
  </si>
  <si>
    <t>9780710005397</t>
  </si>
  <si>
    <t>32285001171106</t>
  </si>
  <si>
    <t>893513971</t>
  </si>
  <si>
    <t>K150 .W37 1985</t>
  </si>
  <si>
    <t>0                      K  0150000W  37          1985</t>
  </si>
  <si>
    <t>The evolution of law / Alan Watson.</t>
  </si>
  <si>
    <t>Watson, Alan, 1933-2018.</t>
  </si>
  <si>
    <t>Baltimore : Johns Hopkins University Press, 1985.</t>
  </si>
  <si>
    <t>1985</t>
  </si>
  <si>
    <t>mdu</t>
  </si>
  <si>
    <t>2002-10-22</t>
  </si>
  <si>
    <t>1990-03-05</t>
  </si>
  <si>
    <t>903663:eng</t>
  </si>
  <si>
    <t>11235823</t>
  </si>
  <si>
    <t>991000510749702656</t>
  </si>
  <si>
    <t>2257139060002656</t>
  </si>
  <si>
    <t>9780801825040</t>
  </si>
  <si>
    <t>32285000077536</t>
  </si>
  <si>
    <t>893871733</t>
  </si>
  <si>
    <t>K150 .Z35</t>
  </si>
  <si>
    <t>0                      K  0150000Z  35</t>
  </si>
  <si>
    <t>The story of law. With an introduction by James M. Beck.</t>
  </si>
  <si>
    <t>Zane, John Maxcy, 1863-1937.</t>
  </si>
  <si>
    <t>Garden City, N. Y., Garden City Pub. Co. [c1927]</t>
  </si>
  <si>
    <t>1927</t>
  </si>
  <si>
    <t>___</t>
  </si>
  <si>
    <t>2004-08-23</t>
  </si>
  <si>
    <t>638801:eng</t>
  </si>
  <si>
    <t>406940</t>
  </si>
  <si>
    <t>991002705599702656</t>
  </si>
  <si>
    <t>2261121610002656</t>
  </si>
  <si>
    <t>32285001170108</t>
  </si>
  <si>
    <t>893792809</t>
  </si>
  <si>
    <t>K190 .P6</t>
  </si>
  <si>
    <t>0                      K  0190000P  6</t>
  </si>
  <si>
    <t>Anthropology of law: a comparative theory [by] Leopold Pospíšil.</t>
  </si>
  <si>
    <t>Pospisil, Leopold J.</t>
  </si>
  <si>
    <t>New York, Harper &amp; Row [1971]</t>
  </si>
  <si>
    <t>1971</t>
  </si>
  <si>
    <t>nyu</t>
  </si>
  <si>
    <t>2002-11-19</t>
  </si>
  <si>
    <t>2005-06-29</t>
  </si>
  <si>
    <t>292446922:eng</t>
  </si>
  <si>
    <t>198494</t>
  </si>
  <si>
    <t>991001786379702656</t>
  </si>
  <si>
    <t>2271415760002656</t>
  </si>
  <si>
    <t>9780060452476</t>
  </si>
  <si>
    <t>32285001174555</t>
  </si>
  <si>
    <t>893497374</t>
  </si>
  <si>
    <t>K2100 .L48 1992</t>
  </si>
  <si>
    <t>0                      K  2100000L  48          1992</t>
  </si>
  <si>
    <t>How judges reason : the logic of adjudication / Joel Levin.</t>
  </si>
  <si>
    <t>Levin, Joel, 1951-</t>
  </si>
  <si>
    <t>New York : P. Lang, c1992.</t>
  </si>
  <si>
    <t>1992</t>
  </si>
  <si>
    <t>2010-04-26</t>
  </si>
  <si>
    <t>1993-03-25</t>
  </si>
  <si>
    <t>1993-07-21</t>
  </si>
  <si>
    <t>141655032:eng</t>
  </si>
  <si>
    <t>24668078</t>
  </si>
  <si>
    <t>991001650799702656</t>
  </si>
  <si>
    <t>2256805700002656</t>
  </si>
  <si>
    <t>9780820415499</t>
  </si>
  <si>
    <t>32285001498574</t>
  </si>
  <si>
    <t>893250361</t>
  </si>
  <si>
    <t>K215 .E5</t>
  </si>
  <si>
    <t>0                      K  0215000E  5</t>
  </si>
  <si>
    <t>Law and philosophy; readings in legal philosophy.</t>
  </si>
  <si>
    <t>Kent, Edward, 1933-, compiler.</t>
  </si>
  <si>
    <t>New York, Appleton-Century-Crofts [c1970]</t>
  </si>
  <si>
    <t>1970</t>
  </si>
  <si>
    <t>The Century philosophy series</t>
  </si>
  <si>
    <t>2004-06-09</t>
  </si>
  <si>
    <t>1992-02-21</t>
  </si>
  <si>
    <t>155145669:eng</t>
  </si>
  <si>
    <t>141887</t>
  </si>
  <si>
    <t>991000814489702656</t>
  </si>
  <si>
    <t>2255039450002656</t>
  </si>
  <si>
    <t>9780390504418</t>
  </si>
  <si>
    <t>32285000973163</t>
  </si>
  <si>
    <t>893522045</t>
  </si>
  <si>
    <t>K226 .M6 1959</t>
  </si>
  <si>
    <t>0                      K  0226000M  6           1959</t>
  </si>
  <si>
    <t>The great legal philosophers : selected readings in jurisprudence.</t>
  </si>
  <si>
    <t>Morris, Clarence, 1903-, editor.</t>
  </si>
  <si>
    <t>Philadelphia, University of Pennsylvania Press [1959]</t>
  </si>
  <si>
    <t>1959</t>
  </si>
  <si>
    <t>pau</t>
  </si>
  <si>
    <t>1997-09-02</t>
  </si>
  <si>
    <t>54016563:eng</t>
  </si>
  <si>
    <t>505823</t>
  </si>
  <si>
    <t>991002881369702656</t>
  </si>
  <si>
    <t>2263566300002656</t>
  </si>
  <si>
    <t>32285003161857</t>
  </si>
  <si>
    <t>893774143</t>
  </si>
  <si>
    <t>K230 .K44</t>
  </si>
  <si>
    <t>0                      K  0230000K  44</t>
  </si>
  <si>
    <t>Essays in legal and moral philosophy / selected and introduced by Ota Weinberger. Translated [from the German] by Peter Heath.</t>
  </si>
  <si>
    <t>Kelsen, Hans, 1881-1973.</t>
  </si>
  <si>
    <t>Dordrecht ; Boston : Reidel, 1974.</t>
  </si>
  <si>
    <t>1974</t>
  </si>
  <si>
    <t xml:space="preserve">ne </t>
  </si>
  <si>
    <t>Synthese library</t>
  </si>
  <si>
    <t>2005-11-19</t>
  </si>
  <si>
    <t>1944007:eng</t>
  </si>
  <si>
    <t>980059</t>
  </si>
  <si>
    <t>991003444169702656</t>
  </si>
  <si>
    <t>2271335670002656</t>
  </si>
  <si>
    <t>32285001170280</t>
  </si>
  <si>
    <t>893699008</t>
  </si>
  <si>
    <t>K230.A447 C75 1990</t>
  </si>
  <si>
    <t>0                      K  0230000A  447                C  75          1990</t>
  </si>
  <si>
    <t>Critical legal studies : a liberal critique / Andrew Altman.</t>
  </si>
  <si>
    <t>Altman, Andrew, 1950-</t>
  </si>
  <si>
    <t>Princeton, N.J. : Princeton University Press, 1990.</t>
  </si>
  <si>
    <t>1990</t>
  </si>
  <si>
    <t>nju</t>
  </si>
  <si>
    <t>Studies in moral, political, and legal philosophy</t>
  </si>
  <si>
    <t>2003-11-25</t>
  </si>
  <si>
    <t>1990-04-17</t>
  </si>
  <si>
    <t>2010-02-17</t>
  </si>
  <si>
    <t>347782:eng</t>
  </si>
  <si>
    <t>19981180</t>
  </si>
  <si>
    <t>991001812309702656</t>
  </si>
  <si>
    <t>2259659850002656</t>
  </si>
  <si>
    <t>9780691078397</t>
  </si>
  <si>
    <t>32285000103340</t>
  </si>
  <si>
    <t>893334628</t>
  </si>
  <si>
    <t>K230.H432 H44 1991</t>
  </si>
  <si>
    <t>0                      K  0230000H  432                H  44          1991</t>
  </si>
  <si>
    <t>Hegel and legal theory / edited by Drucilla Cornell, Michel Rosenfeld, David Gray Carlson.</t>
  </si>
  <si>
    <t>New York : Routledge, 1991.</t>
  </si>
  <si>
    <t>1991</t>
  </si>
  <si>
    <t>2002-11-12</t>
  </si>
  <si>
    <t>1992-10-27</t>
  </si>
  <si>
    <t>354421072:eng</t>
  </si>
  <si>
    <t>22889854</t>
  </si>
  <si>
    <t>991001820609702656</t>
  </si>
  <si>
    <t>2265407540002656</t>
  </si>
  <si>
    <t>9780415901635</t>
  </si>
  <si>
    <t>32285001319499</t>
  </si>
  <si>
    <t>893709573</t>
  </si>
  <si>
    <t>K230.S6 S65 1982</t>
  </si>
  <si>
    <t>0                      K  0230000S  6                  S  65          1982</t>
  </si>
  <si>
    <t>Lectures on jurisprudence / Adam Smith ; edited by R.L. Meek, D.D. Raphael, and P.G. Stein.</t>
  </si>
  <si>
    <t>Smith, Adam, 1723-1790.</t>
  </si>
  <si>
    <t>Indianapolis : Liberty Classics, 1982, c1978.</t>
  </si>
  <si>
    <t>1982</t>
  </si>
  <si>
    <t>inu</t>
  </si>
  <si>
    <t>The Glasgow edition of the works and correspondence of Adam Smith ; v. 5</t>
  </si>
  <si>
    <t>2003-06-09</t>
  </si>
  <si>
    <t>1992-09-28</t>
  </si>
  <si>
    <t>416235:eng</t>
  </si>
  <si>
    <t>8171041</t>
  </si>
  <si>
    <t>991005213059702656</t>
  </si>
  <si>
    <t>2256948960002656</t>
  </si>
  <si>
    <t>9780865970113</t>
  </si>
  <si>
    <t>32285001321347</t>
  </si>
  <si>
    <t>893507785</t>
  </si>
  <si>
    <t>K235 .K43 1985</t>
  </si>
  <si>
    <t>0                      K  0235000K  43          1985</t>
  </si>
  <si>
    <t>The ivory tower : essays in philosophy and public policy / Anthony Kenny.</t>
  </si>
  <si>
    <t>Kenny, Anthony, 1931-</t>
  </si>
  <si>
    <t>Oxford, UK ; New York, NY, USA : B. Blackwell, 1985.</t>
  </si>
  <si>
    <t>2007-10-02</t>
  </si>
  <si>
    <t>792254744:eng</t>
  </si>
  <si>
    <t>11786121</t>
  </si>
  <si>
    <t>991000592989702656</t>
  </si>
  <si>
    <t>2269262650002656</t>
  </si>
  <si>
    <t>9780631139850</t>
  </si>
  <si>
    <t>32285001170371</t>
  </si>
  <si>
    <t>893601882</t>
  </si>
  <si>
    <t>K235 .L39</t>
  </si>
  <si>
    <t>0                      K  0235000L  39</t>
  </si>
  <si>
    <t>Law, morality, and society : essays in honour of H. L. A. Hart / edited by P. M. S. Hacker and J. Raz.</t>
  </si>
  <si>
    <t>Oxford : Clarendon Press, 1977, 1979 printing.</t>
  </si>
  <si>
    <t>1977</t>
  </si>
  <si>
    <t>2005-04-14</t>
  </si>
  <si>
    <t>1994-09-30</t>
  </si>
  <si>
    <t>808945824:eng</t>
  </si>
  <si>
    <t>3011315</t>
  </si>
  <si>
    <t>991001778179702656</t>
  </si>
  <si>
    <t>2269306560002656</t>
  </si>
  <si>
    <t>9780198245575</t>
  </si>
  <si>
    <t>32285001170389</t>
  </si>
  <si>
    <t>893626826</t>
  </si>
  <si>
    <t>K237 .S57 1989</t>
  </si>
  <si>
    <t>0                      K  0237000S  57          1989</t>
  </si>
  <si>
    <t>What is law? : the differing theories of jurisprudence / by Surya Prakash Sinha.</t>
  </si>
  <si>
    <t>Sinha, S. Prakash.</t>
  </si>
  <si>
    <t>New York : Paragon House, 1989.</t>
  </si>
  <si>
    <t>1989</t>
  </si>
  <si>
    <t>1st ed.</t>
  </si>
  <si>
    <t>2005-09-27</t>
  </si>
  <si>
    <t>1991-10-31</t>
  </si>
  <si>
    <t>325842081:eng</t>
  </si>
  <si>
    <t>19268251</t>
  </si>
  <si>
    <t>991001444869702656</t>
  </si>
  <si>
    <t>2267933320002656</t>
  </si>
  <si>
    <t>9781557781925</t>
  </si>
  <si>
    <t>32285000728716</t>
  </si>
  <si>
    <t>893420325</t>
  </si>
  <si>
    <t>K2390 .R35 1982</t>
  </si>
  <si>
    <t>0                      K  2390000R  35          1982</t>
  </si>
  <si>
    <t>The art and science of negotiation / Howard Raiffa.</t>
  </si>
  <si>
    <t>Raiffa, Howard, 1924-2016.</t>
  </si>
  <si>
    <t>Cambridge, Mass. : Belknap Press of Harvard University Press, 1982.</t>
  </si>
  <si>
    <t>mau</t>
  </si>
  <si>
    <t>2009-03-19</t>
  </si>
  <si>
    <t>1990-11-13</t>
  </si>
  <si>
    <t>2011-05-12</t>
  </si>
  <si>
    <t>20878626:eng</t>
  </si>
  <si>
    <t>8409383</t>
  </si>
  <si>
    <t>991001675779702656</t>
  </si>
  <si>
    <t>2271223880002656</t>
  </si>
  <si>
    <t>9780674048126</t>
  </si>
  <si>
    <t>32285000314756</t>
  </si>
  <si>
    <t>893328288</t>
  </si>
  <si>
    <t>K3161 .A3 1983b</t>
  </si>
  <si>
    <t>0                      K  3161000A  3           1983b</t>
  </si>
  <si>
    <t>Constitution makers on constitution making : the experience of eight nations / edited by Robert A. Goldwin &amp; Art Kaufman.</t>
  </si>
  <si>
    <t>Washington, D.C. : American Enterprise Institute for Public Policy Research ; Lanham, Md. : Distributed by arrangement with UPA, c1988.</t>
  </si>
  <si>
    <t>1988</t>
  </si>
  <si>
    <t>dcu</t>
  </si>
  <si>
    <t>AEI studies ; 479</t>
  </si>
  <si>
    <t>2009-03-04</t>
  </si>
  <si>
    <t>1989-11-16</t>
  </si>
  <si>
    <t>836732219:eng</t>
  </si>
  <si>
    <t>17982875</t>
  </si>
  <si>
    <t>991001289839702656</t>
  </si>
  <si>
    <t>2259238190002656</t>
  </si>
  <si>
    <t>9780844736662</t>
  </si>
  <si>
    <t>32285000012913</t>
  </si>
  <si>
    <t>893885214</t>
  </si>
  <si>
    <t>K3165 .C6</t>
  </si>
  <si>
    <t>0                      K  3165000C  6</t>
  </si>
  <si>
    <t>Constitutionalism / edited by J. Roland Pennock and John W. Chapman.</t>
  </si>
  <si>
    <t>New York : New York University Press, 1979.</t>
  </si>
  <si>
    <t>1979</t>
  </si>
  <si>
    <t>Nomos ; 20</t>
  </si>
  <si>
    <t>1998-04-04</t>
  </si>
  <si>
    <t>2004-07-23</t>
  </si>
  <si>
    <t>496648398:eng</t>
  </si>
  <si>
    <t>4135926</t>
  </si>
  <si>
    <t>991001662669702656</t>
  </si>
  <si>
    <t>2254802000002656</t>
  </si>
  <si>
    <t>9780814765739</t>
  </si>
  <si>
    <t>32285001171213</t>
  </si>
  <si>
    <t>893439279</t>
  </si>
  <si>
    <t>K3171 .D99 1999</t>
  </si>
  <si>
    <t>0                      K  3171000D  99          1999</t>
  </si>
  <si>
    <t>Legality and legitimacy : Carl Schmitt, Hans Kelsen, and Hermann Heller in Weimar / David Dyzenhaus.</t>
  </si>
  <si>
    <t>Dyzenhaus, David.</t>
  </si>
  <si>
    <t>Oxford : Clarendon Press ; New York : Oxford University Press, 1999, c1997.</t>
  </si>
  <si>
    <t>1999</t>
  </si>
  <si>
    <t>2000-11-09</t>
  </si>
  <si>
    <t>836983677:eng</t>
  </si>
  <si>
    <t>36597790</t>
  </si>
  <si>
    <t>991003308079702656</t>
  </si>
  <si>
    <t>2256890430002656</t>
  </si>
  <si>
    <t>9780198260622</t>
  </si>
  <si>
    <t>32285004265061</t>
  </si>
  <si>
    <t>893705101</t>
  </si>
  <si>
    <t>K3230.R45 P56 1995</t>
  </si>
  <si>
    <t>0                      K  3230000R  45                 P  56          1995</t>
  </si>
  <si>
    <t>Asylum : a moral dilemma / W. Gunther Plaut.</t>
  </si>
  <si>
    <t>Plaut, W. Gunther, 1912-2012.</t>
  </si>
  <si>
    <t>Westport, Conn. : Praeger, 1995.</t>
  </si>
  <si>
    <t>1995</t>
  </si>
  <si>
    <t>ctu</t>
  </si>
  <si>
    <t>2004-10-04</t>
  </si>
  <si>
    <t>1996-01-10</t>
  </si>
  <si>
    <t>2575254:eng</t>
  </si>
  <si>
    <t>31971135</t>
  </si>
  <si>
    <t>991002452179702656</t>
  </si>
  <si>
    <t>2267571960002656</t>
  </si>
  <si>
    <t>9780275951955</t>
  </si>
  <si>
    <t>32285002115946</t>
  </si>
  <si>
    <t>893710304</t>
  </si>
  <si>
    <t>K3239.6 .W67 1975</t>
  </si>
  <si>
    <t>0                      K  3239600W  67          1975</t>
  </si>
  <si>
    <t>Equality and freedom, international and comparative jurisprudence : papers of the World Congress on Philosophy of Law and Social Philosophy, St. Louis, 24-29 August 1975 / edited by authorization of Internationale Vereinigung für Rechts- und Sozialphilosophie (IVR) by Gray Dorsey. --</t>
  </si>
  <si>
    <t>V. 3</t>
  </si>
  <si>
    <t>World Congress on Philosophy of Law and Social Philosophy (7th : 1975 : Saint Louis, Mo.)</t>
  </si>
  <si>
    <t>Dobbs Ferry, N.Y. : Oceana Publications, 1977.</t>
  </si>
  <si>
    <t>2001-09-06</t>
  </si>
  <si>
    <t>6609457:eng</t>
  </si>
  <si>
    <t>2966186</t>
  </si>
  <si>
    <t>991001777579702656</t>
  </si>
  <si>
    <t>2267623760002656</t>
  </si>
  <si>
    <t>9780379006575</t>
  </si>
  <si>
    <t>32285001171254</t>
  </si>
  <si>
    <t>893621612</t>
  </si>
  <si>
    <t>V. 2</t>
  </si>
  <si>
    <t>32285001171262</t>
  </si>
  <si>
    <t>893615372</t>
  </si>
  <si>
    <t>V. 1</t>
  </si>
  <si>
    <t>32285001171270</t>
  </si>
  <si>
    <t>893602887</t>
  </si>
  <si>
    <t>K3240 .H8573 1992</t>
  </si>
  <si>
    <t>0                      K  3240000H  8573        1992</t>
  </si>
  <si>
    <t>Human rights in the world community : issues and action / edited by Richard Pierre Claude and Burns H. Weston.</t>
  </si>
  <si>
    <t>Philadelphia : University of Pennsylvania Press, c1992.</t>
  </si>
  <si>
    <t>2nd ed.</t>
  </si>
  <si>
    <t>2009-12-06</t>
  </si>
  <si>
    <t>1995-08-24</t>
  </si>
  <si>
    <t>889349106:eng</t>
  </si>
  <si>
    <t>25788921</t>
  </si>
  <si>
    <t>991002027599702656</t>
  </si>
  <si>
    <t>2255081470002656</t>
  </si>
  <si>
    <t>9780812213966</t>
  </si>
  <si>
    <t>32285002079977</t>
  </si>
  <si>
    <t>893414739</t>
  </si>
  <si>
    <t>K3240.3 .S63</t>
  </si>
  <si>
    <t>0                      K  3240300S  63</t>
  </si>
  <si>
    <t>International protection of human rights / [by] Louis B. Sohn and Thomas Buergenthal.</t>
  </si>
  <si>
    <t>Sohn, Louis B. compiler.</t>
  </si>
  <si>
    <t>Indianapolis : Bobbs-Merrill, [1973]</t>
  </si>
  <si>
    <t>1973</t>
  </si>
  <si>
    <t>Contemporary legal education series</t>
  </si>
  <si>
    <t>1993-10-26</t>
  </si>
  <si>
    <t>2005-08-16</t>
  </si>
  <si>
    <t>1992-06-15</t>
  </si>
  <si>
    <t>1992-08-03</t>
  </si>
  <si>
    <t>1782068:eng</t>
  </si>
  <si>
    <t>799533</t>
  </si>
  <si>
    <t>991001680709702656</t>
  </si>
  <si>
    <t>2266791340002656</t>
  </si>
  <si>
    <t>32285001171288</t>
  </si>
  <si>
    <t>893238263</t>
  </si>
  <si>
    <t>K3240.4 .H33 1994</t>
  </si>
  <si>
    <t>0                      K  3240400H  33          1994</t>
  </si>
  <si>
    <t>Improving human rights / Michael Haas.</t>
  </si>
  <si>
    <t>Haas, Michael, 1938-</t>
  </si>
  <si>
    <t>Westport, Conn. : Praeger, 1994.</t>
  </si>
  <si>
    <t>1994</t>
  </si>
  <si>
    <t>2006-04-28</t>
  </si>
  <si>
    <t>1996-06-26</t>
  </si>
  <si>
    <t>141717690:eng</t>
  </si>
  <si>
    <t>30398484</t>
  </si>
  <si>
    <t>991002334779702656</t>
  </si>
  <si>
    <t>2270575250002656</t>
  </si>
  <si>
    <t>9780275943523</t>
  </si>
  <si>
    <t>32285002173499</t>
  </si>
  <si>
    <t>893622161</t>
  </si>
  <si>
    <t>K3240.4 .H85 1984</t>
  </si>
  <si>
    <t>0                      K  3240400H  85          1984</t>
  </si>
  <si>
    <t>Human rights &amp; the United Nations : a great adventure / John P. Humphrey.</t>
  </si>
  <si>
    <t>Humphrey, John P.</t>
  </si>
  <si>
    <t>Dobbs Ferry, N.Y. : Transnational Publishers, c1984.</t>
  </si>
  <si>
    <t>1984</t>
  </si>
  <si>
    <t>1992-03-23</t>
  </si>
  <si>
    <t>836654971:eng</t>
  </si>
  <si>
    <t>9730149</t>
  </si>
  <si>
    <t>991000247699702656</t>
  </si>
  <si>
    <t>2254956490002656</t>
  </si>
  <si>
    <t>9780941320146</t>
  </si>
  <si>
    <t>32285001027126</t>
  </si>
  <si>
    <t>893339417</t>
  </si>
  <si>
    <t>K3240.4 .L38 1968</t>
  </si>
  <si>
    <t>0                      K  3240400L  38          1968</t>
  </si>
  <si>
    <t>International law and human rights, by H. Lauterpacht.</t>
  </si>
  <si>
    <t>Lauterpacht, Hersch, 1897-1960.</t>
  </si>
  <si>
    <t>[Hamden, Conn.] Archon Books, 1968.</t>
  </si>
  <si>
    <t>1968</t>
  </si>
  <si>
    <t>2003-03-27</t>
  </si>
  <si>
    <t>1992-04-24</t>
  </si>
  <si>
    <t>252622512:eng</t>
  </si>
  <si>
    <t>441439</t>
  </si>
  <si>
    <t>991001639369702656</t>
  </si>
  <si>
    <t>2256944120002656</t>
  </si>
  <si>
    <t>32285001071066</t>
  </si>
  <si>
    <t>893885433</t>
  </si>
  <si>
    <t>K3240.4 .L85 1971</t>
  </si>
  <si>
    <t>0                      K  3240400L  85          1971</t>
  </si>
  <si>
    <t>International protection of human rights.</t>
  </si>
  <si>
    <t>Luini del Russo, Alessandra.</t>
  </si>
  <si>
    <t>Washington, Lerner Law Book Co. [1970, c1971]</t>
  </si>
  <si>
    <t>1997-09-16</t>
  </si>
  <si>
    <t>1337081:eng</t>
  </si>
  <si>
    <t>250557</t>
  </si>
  <si>
    <t>991001935979702656</t>
  </si>
  <si>
    <t>2266911040002656</t>
  </si>
  <si>
    <t>32285003171716</t>
  </si>
  <si>
    <t>893529352</t>
  </si>
  <si>
    <t>K3240.4 .M484 1989</t>
  </si>
  <si>
    <t>0                      K  3240400M  484         1989</t>
  </si>
  <si>
    <t>Human rights and humanitarian norms as customary law / Theodor Meron.</t>
  </si>
  <si>
    <t>Meron, Theodor, 1930-</t>
  </si>
  <si>
    <t>Oxford : Clarendon Press ; Oxford ; New York : Oxford University Press, 1989.</t>
  </si>
  <si>
    <t>1994-02-08</t>
  </si>
  <si>
    <t>2008-09-26</t>
  </si>
  <si>
    <t>1990-12-07</t>
  </si>
  <si>
    <t>1994-05-27</t>
  </si>
  <si>
    <t>21149858:eng</t>
  </si>
  <si>
    <t>19553823</t>
  </si>
  <si>
    <t>991001641349702656</t>
  </si>
  <si>
    <t>2272147460002656</t>
  </si>
  <si>
    <t>9780198252399</t>
  </si>
  <si>
    <t>32285000359090</t>
  </si>
  <si>
    <t>893772750</t>
  </si>
  <si>
    <t>K3240.4 .R348 1989</t>
  </si>
  <si>
    <t>0                      K  3240400R  348         1989</t>
  </si>
  <si>
    <t>The concept and present status of the international protection of human rights : forty years after the universal declaration / by B.G. Ramcharan.</t>
  </si>
  <si>
    <t>Ramcharan, B. G.</t>
  </si>
  <si>
    <t>Dordrecht ; Boston : M. Nijhoff Publishers ; Norwell, MA, U.S.A. : Kluwer Academic Publishers [distributor], c1989.</t>
  </si>
  <si>
    <t>International studies in human rights ; 13</t>
  </si>
  <si>
    <t>2003-11-18</t>
  </si>
  <si>
    <t>1990-03-28</t>
  </si>
  <si>
    <t>17888549:eng</t>
  </si>
  <si>
    <t>18290006</t>
  </si>
  <si>
    <t>991001326589702656</t>
  </si>
  <si>
    <t>2262616810002656</t>
  </si>
  <si>
    <t>9789024737598</t>
  </si>
  <si>
    <t>32285000091271</t>
  </si>
  <si>
    <t>893250159</t>
  </si>
  <si>
    <t>K3240.4 .R6 1972</t>
  </si>
  <si>
    <t>0                      K  3240400R  6           1972</t>
  </si>
  <si>
    <t>Human rights in the world, being an account of the United Nations covenants on human rights : the European Convention, the American Convention, the Permanent Arab Commission, the proposed African Commission and recent developments affecting humanitarian law / [by] A. H. Robertson.</t>
  </si>
  <si>
    <t>Robertson, A. H. (Arthur Henry), 1913-1984.</t>
  </si>
  <si>
    <t>[Manchester, Eng.] : Manchester University Press [distributed by Humanities Press, New York, 1972]</t>
  </si>
  <si>
    <t>1972</t>
  </si>
  <si>
    <t>2003-02-13</t>
  </si>
  <si>
    <t>1992-07-23</t>
  </si>
  <si>
    <t>3943413794:eng</t>
  </si>
  <si>
    <t>495783</t>
  </si>
  <si>
    <t>991002865879702656</t>
  </si>
  <si>
    <t>2256933000002656</t>
  </si>
  <si>
    <t>9780719004766</t>
  </si>
  <si>
    <t>32285001195063</t>
  </si>
  <si>
    <t>893604147</t>
  </si>
  <si>
    <t>K3240.6 .I53</t>
  </si>
  <si>
    <t>0                      K  3240600I  53</t>
  </si>
  <si>
    <t>The International Bill of Rights : the Covenant on Civil and Political Rights / Louis Henkin, editor.</t>
  </si>
  <si>
    <t>New York : Columbia University Press, 1981.</t>
  </si>
  <si>
    <t>1981</t>
  </si>
  <si>
    <t>2002-11-17</t>
  </si>
  <si>
    <t>809699003:eng</t>
  </si>
  <si>
    <t>7464593</t>
  </si>
  <si>
    <t>991005117749702656</t>
  </si>
  <si>
    <t>2262284110002656</t>
  </si>
  <si>
    <t>9780231051804</t>
  </si>
  <si>
    <t>32285001171353</t>
  </si>
  <si>
    <t>893430883</t>
  </si>
  <si>
    <t>K3242 .M35 1983</t>
  </si>
  <si>
    <t>0                      K  3242000M  35          1983</t>
  </si>
  <si>
    <t>Equality and discrimination under international law / Warwick McKean.</t>
  </si>
  <si>
    <t>McKean, W. A. (Warwick Alexander)</t>
  </si>
  <si>
    <t>Oxford : Clarendon Press ; New York : Oxford University Press, 1983.</t>
  </si>
  <si>
    <t>1983</t>
  </si>
  <si>
    <t>1992-01-23</t>
  </si>
  <si>
    <t>7374893:eng</t>
  </si>
  <si>
    <t>9815183</t>
  </si>
  <si>
    <t>991000260959702656</t>
  </si>
  <si>
    <t>2270899980002656</t>
  </si>
  <si>
    <t>9780198253112</t>
  </si>
  <si>
    <t>32285000917509</t>
  </si>
  <si>
    <t>893314804</t>
  </si>
  <si>
    <t>K3255.A12 M3 1967-77</t>
  </si>
  <si>
    <t>0                      K  3255000A  12                 M  3           1967                  -77</t>
  </si>
  <si>
    <t>Freedom of the press, a bibliocyclopedia : ten-year supplement (1967-1977) / Ralph E. McCoy ; with a foreword by Robert B. Downs.</t>
  </si>
  <si>
    <t>McCoy, Ralph E. (Ralph Edward), 1915-2007.</t>
  </si>
  <si>
    <t>Carbondale : Southern Illinois Press, c1978</t>
  </si>
  <si>
    <t>1978</t>
  </si>
  <si>
    <t>ilu</t>
  </si>
  <si>
    <t>1994-02-21</t>
  </si>
  <si>
    <t>1993-07-23</t>
  </si>
  <si>
    <t>4202293338:eng</t>
  </si>
  <si>
    <t>4004709</t>
  </si>
  <si>
    <t>991005265959702656</t>
  </si>
  <si>
    <t>2265019990002656</t>
  </si>
  <si>
    <t>9780809308446</t>
  </si>
  <si>
    <t>32285001745263</t>
  </si>
  <si>
    <t>893795892</t>
  </si>
  <si>
    <t>K331 .F84</t>
  </si>
  <si>
    <t>0                      K  0331000F  84</t>
  </si>
  <si>
    <t>The law in quest of itself.</t>
  </si>
  <si>
    <t>Fuller, Lon L. (Lon Luvois), 1902-1978.</t>
  </si>
  <si>
    <t>Boston : Beacon Press, [1966]</t>
  </si>
  <si>
    <t>1966</t>
  </si>
  <si>
    <t>Beacon paperback, no. 228.</t>
  </si>
  <si>
    <t>2002-03-25</t>
  </si>
  <si>
    <t>140343743:eng</t>
  </si>
  <si>
    <t>169747</t>
  </si>
  <si>
    <t>991000962969702656</t>
  </si>
  <si>
    <t>2263957300002656</t>
  </si>
  <si>
    <t>32285001170496</t>
  </si>
  <si>
    <t>893321533</t>
  </si>
  <si>
    <t>K331 .M3313 1986</t>
  </si>
  <si>
    <t>0                      K  0331000M  3313        1986</t>
  </si>
  <si>
    <t>An institutional theory of law : new approaches to legal positivism / Neil MacCormick and Ota Weinberger.</t>
  </si>
  <si>
    <t>MacCormick, Neil.</t>
  </si>
  <si>
    <t>Dordrecht, Holland ; Boston : D. Reidel Publishing Co., c1986.</t>
  </si>
  <si>
    <t>1986</t>
  </si>
  <si>
    <t>Law and philosophy library</t>
  </si>
  <si>
    <t>4872424:eng</t>
  </si>
  <si>
    <t>13302714</t>
  </si>
  <si>
    <t>991000806559702656</t>
  </si>
  <si>
    <t>2272344480002656</t>
  </si>
  <si>
    <t>9789027720795</t>
  </si>
  <si>
    <t>32285001170504</t>
  </si>
  <si>
    <t>893426058</t>
  </si>
  <si>
    <t>K3312 .C6</t>
  </si>
  <si>
    <t>0                      K  3312000C  6</t>
  </si>
  <si>
    <t>Committees in legislatures : a comparative analysis / edited by John D. Lees and Malcolm Shaw.</t>
  </si>
  <si>
    <t>Durham, N. C. : Duke University Press, 1979.</t>
  </si>
  <si>
    <t>ncu</t>
  </si>
  <si>
    <t>Publications - Consortium for Comparative Legislative Studies</t>
  </si>
  <si>
    <t>2006-10-25</t>
  </si>
  <si>
    <t>496688735:eng</t>
  </si>
  <si>
    <t>5757576</t>
  </si>
  <si>
    <t>991004871549702656</t>
  </si>
  <si>
    <t>2264760300002656</t>
  </si>
  <si>
    <t>9780822303992</t>
  </si>
  <si>
    <t>32285001171452</t>
  </si>
  <si>
    <t>893719510</t>
  </si>
  <si>
    <t>K334 .K45 1990</t>
  </si>
  <si>
    <t>0                      K  0334000K  45          1990</t>
  </si>
  <si>
    <t>Utilitarianism and distributive justice : Jeremy Bentham and the civil law / P.J. Kelly.</t>
  </si>
  <si>
    <t>Kelly, P. J. (Paul Joseph)</t>
  </si>
  <si>
    <t>Oxford : Clarendon Press ; New York : Oxford University Press, 1990.</t>
  </si>
  <si>
    <t>2008-09-28</t>
  </si>
  <si>
    <t>1992-01-21</t>
  </si>
  <si>
    <t>1992-03-09</t>
  </si>
  <si>
    <t>311905640:eng</t>
  </si>
  <si>
    <t>21375652</t>
  </si>
  <si>
    <t>991001645149702656</t>
  </si>
  <si>
    <t>2264910620002656</t>
  </si>
  <si>
    <t>9780198254188</t>
  </si>
  <si>
    <t>32285000865146</t>
  </si>
  <si>
    <t>893250354</t>
  </si>
  <si>
    <t>K334 .S8</t>
  </si>
  <si>
    <t>0                      K  0334000S  8</t>
  </si>
  <si>
    <t>Bentham / James Steintrager.</t>
  </si>
  <si>
    <t>Steintrager, James, 1936-1981.</t>
  </si>
  <si>
    <t>Ithaca, N.Y. : Cornell University Press, 1977.</t>
  </si>
  <si>
    <t>Political thinkers</t>
  </si>
  <si>
    <t>2006-11-12</t>
  </si>
  <si>
    <t>18017500:eng</t>
  </si>
  <si>
    <t>3037824</t>
  </si>
  <si>
    <t>991004325999702656</t>
  </si>
  <si>
    <t>2260735180002656</t>
  </si>
  <si>
    <t>9780801410963</t>
  </si>
  <si>
    <t>32285001170538</t>
  </si>
  <si>
    <t>893782113</t>
  </si>
  <si>
    <t>K349 .A67 1996</t>
  </si>
  <si>
    <t>0                      K  0349000A  67          1996</t>
  </si>
  <si>
    <t>Applications of feminist legal theory to women's lives : sex, violence, work, and reproduction / edited by D. Kelly Weisberg.</t>
  </si>
  <si>
    <t>Philadelphia : Temple University Press, 1996.</t>
  </si>
  <si>
    <t>1996</t>
  </si>
  <si>
    <t>Women in the political economy</t>
  </si>
  <si>
    <t>2010-12-09</t>
  </si>
  <si>
    <t>1997-02-26</t>
  </si>
  <si>
    <t>803739528:eng</t>
  </si>
  <si>
    <t>34513154</t>
  </si>
  <si>
    <t>991002631939702656</t>
  </si>
  <si>
    <t>2255571620002656</t>
  </si>
  <si>
    <t>9781566394239</t>
  </si>
  <si>
    <t>32285002433687</t>
  </si>
  <si>
    <t>893523852</t>
  </si>
  <si>
    <t>K355 .R67 1984</t>
  </si>
  <si>
    <t>0                      K  0355000R  67          1984</t>
  </si>
  <si>
    <t>Dialectic of nihilism : post-structuralism and law / Gillian Rose.</t>
  </si>
  <si>
    <t>Rose, Gillian.</t>
  </si>
  <si>
    <t>Oxford [Oxfordshire] ; New York, NY : Basil Blackwell, 1984.</t>
  </si>
  <si>
    <t>2007-02-28</t>
  </si>
  <si>
    <t>836672523:eng</t>
  </si>
  <si>
    <t>10996298</t>
  </si>
  <si>
    <t>991000469229702656</t>
  </si>
  <si>
    <t>2262145870002656</t>
  </si>
  <si>
    <t>9780631137085</t>
  </si>
  <si>
    <t>32285001170546</t>
  </si>
  <si>
    <t>893261480</t>
  </si>
  <si>
    <t>K357 .C64</t>
  </si>
  <si>
    <t>0                      K  0357000C  64</t>
  </si>
  <si>
    <t>Marxism and law / by Hugh Collins.</t>
  </si>
  <si>
    <t>Collins, Hugh, 1953-</t>
  </si>
  <si>
    <t>Oxford [Oxfordshire] : Clarendon Press ; New York : Oxford University Press, 1982.</t>
  </si>
  <si>
    <t>Marxist introductions</t>
  </si>
  <si>
    <t>2007-11-19</t>
  </si>
  <si>
    <t>3501082:eng</t>
  </si>
  <si>
    <t>8345749</t>
  </si>
  <si>
    <t>991005232779702656</t>
  </si>
  <si>
    <t>2263201930002656</t>
  </si>
  <si>
    <t>9780198760931</t>
  </si>
  <si>
    <t>32285001170561</t>
  </si>
  <si>
    <t>893520676</t>
  </si>
  <si>
    <t>K3611.E95 S45 1987</t>
  </si>
  <si>
    <t>0                      K  3611000E  95                 S  45          1987</t>
  </si>
  <si>
    <t>Preserving life : public policy and the life not worth living / Richard Sherlock.</t>
  </si>
  <si>
    <t>Sherlock, Richard.</t>
  </si>
  <si>
    <t>Chicago : Loyola University Press, c1987.</t>
  </si>
  <si>
    <t>1987</t>
  </si>
  <si>
    <t>2010-11-12</t>
  </si>
  <si>
    <t>1992-08-26</t>
  </si>
  <si>
    <t>8834789:eng</t>
  </si>
  <si>
    <t>14379476</t>
  </si>
  <si>
    <t>991000939269702656</t>
  </si>
  <si>
    <t>2261667590002656</t>
  </si>
  <si>
    <t>9780829405262</t>
  </si>
  <si>
    <t>32285001198976</t>
  </si>
  <si>
    <t>893528518</t>
  </si>
  <si>
    <t>K3611.T7 S36 1981</t>
  </si>
  <si>
    <t>0                      K  3611000T  7                  S  36          1981</t>
  </si>
  <si>
    <t>The body as property / Russell Scott.</t>
  </si>
  <si>
    <t>Scott, Russell, 1925-</t>
  </si>
  <si>
    <t>New York : Viking Press, 1981.</t>
  </si>
  <si>
    <t>2006-11-09</t>
  </si>
  <si>
    <t>1992-03-13</t>
  </si>
  <si>
    <t>140139434:eng</t>
  </si>
  <si>
    <t>6709254</t>
  </si>
  <si>
    <t>991005030299702656</t>
  </si>
  <si>
    <t>2256577610002656</t>
  </si>
  <si>
    <t>9780670177431</t>
  </si>
  <si>
    <t>32285000999580</t>
  </si>
  <si>
    <t>893230116</t>
  </si>
  <si>
    <t>K3842 .V64 1995</t>
  </si>
  <si>
    <t>0                      K  3842000V  64          1995</t>
  </si>
  <si>
    <t>Trading up : consumer and environmental regulation in a global economy / David Vogel.</t>
  </si>
  <si>
    <t>Vogel, David, 1947-</t>
  </si>
  <si>
    <t>Cambridge, Mass. : Harvard University Press, 1995.</t>
  </si>
  <si>
    <t>2010-01-05</t>
  </si>
  <si>
    <t>1995-11-30</t>
  </si>
  <si>
    <t>836890277:eng</t>
  </si>
  <si>
    <t>32203754</t>
  </si>
  <si>
    <t>991002473829702656</t>
  </si>
  <si>
    <t>2269196170002656</t>
  </si>
  <si>
    <t>9780674900837</t>
  </si>
  <si>
    <t>32285002107174</t>
  </si>
  <si>
    <t>893710333</t>
  </si>
  <si>
    <t>K415 .C45</t>
  </si>
  <si>
    <t>0                      K  0415000C  45</t>
  </si>
  <si>
    <t>Natural law and modern society / contributors: John Cogley [and others]</t>
  </si>
  <si>
    <t>Center for the Study of Democratic Institutions.</t>
  </si>
  <si>
    <t>Freeport, N.Y. : Books for Libraries Press, [1971, c1963]</t>
  </si>
  <si>
    <t>Essay index reprint series</t>
  </si>
  <si>
    <t>2004-03-31</t>
  </si>
  <si>
    <t>1308981:eng</t>
  </si>
  <si>
    <t>216898</t>
  </si>
  <si>
    <t>991005353799702656</t>
  </si>
  <si>
    <t>2256848340002656</t>
  </si>
  <si>
    <t>9780836923889</t>
  </si>
  <si>
    <t>32285001170686</t>
  </si>
  <si>
    <t>893527351</t>
  </si>
  <si>
    <t>K415 .S5 1982</t>
  </si>
  <si>
    <t>0                      K  0415000S  5           1982</t>
  </si>
  <si>
    <t>Natural law in political thought / Paul E. Sigmund.</t>
  </si>
  <si>
    <t>Sigmund, Paul E.</t>
  </si>
  <si>
    <t>Washington, D.C. : University Press of America, [1982]</t>
  </si>
  <si>
    <t>2004-07-26</t>
  </si>
  <si>
    <t>483404:eng</t>
  </si>
  <si>
    <t>7975442</t>
  </si>
  <si>
    <t>991005185329702656</t>
  </si>
  <si>
    <t>2264003140002656</t>
  </si>
  <si>
    <t>9780819120991</t>
  </si>
  <si>
    <t>32285001170702</t>
  </si>
  <si>
    <t>893594622</t>
  </si>
  <si>
    <t>K415 .T83</t>
  </si>
  <si>
    <t>0                      K  0415000T  83</t>
  </si>
  <si>
    <t>Natural rights theories : their origin and development / Richard Tuck.</t>
  </si>
  <si>
    <t>Tuck, Richard, 1949-</t>
  </si>
  <si>
    <t>Cambridge [Eng.] ; New York : Cambridge University Press, 1979.</t>
  </si>
  <si>
    <t>2005-12-08</t>
  </si>
  <si>
    <t>1990-07-09</t>
  </si>
  <si>
    <t>324502218:eng</t>
  </si>
  <si>
    <t>4834165</t>
  </si>
  <si>
    <t>991004729919702656</t>
  </si>
  <si>
    <t>2267759510002656</t>
  </si>
  <si>
    <t>9780521225120</t>
  </si>
  <si>
    <t>32285000222371</t>
  </si>
  <si>
    <t>893229764</t>
  </si>
  <si>
    <t>K430 .S5</t>
  </si>
  <si>
    <t>0                      K  0430000S  5</t>
  </si>
  <si>
    <t>The tradition of natural law; a philosopher's reflections [by] Yves R. Simon. Edited by Vukan Kuic.</t>
  </si>
  <si>
    <t>Simon, Yves R., 1903-1961.</t>
  </si>
  <si>
    <t>New York, Fordham University Press [1965]</t>
  </si>
  <si>
    <t>1965</t>
  </si>
  <si>
    <t>2004-04-19</t>
  </si>
  <si>
    <t>1020321:eng</t>
  </si>
  <si>
    <t>306156</t>
  </si>
  <si>
    <t>991001625919702656</t>
  </si>
  <si>
    <t>2266056460002656</t>
  </si>
  <si>
    <t>32285001170744</t>
  </si>
  <si>
    <t>893340552</t>
  </si>
  <si>
    <t>K457.L6 A2 1990</t>
  </si>
  <si>
    <t>0                      K  0457000L  6                  A  2           1990</t>
  </si>
  <si>
    <t>Questions concerning the law of nature / John Locke ; with an introduction, text, and translation by Robert Horwitz, Jenny Strauss Clay, and Diskin Clay.</t>
  </si>
  <si>
    <t>Locke, John, 1632-1704.</t>
  </si>
  <si>
    <t>Ithaca : Cornell University Press, 1990.</t>
  </si>
  <si>
    <t>2008-04-17</t>
  </si>
  <si>
    <t>1990-12-19</t>
  </si>
  <si>
    <t>233761677:eng</t>
  </si>
  <si>
    <t>21080801</t>
  </si>
  <si>
    <t>991001650949702656</t>
  </si>
  <si>
    <t>2255595490002656</t>
  </si>
  <si>
    <t>9780801423482</t>
  </si>
  <si>
    <t>32285000359934</t>
  </si>
  <si>
    <t>893696889</t>
  </si>
  <si>
    <t>K460 .P37 1994</t>
  </si>
  <si>
    <t>0                      K  0460000P  37          1994</t>
  </si>
  <si>
    <t>Natural law : an introduction to legal philosophy / Alexander Passerin d'Entrèves ; with a new introduction by Cary J. Nederman.</t>
  </si>
  <si>
    <t>Passerin d'Entrèves, Alessandro, 1902-1985.</t>
  </si>
  <si>
    <t>New Brunswick, U.S.A. : Transaction Publishers, c1994.</t>
  </si>
  <si>
    <t>Library of conservative thought</t>
  </si>
  <si>
    <t>2008-03-19</t>
  </si>
  <si>
    <t>2005-10-13</t>
  </si>
  <si>
    <t>196170422:eng</t>
  </si>
  <si>
    <t>26855780</t>
  </si>
  <si>
    <t>991004672099702656</t>
  </si>
  <si>
    <t>2267663930002656</t>
  </si>
  <si>
    <t>9781560006732</t>
  </si>
  <si>
    <t>32285005089395</t>
  </si>
  <si>
    <t>893901599</t>
  </si>
  <si>
    <t>K460 .W45 1987</t>
  </si>
  <si>
    <t>0                      K  0460000W  45          1987</t>
  </si>
  <si>
    <t>Natural law and justice / Lloyd L. Weinreb.</t>
  </si>
  <si>
    <t>Weinreb, Lloyd L., 1936-</t>
  </si>
  <si>
    <t>Cambridge, Mass. : Harvard University Press, 1987.</t>
  </si>
  <si>
    <t>2005-06-28</t>
  </si>
  <si>
    <t>1993-04-28</t>
  </si>
  <si>
    <t>2682385:eng</t>
  </si>
  <si>
    <t>14586188</t>
  </si>
  <si>
    <t>991001635099702656</t>
  </si>
  <si>
    <t>2272465410002656</t>
  </si>
  <si>
    <t>9780674604254</t>
  </si>
  <si>
    <t>32285001170777</t>
  </si>
  <si>
    <t>893866352</t>
  </si>
  <si>
    <t>K4725 .K4</t>
  </si>
  <si>
    <t>0                      K  4725000K  4</t>
  </si>
  <si>
    <t>Military obedience / by Nico Keijzer.</t>
  </si>
  <si>
    <t>Keijzer, Nico.</t>
  </si>
  <si>
    <t>Alphen aan den Rijn, Netherlands : Sijthoff &amp; Noordhoff, 1978.</t>
  </si>
  <si>
    <t>2005-10-04</t>
  </si>
  <si>
    <t>1995-03-02</t>
  </si>
  <si>
    <t>15107107:eng</t>
  </si>
  <si>
    <t>4846247</t>
  </si>
  <si>
    <t>991004734159702656</t>
  </si>
  <si>
    <t>2262552120002656</t>
  </si>
  <si>
    <t>9780902860582</t>
  </si>
  <si>
    <t>32285002020062</t>
  </si>
  <si>
    <t>893789032</t>
  </si>
  <si>
    <t>K487.P75 P78</t>
  </si>
  <si>
    <t>0                      K  0487000P  75                 P  78</t>
  </si>
  <si>
    <t>Psychology in the legal process / edited by Bruce Dennis Sales.</t>
  </si>
  <si>
    <t>New York : SP Books Division of Spectrum Publications ; distributed by Halsted Press, c1977.</t>
  </si>
  <si>
    <t>2007-12-09</t>
  </si>
  <si>
    <t>488181:eng</t>
  </si>
  <si>
    <t>2837140</t>
  </si>
  <si>
    <t>991004259339702656</t>
  </si>
  <si>
    <t>2262184950002656</t>
  </si>
  <si>
    <t>9780893350123</t>
  </si>
  <si>
    <t>32285001170843</t>
  </si>
  <si>
    <t>893532196</t>
  </si>
  <si>
    <t>K487.S3 F35 1999</t>
  </si>
  <si>
    <t>0                      K  0487000S  3                  F  35          1999</t>
  </si>
  <si>
    <t>Legal alchemy : the use and misuse of science in the law / David L. Faigman.</t>
  </si>
  <si>
    <t>Faigman, David L. (David Laurence)</t>
  </si>
  <si>
    <t>New York : W.H. Freeman and Co., c1999.</t>
  </si>
  <si>
    <t>2002-09-04</t>
  </si>
  <si>
    <t>2000-01-19</t>
  </si>
  <si>
    <t>836990620:eng</t>
  </si>
  <si>
    <t>41320197</t>
  </si>
  <si>
    <t>991003025599702656</t>
  </si>
  <si>
    <t>2268015600002656</t>
  </si>
  <si>
    <t>9780716731436</t>
  </si>
  <si>
    <t>32285003643094</t>
  </si>
  <si>
    <t>893698596</t>
  </si>
  <si>
    <t>K50 .W54 1986</t>
  </si>
  <si>
    <t>0                      K  0050000W  54          1986</t>
  </si>
  <si>
    <t>Legal terminology : an historical guide to the technical language of law / Daniel Williman.</t>
  </si>
  <si>
    <t>Williman, Daniel.</t>
  </si>
  <si>
    <t>Peterborough [Ontario] ; Lewiston, N.Y. : Broadview Press, c1986.</t>
  </si>
  <si>
    <t>onc</t>
  </si>
  <si>
    <t>2010-05-03</t>
  </si>
  <si>
    <t>889402215:eng</t>
  </si>
  <si>
    <t>15246880</t>
  </si>
  <si>
    <t>991001006169702656</t>
  </si>
  <si>
    <t>2266545080002656</t>
  </si>
  <si>
    <t>9780921149026</t>
  </si>
  <si>
    <t>32285001170066</t>
  </si>
  <si>
    <t>893231613</t>
  </si>
  <si>
    <t>K5018 .G7</t>
  </si>
  <si>
    <t>0                      K  5018000G  7</t>
  </si>
  <si>
    <t>A theory of criminal justice / Hyman Gross.</t>
  </si>
  <si>
    <t>Gross, Hyman.</t>
  </si>
  <si>
    <t>New York : Oxford University Press, 1979.</t>
  </si>
  <si>
    <t>2010-09-27</t>
  </si>
  <si>
    <t>414966:eng</t>
  </si>
  <si>
    <t>3447574</t>
  </si>
  <si>
    <t>991001783589702656</t>
  </si>
  <si>
    <t>2268734260002656</t>
  </si>
  <si>
    <t>9780195023497</t>
  </si>
  <si>
    <t>32285001171676</t>
  </si>
  <si>
    <t>893316060</t>
  </si>
  <si>
    <t>K5029 .P46</t>
  </si>
  <si>
    <t>0                      K  5029000P  46</t>
  </si>
  <si>
    <t>Crime and conflict : a study of law and society / Harold E. Pepinsky.</t>
  </si>
  <si>
    <t>Pepinsky, Harold E.</t>
  </si>
  <si>
    <t>New York : Academic Press, 1976.</t>
  </si>
  <si>
    <t>1976</t>
  </si>
  <si>
    <t>Law in society series</t>
  </si>
  <si>
    <t>2010-11-07</t>
  </si>
  <si>
    <t>1997-04-08</t>
  </si>
  <si>
    <t>890803982:eng</t>
  </si>
  <si>
    <t>2546008</t>
  </si>
  <si>
    <t>991004159499702656</t>
  </si>
  <si>
    <t>2270219810002656</t>
  </si>
  <si>
    <t>9780125500500</t>
  </si>
  <si>
    <t>32285002522612</t>
  </si>
  <si>
    <t>893423453</t>
  </si>
  <si>
    <t>K5064 .K46</t>
  </si>
  <si>
    <t>0                      K  5064000K  46</t>
  </si>
  <si>
    <t>Freewill and responsibility / Anthony Kenny.</t>
  </si>
  <si>
    <t>London ; Boston : Routledge and K. Paul, 1978.</t>
  </si>
  <si>
    <t>2008-09-07</t>
  </si>
  <si>
    <t>1991-12-09</t>
  </si>
  <si>
    <t>14803545:eng</t>
  </si>
  <si>
    <t>4654446</t>
  </si>
  <si>
    <t>991004698159702656</t>
  </si>
  <si>
    <t>2255746760002656</t>
  </si>
  <si>
    <t>9780710089984</t>
  </si>
  <si>
    <t>32285000885375</t>
  </si>
  <si>
    <t>893532704</t>
  </si>
  <si>
    <t>K5077 .R63 1996</t>
  </si>
  <si>
    <t>0                      K  5077000R  63          1996</t>
  </si>
  <si>
    <t>Wild beasts &amp; idle humours : the insanity defense from antiquity to the present / Daniel N. Robinson.</t>
  </si>
  <si>
    <t>Robinson, Daniel N., 1937-</t>
  </si>
  <si>
    <t>Cambridge, Mass. : Harvard University Press, 1996.</t>
  </si>
  <si>
    <t>2007-03-01</t>
  </si>
  <si>
    <t>1996-12-04</t>
  </si>
  <si>
    <t>2004-06-29</t>
  </si>
  <si>
    <t>2685490:eng</t>
  </si>
  <si>
    <t>34411563</t>
  </si>
  <si>
    <t>991001671059702656</t>
  </si>
  <si>
    <t>2263277140002656</t>
  </si>
  <si>
    <t>9780674952898</t>
  </si>
  <si>
    <t>32285002388188</t>
  </si>
  <si>
    <t>893256398</t>
  </si>
  <si>
    <t>K5103 .G47 1972</t>
  </si>
  <si>
    <t>0                      K  5103000G  47          1972</t>
  </si>
  <si>
    <t>Contemporary punishment : views, explanations, and justifications / Rudolph J. Gerber and Patrick D. McAnany, editors ; with a foreword by Norval Morris.</t>
  </si>
  <si>
    <t>Notre Dame [Ind.] : University of Notre Dame Press, [1972]</t>
  </si>
  <si>
    <t>2005-07-25</t>
  </si>
  <si>
    <t>1382636:eng</t>
  </si>
  <si>
    <t>314879</t>
  </si>
  <si>
    <t>991001626849702656</t>
  </si>
  <si>
    <t>2271891190002656</t>
  </si>
  <si>
    <t>32285003171682</t>
  </si>
  <si>
    <t>893503535</t>
  </si>
  <si>
    <t>K5103 .P865 1995</t>
  </si>
  <si>
    <t>0                      K  5103000P  865         1995</t>
  </si>
  <si>
    <t>Punishment / edited by A. John Simmons ... [et al.] ; contributors, Jeffrie G. Murphy ... [et al.]</t>
  </si>
  <si>
    <t>Princeton, N.J. : Princeton University Press, c1995.</t>
  </si>
  <si>
    <t>Philosophy &amp; public affairs reader</t>
  </si>
  <si>
    <t>1995-01-23</t>
  </si>
  <si>
    <t>905755074:eng</t>
  </si>
  <si>
    <t>30593302</t>
  </si>
  <si>
    <t>991002348099702656</t>
  </si>
  <si>
    <t>2263336030002656</t>
  </si>
  <si>
    <t>9780691029559</t>
  </si>
  <si>
    <t>32285001994853</t>
  </si>
  <si>
    <t>893510624</t>
  </si>
  <si>
    <t>K5181 .A26 1989</t>
  </si>
  <si>
    <t>0                      K  5181000A  26          1989</t>
  </si>
  <si>
    <t>Abortion rights and fetal 'personhood'/ edited by Edd Doerr &amp; James W. Prescott.</t>
  </si>
  <si>
    <t>Long Beach, Calif. : Centerline Pr., c1989.</t>
  </si>
  <si>
    <t>cau</t>
  </si>
  <si>
    <t>2003-04-01</t>
  </si>
  <si>
    <t>1989-11-27</t>
  </si>
  <si>
    <t>431836563:eng</t>
  </si>
  <si>
    <t>19806376</t>
  </si>
  <si>
    <t>991001501309702656</t>
  </si>
  <si>
    <t>2270270500002656</t>
  </si>
  <si>
    <t>9780913111260</t>
  </si>
  <si>
    <t>32285000014901</t>
  </si>
  <si>
    <t>893684364</t>
  </si>
  <si>
    <t>K52.S6 R63 1997</t>
  </si>
  <si>
    <t>0                      K  0052000S  6                  R  63          1997</t>
  </si>
  <si>
    <t>Diccionario de términos legales : español-inglés e inglés-español = Dictionary of legal terms : Spanish-English and English-Spanish / por Louis A. Robb ; con la colaboración de los siguientes abogados Tomás I. Nido ... [et al.].</t>
  </si>
  <si>
    <t>Robb, Louis Adams, 1877-</t>
  </si>
  <si>
    <t>México, D.F. : Limusa, c1997.</t>
  </si>
  <si>
    <t>1997</t>
  </si>
  <si>
    <t>spa</t>
  </si>
  <si>
    <t xml:space="preserve">mx </t>
  </si>
  <si>
    <t>2008-01-25</t>
  </si>
  <si>
    <t>1998-05-21</t>
  </si>
  <si>
    <t>145797:spa</t>
  </si>
  <si>
    <t>35203533</t>
  </si>
  <si>
    <t>991002696529702656</t>
  </si>
  <si>
    <t>2271237110002656</t>
  </si>
  <si>
    <t>9789681827984</t>
  </si>
  <si>
    <t>32285003411252</t>
  </si>
  <si>
    <t>893880276</t>
  </si>
  <si>
    <t>K5261 .N66 1984</t>
  </si>
  <si>
    <t>0                      K  5261000N  66          1984</t>
  </si>
  <si>
    <t>Bribes / John T. Noonan, Jr.</t>
  </si>
  <si>
    <t>Noonan, John T., Jr. (John Thomas), 1926-2017.</t>
  </si>
  <si>
    <t>New York : Macmillan, c1984.</t>
  </si>
  <si>
    <t>1993-04-22</t>
  </si>
  <si>
    <t>3437297:eng</t>
  </si>
  <si>
    <t>10925115</t>
  </si>
  <si>
    <t>991001627959702656</t>
  </si>
  <si>
    <t>2272789250002656</t>
  </si>
  <si>
    <t>9780029228807</t>
  </si>
  <si>
    <t>32285001171692</t>
  </si>
  <si>
    <t>893426713</t>
  </si>
  <si>
    <t>K5410.T6 L43 1973</t>
  </si>
  <si>
    <t>0                      K  5410000T  6                  L  43          1973</t>
  </si>
  <si>
    <t>Torture / Henry Charles Lea ; introd. by Edward Peters.</t>
  </si>
  <si>
    <t>Lea, Henry Charles, 1825-1909.</t>
  </si>
  <si>
    <t>Philadelphia : University of Pennsylvania Press, c1973.]</t>
  </si>
  <si>
    <t>Sources of medieval history</t>
  </si>
  <si>
    <t>2005-10-10</t>
  </si>
  <si>
    <t>4925339175:eng</t>
  </si>
  <si>
    <t>1083112</t>
  </si>
  <si>
    <t>991003521609702656</t>
  </si>
  <si>
    <t>2267864820002656</t>
  </si>
  <si>
    <t>9780812210620</t>
  </si>
  <si>
    <t>32285000873090</t>
  </si>
  <si>
    <t>893721969</t>
  </si>
  <si>
    <t>K7174 .S43 1959</t>
  </si>
  <si>
    <t>0                      K  7174000S  43          1959</t>
  </si>
  <si>
    <t>Nullity of marriage / F.J. Sheed.</t>
  </si>
  <si>
    <t>Sheed, F. J. (Francis Joseph), 1897-1981.</t>
  </si>
  <si>
    <t>New York : Sheed and Ward, [1959]</t>
  </si>
  <si>
    <t>New ed., rev. and enl.</t>
  </si>
  <si>
    <t>2000-07-12</t>
  </si>
  <si>
    <t>132964627:eng</t>
  </si>
  <si>
    <t>1454200</t>
  </si>
  <si>
    <t>991003763739702656</t>
  </si>
  <si>
    <t>2259289390002656</t>
  </si>
  <si>
    <t>32285001171734</t>
  </si>
  <si>
    <t>893535615</t>
  </si>
  <si>
    <t>K7174 .W74 1983</t>
  </si>
  <si>
    <t>0                      K  7174000W  74          1983</t>
  </si>
  <si>
    <t>Annulments / Lawrence G. Wrenn.</t>
  </si>
  <si>
    <t>Wrenn, Lawrence G.</t>
  </si>
  <si>
    <t>Washington, DC : Canon Law Society of America, c1983.</t>
  </si>
  <si>
    <t>4th ed. rev.</t>
  </si>
  <si>
    <t>2003-07-29</t>
  </si>
  <si>
    <t>1916491:eng</t>
  </si>
  <si>
    <t>9845525</t>
  </si>
  <si>
    <t>991000267869702656</t>
  </si>
  <si>
    <t>2257592120002656</t>
  </si>
  <si>
    <t>9780943616162</t>
  </si>
  <si>
    <t>32285001027092</t>
  </si>
  <si>
    <t>893620342</t>
  </si>
  <si>
    <t>K840 .M3</t>
  </si>
  <si>
    <t>0                      K  0840000M  3</t>
  </si>
  <si>
    <t>The new social contract : an inquiry into modern contractual relations / Ian R. Macneil.</t>
  </si>
  <si>
    <t>Macneil, Ian R.</t>
  </si>
  <si>
    <t>New Haven, Conn. : Yale University Press, c1980.</t>
  </si>
  <si>
    <t>2005-02-25</t>
  </si>
  <si>
    <t>20919026:eng</t>
  </si>
  <si>
    <t>6486606</t>
  </si>
  <si>
    <t>991001616949702656</t>
  </si>
  <si>
    <t>2269605170002656</t>
  </si>
  <si>
    <t>9780300025422</t>
  </si>
  <si>
    <t>32285001171015</t>
  </si>
  <si>
    <t>893497207</t>
  </si>
  <si>
    <t>KBD0 .W37</t>
  </si>
  <si>
    <t>0                      KBD0000000W  37</t>
  </si>
  <si>
    <t>Rome of the XII Tables : persons and property / by Alan Watson.</t>
  </si>
  <si>
    <t>Princeton, N.J. : Princeton University Press, c1975.</t>
  </si>
  <si>
    <t>1975</t>
  </si>
  <si>
    <t xml:space="preserve">KB </t>
  </si>
  <si>
    <t>2003-11-20</t>
  </si>
  <si>
    <t>836619825:eng</t>
  </si>
  <si>
    <t>1529169</t>
  </si>
  <si>
    <t>991003803279702656</t>
  </si>
  <si>
    <t>2257393120002656</t>
  </si>
  <si>
    <t>9780691035482</t>
  </si>
  <si>
    <t>32285001171874</t>
  </si>
  <si>
    <t>893441770</t>
  </si>
  <si>
    <t>KBG0 .G35 1983</t>
  </si>
  <si>
    <t>0                      KBG0000000G  35          1983</t>
  </si>
  <si>
    <t>Canon law for religious : an explanation / by Joseph F. Gallen.</t>
  </si>
  <si>
    <t>Gallen, Joseph F.</t>
  </si>
  <si>
    <t>New York : Alba House, c1983.</t>
  </si>
  <si>
    <t>1997-01-30</t>
  </si>
  <si>
    <t>43449832:eng</t>
  </si>
  <si>
    <t>9893689</t>
  </si>
  <si>
    <t>991000274059702656</t>
  </si>
  <si>
    <t>2265822890002656</t>
  </si>
  <si>
    <t>9780818904615</t>
  </si>
  <si>
    <t>32285001745297</t>
  </si>
  <si>
    <t>893237205</t>
  </si>
  <si>
    <t>KBG0 .M85</t>
  </si>
  <si>
    <t>0                      KBG0000000M  85</t>
  </si>
  <si>
    <t>Popes, lawyers, and infidels : the church and the non-Christian world, 1250-1550/ James Muldoon.</t>
  </si>
  <si>
    <t>Muldoon, James, 1935-</t>
  </si>
  <si>
    <t>[Philadelphia] : University of Pennsylvania Press, 1979.</t>
  </si>
  <si>
    <t>The Middle Ages</t>
  </si>
  <si>
    <t>2005-03-07</t>
  </si>
  <si>
    <t>836630845:eng</t>
  </si>
  <si>
    <t>5264834</t>
  </si>
  <si>
    <t>991004809239702656</t>
  </si>
  <si>
    <t>2259072550002656</t>
  </si>
  <si>
    <t>9780812277708</t>
  </si>
  <si>
    <t>32285001171981</t>
  </si>
  <si>
    <t>893694376</t>
  </si>
  <si>
    <t>KBG0 .R63 1971</t>
  </si>
  <si>
    <t>0                      KBG0000000R  63          1971</t>
  </si>
  <si>
    <t>Liber poenitentialis : a critical edition with introduction and notes / edited by J. J. Francis Firth.</t>
  </si>
  <si>
    <t>Robert, of Flamborough.</t>
  </si>
  <si>
    <t>Toronto : Pontifical Institute of Mediaeval Studies, 1971.</t>
  </si>
  <si>
    <t>Pontifical Institute of Mediaeval Studies. Studies and texts, 18</t>
  </si>
  <si>
    <t>2010-09-01</t>
  </si>
  <si>
    <t>1585082:eng</t>
  </si>
  <si>
    <t>549008</t>
  </si>
  <si>
    <t>991002971089702656</t>
  </si>
  <si>
    <t>2265789910002656</t>
  </si>
  <si>
    <t>9780888440181</t>
  </si>
  <si>
    <t>32285001172021</t>
  </si>
  <si>
    <t>893445478</t>
  </si>
  <si>
    <t>KBL0 .A53 1975</t>
  </si>
  <si>
    <t>0                      KBL0000000A  53          1975</t>
  </si>
  <si>
    <t>Islamic law in the modern world / J. N. D. Anderson.</t>
  </si>
  <si>
    <t>Anderson, J. N. D. (James Norman Dalrymple), 1908-1994.</t>
  </si>
  <si>
    <t>Westport, Conn. : Greenwood Press, 1975, c1959.</t>
  </si>
  <si>
    <t>2005-09-06</t>
  </si>
  <si>
    <t>1997-10-17</t>
  </si>
  <si>
    <t>501469:eng</t>
  </si>
  <si>
    <t>1733598</t>
  </si>
  <si>
    <t>991003884279702656</t>
  </si>
  <si>
    <t>2256768860002656</t>
  </si>
  <si>
    <t>9780837184517</t>
  </si>
  <si>
    <t>32285003256350</t>
  </si>
  <si>
    <t>893343165</t>
  </si>
  <si>
    <t>KBL0 .S34</t>
  </si>
  <si>
    <t>0                      KBL0000000S  34</t>
  </si>
  <si>
    <t>An introduction to Islamic law / by Joseph Schacht.</t>
  </si>
  <si>
    <t>Schacht, Joseph, 1902-1969.</t>
  </si>
  <si>
    <t>Oxford : Clarendon Press, 1964.</t>
  </si>
  <si>
    <t>1964</t>
  </si>
  <si>
    <t>2009-12-01</t>
  </si>
  <si>
    <t>1997-04-21</t>
  </si>
  <si>
    <t>884639:eng</t>
  </si>
  <si>
    <t>407814</t>
  </si>
  <si>
    <t>991002707819702656</t>
  </si>
  <si>
    <t>2261597880002656</t>
  </si>
  <si>
    <t>32285002557162</t>
  </si>
  <si>
    <t>893892878</t>
  </si>
  <si>
    <t>KBM0 .A67</t>
  </si>
  <si>
    <t>0                      KBM0000000A  67</t>
  </si>
  <si>
    <t>The Jewish law of divorce : according to Bible and Talmud with some reference to its development in post-Talmudic times.</t>
  </si>
  <si>
    <t>Amram, David Werner, 1866-1939.</t>
  </si>
  <si>
    <t>New York : Hermon Press, [1968]</t>
  </si>
  <si>
    <t>KBM</t>
  </si>
  <si>
    <t>2002-03-19</t>
  </si>
  <si>
    <t>1991-07-29</t>
  </si>
  <si>
    <t>4917811065:eng</t>
  </si>
  <si>
    <t>442953</t>
  </si>
  <si>
    <t>991002790059702656</t>
  </si>
  <si>
    <t>2266303800002656</t>
  </si>
  <si>
    <t>32285000679513</t>
  </si>
  <si>
    <t>893704524</t>
  </si>
  <si>
    <t>BT 10 G7 v.203</t>
  </si>
  <si>
    <t>8BT 10 G7 V.203</t>
  </si>
  <si>
    <t>Pope Gregory II on divorce and remarriage : a canonical-historical investigation of the letter Desiderabilem mihi, with special reference to the response Quod proposuisti / William Kelly.</t>
  </si>
  <si>
    <t>V.203</t>
  </si>
  <si>
    <t>Kelly, William, S.J.</t>
  </si>
  <si>
    <t>Roma : Universitá gregoriana, 1976.</t>
  </si>
  <si>
    <t xml:space="preserve">it </t>
  </si>
  <si>
    <t>Analecta Gregoriana ; v. 203 : Sectio Facultatis iuris canonici ; Sectio B,n. 37</t>
  </si>
  <si>
    <t>KBU</t>
  </si>
  <si>
    <t>2000-02-13</t>
  </si>
  <si>
    <t>1991-11-07</t>
  </si>
  <si>
    <t>891263083:eng</t>
  </si>
  <si>
    <t>2973823</t>
  </si>
  <si>
    <t>991004303139702656</t>
  </si>
  <si>
    <t>2257061770002656</t>
  </si>
  <si>
    <t>32285000685874</t>
  </si>
  <si>
    <t>893331424</t>
  </si>
  <si>
    <t>KD1289 .P38</t>
  </si>
  <si>
    <t>0                      KD 1289000P  38</t>
  </si>
  <si>
    <t>Copyright in historical perspective.</t>
  </si>
  <si>
    <t>Patterson, L. Ray (Lyman Ray)</t>
  </si>
  <si>
    <t>Nashville, Vanderbilt University Press, 1968.</t>
  </si>
  <si>
    <t>tnu</t>
  </si>
  <si>
    <t xml:space="preserve">KD </t>
  </si>
  <si>
    <t>2008-10-21</t>
  </si>
  <si>
    <t>1997-04-09</t>
  </si>
  <si>
    <t>1571794:eng</t>
  </si>
  <si>
    <t>442447</t>
  </si>
  <si>
    <t>991002788239702656</t>
  </si>
  <si>
    <t>2256041930002656</t>
  </si>
  <si>
    <t>32285002522943</t>
  </si>
  <si>
    <t>893886724</t>
  </si>
  <si>
    <t>KD1300 .C38</t>
  </si>
  <si>
    <t>0                      KD 1300000C  38</t>
  </si>
  <si>
    <t>A handbook of copyright in British publishing practice [by] J. M. Cavendish.</t>
  </si>
  <si>
    <t>Cavendish, J. M.</t>
  </si>
  <si>
    <t>London, Cassell [1974]</t>
  </si>
  <si>
    <t>1945751:eng</t>
  </si>
  <si>
    <t>980828</t>
  </si>
  <si>
    <t>991003445609702656</t>
  </si>
  <si>
    <t>2271115340002656</t>
  </si>
  <si>
    <t>9780304291922</t>
  </si>
  <si>
    <t>32285002522950</t>
  </si>
  <si>
    <t>893617336</t>
  </si>
  <si>
    <t>KD3395 .S57 1984</t>
  </si>
  <si>
    <t>0                      KD 3395000S  57          1984</t>
  </si>
  <si>
    <t>Law, ethics, and medicine : studies in medical law / by P.D.G. Skegg.</t>
  </si>
  <si>
    <t>Skegg, P. D. G.</t>
  </si>
  <si>
    <t>Oxford : Clarendon Press ; Oxford ; New York : Oxford University Press, 1984.</t>
  </si>
  <si>
    <t>2002-04-15</t>
  </si>
  <si>
    <t>1991-12-10</t>
  </si>
  <si>
    <t>836670308:eng</t>
  </si>
  <si>
    <t>10914039</t>
  </si>
  <si>
    <t>991000456459702656</t>
  </si>
  <si>
    <t>2256461570002656</t>
  </si>
  <si>
    <t>9780198253655</t>
  </si>
  <si>
    <t>32285000719970</t>
  </si>
  <si>
    <t>893425723</t>
  </si>
  <si>
    <t>KD370 .B57</t>
  </si>
  <si>
    <t>0                      KD 0370000B  57</t>
  </si>
  <si>
    <t>Famous trials of history / the Rt. Honourable the Earl of Birkenhead.</t>
  </si>
  <si>
    <t>Birkenhead, Frederick Edwin Smith, Earl of, 1872-1930.</t>
  </si>
  <si>
    <t>Garden City, N.Y. : Garden City Publishing Co., c1926.</t>
  </si>
  <si>
    <t>1926</t>
  </si>
  <si>
    <t>The star series</t>
  </si>
  <si>
    <t>2008-02-19</t>
  </si>
  <si>
    <t>762906:eng</t>
  </si>
  <si>
    <t>407818</t>
  </si>
  <si>
    <t>991002869339702656</t>
  </si>
  <si>
    <t>2272236480002656</t>
  </si>
  <si>
    <t>32285001172195</t>
  </si>
  <si>
    <t>893257825</t>
  </si>
  <si>
    <t>KD4112 .T75 1974</t>
  </si>
  <si>
    <t>0                      KD 4112000T  75          1974</t>
  </si>
  <si>
    <t>Questions of censorship.</t>
  </si>
  <si>
    <t>Tribe, David H.</t>
  </si>
  <si>
    <t>New York : St. Martin's Press, [1974, c1973]</t>
  </si>
  <si>
    <t>2005-10-09</t>
  </si>
  <si>
    <t>1990-11-15</t>
  </si>
  <si>
    <t>191796896:eng</t>
  </si>
  <si>
    <t>1429154</t>
  </si>
  <si>
    <t>991003751719702656</t>
  </si>
  <si>
    <t>2266311740002656</t>
  </si>
  <si>
    <t>32285000396332</t>
  </si>
  <si>
    <t>893525174</t>
  </si>
  <si>
    <t>KD4114 .T46</t>
  </si>
  <si>
    <t>0                      KD 4114000T  46</t>
  </si>
  <si>
    <t>A long time burning; the history of literary censorship in England.</t>
  </si>
  <si>
    <t>Thomas, Donald, 1926-</t>
  </si>
  <si>
    <t>New York, Praeger [1969]</t>
  </si>
  <si>
    <t>1969</t>
  </si>
  <si>
    <t>2006-10-31</t>
  </si>
  <si>
    <t>802711511:eng</t>
  </si>
  <si>
    <t>28313</t>
  </si>
  <si>
    <t>991000071289702656</t>
  </si>
  <si>
    <t>2264833570002656</t>
  </si>
  <si>
    <t>32285002523149</t>
  </si>
  <si>
    <t>893339240</t>
  </si>
  <si>
    <t>KD4197 .E45 1986</t>
  </si>
  <si>
    <t>0                      KD 4197000E  45          1986</t>
  </si>
  <si>
    <t>The Parliament of England, 1559-1581 / G.R. Elton.</t>
  </si>
  <si>
    <t>Elton, G. R. (Geoffrey Rudolph)</t>
  </si>
  <si>
    <t>Cambridge [Cambridgeshire] ; New York : Cambridge University Press, 1986.</t>
  </si>
  <si>
    <t>2005-11-18</t>
  </si>
  <si>
    <t>1990-04-06</t>
  </si>
  <si>
    <t>7514891:eng</t>
  </si>
  <si>
    <t>13581597</t>
  </si>
  <si>
    <t>991000849689702656</t>
  </si>
  <si>
    <t>2257264780002656</t>
  </si>
  <si>
    <t>9780521328357</t>
  </si>
  <si>
    <t>32285000111806</t>
  </si>
  <si>
    <t>893261635</t>
  </si>
  <si>
    <t>KD532 .M33 1978</t>
  </si>
  <si>
    <t>0                      KD 0532000M  33          1978</t>
  </si>
  <si>
    <t>A sketch of English legal history / by Frederic W. Maitland and Francis C. Montague ; edited with notes and appendices by James F. Colby.</t>
  </si>
  <si>
    <t>Maitland, Frederic William, 1850-1906.</t>
  </si>
  <si>
    <t>New York : AMS Press, 1978.</t>
  </si>
  <si>
    <t>2005-11-14</t>
  </si>
  <si>
    <t>8118948:eng</t>
  </si>
  <si>
    <t>3120526</t>
  </si>
  <si>
    <t>991001779299702656</t>
  </si>
  <si>
    <t>2263802700002656</t>
  </si>
  <si>
    <t>9780404146849</t>
  </si>
  <si>
    <t>32285002522729</t>
  </si>
  <si>
    <t>893328370</t>
  </si>
  <si>
    <t>KD600 .S26 1970</t>
  </si>
  <si>
    <t>0                      KD 0600000S  26          1970</t>
  </si>
  <si>
    <t>Doctor and student, 1531, [by] Christopher St. Germain.</t>
  </si>
  <si>
    <t>Saint German, Christopher, 1460?-1540.</t>
  </si>
  <si>
    <t>Menston, Scolar Press, 1970.</t>
  </si>
  <si>
    <t>2009-11-17</t>
  </si>
  <si>
    <t>2999548174:eng</t>
  </si>
  <si>
    <t>793938</t>
  </si>
  <si>
    <t>991003267939702656</t>
  </si>
  <si>
    <t>2263293470002656</t>
  </si>
  <si>
    <t>9780854174867</t>
  </si>
  <si>
    <t>32285002522745</t>
  </si>
  <si>
    <t>893604602</t>
  </si>
  <si>
    <t>KD7486 .F67</t>
  </si>
  <si>
    <t>0                      KD 7486000F  67</t>
  </si>
  <si>
    <t>Notable cross-examinations, chosen and annotated by Edward Wilfrid Fordham. With a foreword on "The art of cross-examination" by Sir Travers Humphreys and a note by Sir Edward Clarke on "three famous cross-examiners."</t>
  </si>
  <si>
    <t>Fordham, Edward Wilfrid.</t>
  </si>
  <si>
    <t>Westport, Conn., Greenwood Press [1970]</t>
  </si>
  <si>
    <t>2008-12-05</t>
  </si>
  <si>
    <t>1993-01-11</t>
  </si>
  <si>
    <t>1257407:eng</t>
  </si>
  <si>
    <t>79251</t>
  </si>
  <si>
    <t>991001687949702656</t>
  </si>
  <si>
    <t>2254923390002656</t>
  </si>
  <si>
    <t>9780837130996</t>
  </si>
  <si>
    <t>32285001174662</t>
  </si>
  <si>
    <t>893602812</t>
  </si>
  <si>
    <t>KD7876 .B43 1986</t>
  </si>
  <si>
    <t>0                      KD 7876000B  43          1986</t>
  </si>
  <si>
    <t>Crime and the courts in England, 1660-1800 / J.M. Beattie.</t>
  </si>
  <si>
    <t>Beattie, J. M.</t>
  </si>
  <si>
    <t>Princeton, N.J. : Princeton University Press, c1986.</t>
  </si>
  <si>
    <t>2008-04-21</t>
  </si>
  <si>
    <t>2006-09-26</t>
  </si>
  <si>
    <t>5056425:eng</t>
  </si>
  <si>
    <t>12133492</t>
  </si>
  <si>
    <t>991004930149702656</t>
  </si>
  <si>
    <t>2263208660002656</t>
  </si>
  <si>
    <t>9780691054377</t>
  </si>
  <si>
    <t>32285005224984</t>
  </si>
  <si>
    <t>893600374</t>
  </si>
  <si>
    <t>KD8075 .S33</t>
  </si>
  <si>
    <t>0                      KD 8075000S  33</t>
  </si>
  <si>
    <t>Obscenity and the law / by Norman St. John-Stevas ; with an introduction by Sir Alan P. Herbert.</t>
  </si>
  <si>
    <t>St. John-Stevas, Norman.</t>
  </si>
  <si>
    <t>London : Secker &amp; Warburg, 1956.</t>
  </si>
  <si>
    <t>1956</t>
  </si>
  <si>
    <t>2006-05-01</t>
  </si>
  <si>
    <t>330073:eng</t>
  </si>
  <si>
    <t>1277082</t>
  </si>
  <si>
    <t>991003664409702656</t>
  </si>
  <si>
    <t>2259971300002656</t>
  </si>
  <si>
    <t>32285002557279</t>
  </si>
  <si>
    <t>893775021</t>
  </si>
  <si>
    <t>KD8225.T6 H4 1982</t>
  </si>
  <si>
    <t>0                      KD 8225000T  6                  H  4           1982</t>
  </si>
  <si>
    <t>Torture and English law : an administrative and legal history from the Plantagenets to the Stuarts / James Heath.</t>
  </si>
  <si>
    <t>Heath, James, 1920-</t>
  </si>
  <si>
    <t>Westport, Conn. : Greenwood Press, 1982.</t>
  </si>
  <si>
    <t>Contributions in legal studies, 0147-1074 ; no. 18</t>
  </si>
  <si>
    <t>2010-02-09</t>
  </si>
  <si>
    <t>287845717:eng</t>
  </si>
  <si>
    <t>6813384</t>
  </si>
  <si>
    <t>991005043189702656</t>
  </si>
  <si>
    <t>2268494780002656</t>
  </si>
  <si>
    <t>9780313225987</t>
  </si>
  <si>
    <t>32285001172476</t>
  </si>
  <si>
    <t>893801630</t>
  </si>
  <si>
    <t>KDK145 .B79</t>
  </si>
  <si>
    <t>0                      KDK0145000B  79</t>
  </si>
  <si>
    <t>Liberty, order, &amp; law under native Irish rule; a study in the book of the Ancient laws of Ireland.</t>
  </si>
  <si>
    <t>Bryant, Sophie (Sophie Willock), 1850-1922.</t>
  </si>
  <si>
    <t>Port Washington, N.Y., Kennikat Press [1970]</t>
  </si>
  <si>
    <t>Series in Irish history and culture</t>
  </si>
  <si>
    <t>KDK</t>
  </si>
  <si>
    <t>2005-05-19</t>
  </si>
  <si>
    <t>1997-04-10</t>
  </si>
  <si>
    <t>1219565:eng</t>
  </si>
  <si>
    <t>49959</t>
  </si>
  <si>
    <t>991000120199702656</t>
  </si>
  <si>
    <t>2263694600002656</t>
  </si>
  <si>
    <t>9780804607704</t>
  </si>
  <si>
    <t>32285002523487</t>
  </si>
  <si>
    <t>893320820</t>
  </si>
  <si>
    <t>KDZ675 .R54 1989</t>
  </si>
  <si>
    <t>0                      KDZ0675000R  54          1989</t>
  </si>
  <si>
    <t>The Right to health in the Americas : a comparative constitutional study / editors, Hernán L. Fuenzalida-Puelma/Susan Scholle Connor.</t>
  </si>
  <si>
    <t>Washington, D.C., U.S.A. : Pan American Health Organization, c1989.</t>
  </si>
  <si>
    <t>Scientific publication ; no. 509</t>
  </si>
  <si>
    <t>KDZ</t>
  </si>
  <si>
    <t>2007-04-21</t>
  </si>
  <si>
    <t>1998-08-27</t>
  </si>
  <si>
    <t>793978966:eng</t>
  </si>
  <si>
    <t>20771510</t>
  </si>
  <si>
    <t>991001615909702656</t>
  </si>
  <si>
    <t>2261370100002656</t>
  </si>
  <si>
    <t>9789275115091</t>
  </si>
  <si>
    <t>32285003463352</t>
  </si>
  <si>
    <t>893340544</t>
  </si>
  <si>
    <t>KE229.S56 M69</t>
  </si>
  <si>
    <t>0                      KE 0229000S  56                 M  69</t>
  </si>
  <si>
    <t>British law and Arctic men : the celebrated 1917 murder trials of Sinnisiak and Uluksuk, first Inuit tried under white man's law / R.G. Moyles.</t>
  </si>
  <si>
    <t>Moyles, R. G.</t>
  </si>
  <si>
    <t>Saskatoon, Sask. : Western Producer Prairie Books, 1979.</t>
  </si>
  <si>
    <t>snc</t>
  </si>
  <si>
    <t xml:space="preserve">KE </t>
  </si>
  <si>
    <t>20806844:eng</t>
  </si>
  <si>
    <t>5976384</t>
  </si>
  <si>
    <t>991004556109702656</t>
  </si>
  <si>
    <t>2265315860002656</t>
  </si>
  <si>
    <t>9780888330215</t>
  </si>
  <si>
    <t>32285005039424</t>
  </si>
  <si>
    <t>893436422</t>
  </si>
  <si>
    <t>KE4199 .H43 1991</t>
  </si>
  <si>
    <t>0                      KE 4199000H  43          1991</t>
  </si>
  <si>
    <t>Canadian constitutional conventions : the marriage of law and politics / Andrew Heard.</t>
  </si>
  <si>
    <t>Heard, Andrew David, 1957-</t>
  </si>
  <si>
    <t>Toronto ; Oxford : Oxford University Press, 1991.</t>
  </si>
  <si>
    <t>2010-11-01</t>
  </si>
  <si>
    <t>1992-09-05</t>
  </si>
  <si>
    <t>836806271:eng</t>
  </si>
  <si>
    <t>24794332</t>
  </si>
  <si>
    <t>991001957609702656</t>
  </si>
  <si>
    <t>2260286190002656</t>
  </si>
  <si>
    <t>9780195407198</t>
  </si>
  <si>
    <t>32285001285898</t>
  </si>
  <si>
    <t>893691065</t>
  </si>
  <si>
    <t>KE452.C6 C93 1997</t>
  </si>
  <si>
    <t>0                      KE 0452000C  6                  C  93          1997</t>
  </si>
  <si>
    <t>Cyberlaw : what you need to know about doing business online / David Johnston, Sunny Handa, Charles Morgan.</t>
  </si>
  <si>
    <t>Johnston, David L.</t>
  </si>
  <si>
    <t>Toronto, Canada : Stoddart, c1997.</t>
  </si>
  <si>
    <t>xxc</t>
  </si>
  <si>
    <t>1998-10-20</t>
  </si>
  <si>
    <t>597019:eng</t>
  </si>
  <si>
    <t>37861796</t>
  </si>
  <si>
    <t>991002871779702656</t>
  </si>
  <si>
    <t>2266560880002656</t>
  </si>
  <si>
    <t>9780773758735</t>
  </si>
  <si>
    <t>32285003475174</t>
  </si>
  <si>
    <t>893597997</t>
  </si>
  <si>
    <t>KF 3030.4 M648u 1988</t>
  </si>
  <si>
    <t>0                      KF 3030400M  648u        1988</t>
  </si>
  <si>
    <t>Using copyrighted videocassettes in classrooms, libraries, and training centers / by Jerome K. Miller.</t>
  </si>
  <si>
    <t>Miller, Jerome K.</t>
  </si>
  <si>
    <t>Friday Harbor, WA : Copyright Information Services, c1988.</t>
  </si>
  <si>
    <t>wau</t>
  </si>
  <si>
    <t>Copyright information bulletin ; no. 3</t>
  </si>
  <si>
    <t xml:space="preserve">KF </t>
  </si>
  <si>
    <t>2003-08-29</t>
  </si>
  <si>
    <t>1992-07-21</t>
  </si>
  <si>
    <t>13479064:eng</t>
  </si>
  <si>
    <t>16716819</t>
  </si>
  <si>
    <t>991005309189702656</t>
  </si>
  <si>
    <t>2263052540002656</t>
  </si>
  <si>
    <t>9780914143147</t>
  </si>
  <si>
    <t>32285001215077</t>
  </si>
  <si>
    <t>893594827</t>
  </si>
  <si>
    <t>KF1024.Z9 D68 1994</t>
  </si>
  <si>
    <t>0                      KF 1024000Z  9                  D  68          1994</t>
  </si>
  <si>
    <t>Back off! : the definitive guide to stopping collection agency harassment / Benjamin F. Dover</t>
  </si>
  <si>
    <t>Dover, Benjamin.</t>
  </si>
  <si>
    <t>Fort Worth, Tex. : Equitable Media Services, c1994.</t>
  </si>
  <si>
    <t>txu</t>
  </si>
  <si>
    <t>2008-12-11</t>
  </si>
  <si>
    <t>4161630266:eng</t>
  </si>
  <si>
    <t>31495986</t>
  </si>
  <si>
    <t>991005280019702656</t>
  </si>
  <si>
    <t>2255439760002656</t>
  </si>
  <si>
    <t>9781880925041</t>
  </si>
  <si>
    <t>32285005472740</t>
  </si>
  <si>
    <t>893802053</t>
  </si>
  <si>
    <t>KF1030.E4 V37 1998</t>
  </si>
  <si>
    <t>0                      KF 1030000E  4                  V  37          1998</t>
  </si>
  <si>
    <t>21st century money, banking &amp; commerce / Thomas P. Vartanian, Robert H. Ledig, Lynn Bruneau.</t>
  </si>
  <si>
    <t>Vartanian, Thomas P.</t>
  </si>
  <si>
    <t>Washington, D.C. : Fried, Frank, Harris, Shriver &amp; Jacobson, c1998.</t>
  </si>
  <si>
    <t>1998</t>
  </si>
  <si>
    <t>2002-04-24</t>
  </si>
  <si>
    <t>2000-03-29</t>
  </si>
  <si>
    <t>2000-06-26</t>
  </si>
  <si>
    <t>42452689:eng</t>
  </si>
  <si>
    <t>39287751</t>
  </si>
  <si>
    <t>991001693439702656</t>
  </si>
  <si>
    <t>2270895450002656</t>
  </si>
  <si>
    <t>9780966331738</t>
  </si>
  <si>
    <t>32285003674842</t>
  </si>
  <si>
    <t>893690820</t>
  </si>
  <si>
    <t>KF1085 .F88 1985</t>
  </si>
  <si>
    <t>0                      KF 1085000F  88          1985</t>
  </si>
  <si>
    <t>Futures markets : regulatory issues / Anne E. Peck, editor ; Dennis W. Draper ... [et al.].</t>
  </si>
  <si>
    <t>Washington, D.C. : American Enterprise Institute for Public Policy Research, c1985.</t>
  </si>
  <si>
    <t>AEI studies ; 435</t>
  </si>
  <si>
    <t>2008-06-09</t>
  </si>
  <si>
    <t>889678857:eng</t>
  </si>
  <si>
    <t>13500652</t>
  </si>
  <si>
    <t>991005232239702656</t>
  </si>
  <si>
    <t>2264228010002656</t>
  </si>
  <si>
    <t>9780844735931</t>
  </si>
  <si>
    <t>32285005443824</t>
  </si>
  <si>
    <t>893896109</t>
  </si>
  <si>
    <t>KF1250 .H8 1988</t>
  </si>
  <si>
    <t>0                      KF 1250000H  8           1988</t>
  </si>
  <si>
    <t>Liability : the legal revolution and its consequences / Peter W. Huber.</t>
  </si>
  <si>
    <t>Huber, Peter W. (Peter William), 1952-</t>
  </si>
  <si>
    <t>New York : Basic Books, c1988.</t>
  </si>
  <si>
    <t>2004-04-27</t>
  </si>
  <si>
    <t>1992-02-06</t>
  </si>
  <si>
    <t>1017787:eng</t>
  </si>
  <si>
    <t>18049940</t>
  </si>
  <si>
    <t>991001297289702656</t>
  </si>
  <si>
    <t>2260594640002656</t>
  </si>
  <si>
    <t>9780465039203</t>
  </si>
  <si>
    <t>32285000943539</t>
  </si>
  <si>
    <t>893778707</t>
  </si>
  <si>
    <t>KF1262 .O25 1979</t>
  </si>
  <si>
    <t>0                      KF 1262000O  25          1979</t>
  </si>
  <si>
    <t>Privacy, law, and public policy / David M. O'Brien ; foreword by C. Herman Pritchett.</t>
  </si>
  <si>
    <t>O'Brien, David M.</t>
  </si>
  <si>
    <t>New York, N.Y. : Praeger, 1979.</t>
  </si>
  <si>
    <t>2006-03-12</t>
  </si>
  <si>
    <t>1992-05-01</t>
  </si>
  <si>
    <t>431475:eng</t>
  </si>
  <si>
    <t>4907939</t>
  </si>
  <si>
    <t>991004745649702656</t>
  </si>
  <si>
    <t>2258788770002656</t>
  </si>
  <si>
    <t>9780030504068</t>
  </si>
  <si>
    <t>32285001091155</t>
  </si>
  <si>
    <t>893338086</t>
  </si>
  <si>
    <t>KF1262 .P4</t>
  </si>
  <si>
    <t>0                      KF 1262000P  4</t>
  </si>
  <si>
    <t>Privacy and the press : the law, the mass media, and the First amendment / by Don R. Pember.</t>
  </si>
  <si>
    <t>Pember, Don R., 1939-</t>
  </si>
  <si>
    <t>Seattle : University of Washington Press, [1972]</t>
  </si>
  <si>
    <t>2001-04-27</t>
  </si>
  <si>
    <t>2008-03-30</t>
  </si>
  <si>
    <t>1990-10-23</t>
  </si>
  <si>
    <t>1991-07-11</t>
  </si>
  <si>
    <t>363747406:eng</t>
  </si>
  <si>
    <t>195546</t>
  </si>
  <si>
    <t>991001784369702656</t>
  </si>
  <si>
    <t>2267174480002656</t>
  </si>
  <si>
    <t>9780295951522</t>
  </si>
  <si>
    <t>32285000352681</t>
  </si>
  <si>
    <t>893340696</t>
  </si>
  <si>
    <t>KF1262 .W4 1967</t>
  </si>
  <si>
    <t>0                      KF 1262000W  4           1967</t>
  </si>
  <si>
    <t>Privacy and freedom / Alan F. Westin ; foreword by Oscar M. Ruebhausen.</t>
  </si>
  <si>
    <t>Westin, Alan F.</t>
  </si>
  <si>
    <t>New York : Atheneum, 1967.</t>
  </si>
  <si>
    <t>1967</t>
  </si>
  <si>
    <t>2009-08-17</t>
  </si>
  <si>
    <t>1995-01-03</t>
  </si>
  <si>
    <t>1999-10-08</t>
  </si>
  <si>
    <t>1188090:eng</t>
  </si>
  <si>
    <t>359695</t>
  </si>
  <si>
    <t>991001631609702656</t>
  </si>
  <si>
    <t>2272324140002656</t>
  </si>
  <si>
    <t>32285001985927</t>
  </si>
  <si>
    <t>893797687</t>
  </si>
  <si>
    <t>KF1262.A7 R53</t>
  </si>
  <si>
    <t>0                      KF 1262000A  7                  R  53</t>
  </si>
  <si>
    <t>The Right to privacy : essays and cases / [compiled] by P. Allan Dionisopoulos and Craig R. Ducat.</t>
  </si>
  <si>
    <t>St. Paul, Minn. : West Pub. Co., 1976.</t>
  </si>
  <si>
    <t>mnu</t>
  </si>
  <si>
    <t>1999-02-26</t>
  </si>
  <si>
    <t>1993-02-24</t>
  </si>
  <si>
    <t>5381141:eng</t>
  </si>
  <si>
    <t>2523286</t>
  </si>
  <si>
    <t>991004149889702656</t>
  </si>
  <si>
    <t>2269995170002656</t>
  </si>
  <si>
    <t>32285001497220</t>
  </si>
  <si>
    <t>893800649</t>
  </si>
  <si>
    <t>KF1262.A75 R52</t>
  </si>
  <si>
    <t>0                      KF 1262000A  75                 R  52</t>
  </si>
  <si>
    <t>The Right to privacy / edited by Grant S. McClellan.</t>
  </si>
  <si>
    <t>New York : H. W. Wilson Co., 1976.</t>
  </si>
  <si>
    <t>The Reference shelf ; v. 48, no. 1</t>
  </si>
  <si>
    <t>1998-12-01</t>
  </si>
  <si>
    <t>1991-12-13</t>
  </si>
  <si>
    <t>54097012:eng</t>
  </si>
  <si>
    <t>1992111</t>
  </si>
  <si>
    <t>991001740549702656</t>
  </si>
  <si>
    <t>2262209040002656</t>
  </si>
  <si>
    <t>9780824205959</t>
  </si>
  <si>
    <t>32285000876358</t>
  </si>
  <si>
    <t>893439371</t>
  </si>
  <si>
    <t>KF1262.Z9 B7</t>
  </si>
  <si>
    <t>0                      KF 1262000Z  9                  B  7</t>
  </si>
  <si>
    <t>The right to privacy.</t>
  </si>
  <si>
    <t>Breckenridge, Adam Carlyle, 1916-2001.</t>
  </si>
  <si>
    <t>Lincoln : University of Nebraska Press, [1970]</t>
  </si>
  <si>
    <t>nbu</t>
  </si>
  <si>
    <t>3943591838:eng</t>
  </si>
  <si>
    <t>72754</t>
  </si>
  <si>
    <t>991000389029702656</t>
  </si>
  <si>
    <t>2271641850002656</t>
  </si>
  <si>
    <t>9780803207028</t>
  </si>
  <si>
    <t>32285000352699</t>
  </si>
  <si>
    <t>893333420</t>
  </si>
  <si>
    <t>KF1266 .B49 1987</t>
  </si>
  <si>
    <t>0                      KF 1266000B  49          1987</t>
  </si>
  <si>
    <t>Libel law and the press : myth and reality / Randall P. Bezanson, Gilbert Cranberg, John Soloski.</t>
  </si>
  <si>
    <t>Bezanson, Randall P.</t>
  </si>
  <si>
    <t>New York : Free Press ; London : Collier Macmillan, c1987.</t>
  </si>
  <si>
    <t>233825519:eng</t>
  </si>
  <si>
    <t>15084073</t>
  </si>
  <si>
    <t>991000988069702656</t>
  </si>
  <si>
    <t>2254737220002656</t>
  </si>
  <si>
    <t>9780029058701</t>
  </si>
  <si>
    <t>32285001174217</t>
  </si>
  <si>
    <t>893327769</t>
  </si>
  <si>
    <t>KF1266 .D55 1986</t>
  </si>
  <si>
    <t>0                      KF 1266000D  55          1986</t>
  </si>
  <si>
    <t>The journalist's handbook on libel and privacy / Barbara Dill.</t>
  </si>
  <si>
    <t>Dill, Barbara.</t>
  </si>
  <si>
    <t>New York : Free Press ; London : Collier Macmillan, c1986.</t>
  </si>
  <si>
    <t>2003-04-23</t>
  </si>
  <si>
    <t>1990-02-09</t>
  </si>
  <si>
    <t>5827866:eng</t>
  </si>
  <si>
    <t>13093005</t>
  </si>
  <si>
    <t>991000778249702656</t>
  </si>
  <si>
    <t>2269662510002656</t>
  </si>
  <si>
    <t>9780029080702</t>
  </si>
  <si>
    <t>32285000034552</t>
  </si>
  <si>
    <t>893528382</t>
  </si>
  <si>
    <t>KF1266 .L3 1987</t>
  </si>
  <si>
    <t>0                      KF 1266000L  3           1987</t>
  </si>
  <si>
    <t>Libel and the First Amendment : legal history and practice in print and broadcasting / Richard Labunski.</t>
  </si>
  <si>
    <t>Labunski, Richard E.</t>
  </si>
  <si>
    <t>New Brunswick, N.J., U.S.A. : Transaction Books, c1987.</t>
  </si>
  <si>
    <t>2008-04-26</t>
  </si>
  <si>
    <t>288045136:eng</t>
  </si>
  <si>
    <t>12808883</t>
  </si>
  <si>
    <t>991000741749702656</t>
  </si>
  <si>
    <t>2259351580002656</t>
  </si>
  <si>
    <t>9780887380822</t>
  </si>
  <si>
    <t>32285001174233</t>
  </si>
  <si>
    <t>893689988</t>
  </si>
  <si>
    <t>KF1266.A7 S46 1986</t>
  </si>
  <si>
    <t>0                      KF 1266000A  7                  S  46          1986</t>
  </si>
  <si>
    <t>Suing the press / Rodney A. Smolla.</t>
  </si>
  <si>
    <t>Smolla, Rodney A.</t>
  </si>
  <si>
    <t>New York : Oxford University Press, 1986.</t>
  </si>
  <si>
    <t>2008-04-05</t>
  </si>
  <si>
    <t>1992-11-14</t>
  </si>
  <si>
    <t>976175:eng</t>
  </si>
  <si>
    <t>13124631</t>
  </si>
  <si>
    <t>991001632479702656</t>
  </si>
  <si>
    <t>2257379980002656</t>
  </si>
  <si>
    <t>9780195039016</t>
  </si>
  <si>
    <t>32285001174209</t>
  </si>
  <si>
    <t>893334423</t>
  </si>
  <si>
    <t>KF1266.Z9 M3</t>
  </si>
  <si>
    <t>0                      KF 1266000Z  9                  M  3</t>
  </si>
  <si>
    <t>What you should know about libel &amp; slander [by] Michael F. Mayer.</t>
  </si>
  <si>
    <t>Mayer, Michael F.</t>
  </si>
  <si>
    <t>New York, Arco [1968]</t>
  </si>
  <si>
    <t>Know your law</t>
  </si>
  <si>
    <t>1997-04-14</t>
  </si>
  <si>
    <t>358337:eng</t>
  </si>
  <si>
    <t>321261</t>
  </si>
  <si>
    <t>991002327579702656</t>
  </si>
  <si>
    <t>2256083490002656</t>
  </si>
  <si>
    <t>32285002550209</t>
  </si>
  <si>
    <t>893721403</t>
  </si>
  <si>
    <t>KF1266.Z9 N45 1984</t>
  </si>
  <si>
    <t>0                      KF 1266000Z  9                  N  45          1984</t>
  </si>
  <si>
    <t>New York Times v. Sullivan : the next twenty years / Richard N. Winfield, chairman.</t>
  </si>
  <si>
    <t>New York (810 7th Ave., New York 10019) : Practising Law Institute, 1984.</t>
  </si>
  <si>
    <t>Litigation and administrative practice series</t>
  </si>
  <si>
    <t>2007-03-18</t>
  </si>
  <si>
    <t>2009-04-26</t>
  </si>
  <si>
    <t>3004779:eng</t>
  </si>
  <si>
    <t>10563087</t>
  </si>
  <si>
    <t>991001627369702656</t>
  </si>
  <si>
    <t>2267811770002656</t>
  </si>
  <si>
    <t>32285001174282</t>
  </si>
  <si>
    <t>893778915</t>
  </si>
  <si>
    <t>KF1290.S66 Y37 1985</t>
  </si>
  <si>
    <t>0                      KF 1290000S  66                 Y  37          1985</t>
  </si>
  <si>
    <t>Torts and sports : legal liability in professional and amateur athletics / Raymond L. Yasser.</t>
  </si>
  <si>
    <t>Yasser, Raymond L.</t>
  </si>
  <si>
    <t>Westport, Conn. : Quorum Books, 1985.</t>
  </si>
  <si>
    <t>2008-07-29</t>
  </si>
  <si>
    <t>836687268:eng</t>
  </si>
  <si>
    <t>11397453</t>
  </si>
  <si>
    <t>991005256979702656</t>
  </si>
  <si>
    <t>2267471030002656</t>
  </si>
  <si>
    <t>9780899300924</t>
  </si>
  <si>
    <t>32285005451561</t>
  </si>
  <si>
    <t>893344914</t>
  </si>
  <si>
    <t>KF1296 .N44 1988</t>
  </si>
  <si>
    <t>0                      KF 1296000N  44          1988</t>
  </si>
  <si>
    <t>The product liability mess : how business can be rescued from the politics of state courts / Richard Neely.</t>
  </si>
  <si>
    <t>Neely, Richard, 1941-</t>
  </si>
  <si>
    <t>New York : Free Press ; London : Collier Macmillan, c1988.</t>
  </si>
  <si>
    <t>2005-12-14</t>
  </si>
  <si>
    <t>1990-05-17</t>
  </si>
  <si>
    <t>15608451:eng</t>
  </si>
  <si>
    <t>17263471</t>
  </si>
  <si>
    <t>991001193709702656</t>
  </si>
  <si>
    <t>2266539520002656</t>
  </si>
  <si>
    <t>9780029226803</t>
  </si>
  <si>
    <t>32285000152677</t>
  </si>
  <si>
    <t>893407930</t>
  </si>
  <si>
    <t>KF1299.H39 O27 1987</t>
  </si>
  <si>
    <t>0                      KF 1299000H  39                 O  27          1987</t>
  </si>
  <si>
    <t>What process is due? : courts and science-policy disputes / David M. O'Brien.</t>
  </si>
  <si>
    <t>New York : Russell Sage Foundation, c1987.</t>
  </si>
  <si>
    <t>1999-10-21</t>
  </si>
  <si>
    <t>1994-06-16</t>
  </si>
  <si>
    <t>13067649:eng</t>
  </si>
  <si>
    <t>16900323</t>
  </si>
  <si>
    <t>991001637629702656</t>
  </si>
  <si>
    <t>2266654730002656</t>
  </si>
  <si>
    <t>9780871546234</t>
  </si>
  <si>
    <t>32285000359041</t>
  </si>
  <si>
    <t>893778944</t>
  </si>
  <si>
    <t>KF1321 .S38 1983</t>
  </si>
  <si>
    <t>0                      KF 1321000S  38          1983</t>
  </si>
  <si>
    <t>Suing government : citizen remedies for official wrongs / Peter H. Schuck.</t>
  </si>
  <si>
    <t>Schuck, Peter H.</t>
  </si>
  <si>
    <t>New Haven : Yale University Press, c1983.</t>
  </si>
  <si>
    <t>2006-12-06</t>
  </si>
  <si>
    <t>1992-06-16</t>
  </si>
  <si>
    <t>836705635:eng</t>
  </si>
  <si>
    <t>8930032</t>
  </si>
  <si>
    <t>991001624169702656</t>
  </si>
  <si>
    <t>2257707820002656</t>
  </si>
  <si>
    <t>9780300029574</t>
  </si>
  <si>
    <t>32285001131803</t>
  </si>
  <si>
    <t>893351937</t>
  </si>
  <si>
    <t>KF1355 .B76 1990</t>
  </si>
  <si>
    <t>0                      KF 1355000B  76          1990</t>
  </si>
  <si>
    <t>How to run your business so you can leave it in style / John H. Brown and Irving Sternberg.</t>
  </si>
  <si>
    <t>Brown, John H., 1947-</t>
  </si>
  <si>
    <t>New York, NY : Amacom, American Management Association, c1990.</t>
  </si>
  <si>
    <t>1995-04-17</t>
  </si>
  <si>
    <t>1990-04-07</t>
  </si>
  <si>
    <t>22522242:eng</t>
  </si>
  <si>
    <t>20632202</t>
  </si>
  <si>
    <t>991001598469702656</t>
  </si>
  <si>
    <t>2263528170002656</t>
  </si>
  <si>
    <t>9780814459805</t>
  </si>
  <si>
    <t>32285000021971</t>
  </si>
  <si>
    <t>893891666</t>
  </si>
  <si>
    <t>KF1444 .S5 1991</t>
  </si>
  <si>
    <t>0                      KF 1444000S  5           1991</t>
  </si>
  <si>
    <t>An introduction to the SEC / K. Fred Skousen.</t>
  </si>
  <si>
    <t>Skousen, K. Fred.</t>
  </si>
  <si>
    <t>Cincinnati, OH : South-Western Pub. Co., c1991.</t>
  </si>
  <si>
    <t>5th ed.</t>
  </si>
  <si>
    <t>ohu</t>
  </si>
  <si>
    <t>1995-03-03</t>
  </si>
  <si>
    <t>1990-06-18</t>
  </si>
  <si>
    <t>4167379:eng</t>
  </si>
  <si>
    <t>20853696</t>
  </si>
  <si>
    <t>991001627699702656</t>
  </si>
  <si>
    <t>2269735830002656</t>
  </si>
  <si>
    <t>9780538808842</t>
  </si>
  <si>
    <t>32285000177971</t>
  </si>
  <si>
    <t>893503537</t>
  </si>
  <si>
    <t>KF156 .B53 1990</t>
  </si>
  <si>
    <t>0                      KF 0156000B  53          1990</t>
  </si>
  <si>
    <t>Black's law dictionary : definitions of the terms and phrases of American and English jurisprudence, ancient and modern / by Henry Campbell Black.</t>
  </si>
  <si>
    <t>2</t>
  </si>
  <si>
    <t>Black, Henry Campbell, 1860-1927.</t>
  </si>
  <si>
    <t>St. Paul, Minn. : West Pub. Co., 1990.</t>
  </si>
  <si>
    <t>6th ed. / by the publisher's editorial staff ; coauthors, Joseph R. Nolan ... [et al.], Centennial ed. (1891-1991).</t>
  </si>
  <si>
    <t>2003-11-29</t>
  </si>
  <si>
    <t>1992-05-14</t>
  </si>
  <si>
    <t>1997-07-11</t>
  </si>
  <si>
    <t>4924152641:eng</t>
  </si>
  <si>
    <t>21600991</t>
  </si>
  <si>
    <t>991001645749702656</t>
  </si>
  <si>
    <t>2261381670002656</t>
  </si>
  <si>
    <t>9780314762719</t>
  </si>
  <si>
    <t>32285001123040</t>
  </si>
  <si>
    <t>893426730</t>
  </si>
  <si>
    <t>KF1600 .C45 1985</t>
  </si>
  <si>
    <t>0                      KF 1600000C  45          1985</t>
  </si>
  <si>
    <t>The legal and regulatory environment of business / Henry R. Cheeseman.</t>
  </si>
  <si>
    <t>Cheeseman, Henry R.</t>
  </si>
  <si>
    <t>New York : Macmillan ; London : Collier Macmillan, c1985.</t>
  </si>
  <si>
    <t>2006-03-30</t>
  </si>
  <si>
    <t>1992-06-18</t>
  </si>
  <si>
    <t>3855334414:eng</t>
  </si>
  <si>
    <t>11045050</t>
  </si>
  <si>
    <t>991000480049702656</t>
  </si>
  <si>
    <t>2260507840002656</t>
  </si>
  <si>
    <t>9780023222603</t>
  </si>
  <si>
    <t>32285001174753</t>
  </si>
  <si>
    <t>893314966</t>
  </si>
  <si>
    <t>KF1600 .H35 1990</t>
  </si>
  <si>
    <t>0                      KF 1600000H  35          1990</t>
  </si>
  <si>
    <t>Law and ethics in the business environment / Terry Halbert, Elaine Ingulli.</t>
  </si>
  <si>
    <t>Halbert, Terry.</t>
  </si>
  <si>
    <t>St. Paul, MN : West Pub. Co., c1990.</t>
  </si>
  <si>
    <t>2002-04-28</t>
  </si>
  <si>
    <t>1990-05-24</t>
  </si>
  <si>
    <t>6474959:eng</t>
  </si>
  <si>
    <t>20823760</t>
  </si>
  <si>
    <t>991001620779702656</t>
  </si>
  <si>
    <t>2263916990002656</t>
  </si>
  <si>
    <t>9780314668042</t>
  </si>
  <si>
    <t>32285000139427</t>
  </si>
  <si>
    <t>893872634</t>
  </si>
  <si>
    <t>KF1611 .H4 1968</t>
  </si>
  <si>
    <t>0                      KF 1611000H  4           1968</t>
  </si>
  <si>
    <t>The Federal Trade Commission : a study in administrative law and procedure.</t>
  </si>
  <si>
    <t>Henderson, Gerard Carl, 1891-1927.</t>
  </si>
  <si>
    <t>New York : Agathon Press, 1968 [c1924]</t>
  </si>
  <si>
    <t>1995-11-28</t>
  </si>
  <si>
    <t>1994-12-16</t>
  </si>
  <si>
    <t>794746:eng</t>
  </si>
  <si>
    <t>439417</t>
  </si>
  <si>
    <t>991002778189702656</t>
  </si>
  <si>
    <t>2266580790002656</t>
  </si>
  <si>
    <t>32285001983872</t>
  </si>
  <si>
    <t>893347916</t>
  </si>
  <si>
    <t>KF1614 .B4 1993</t>
  </si>
  <si>
    <t>0                      KF 1614000B  4           1993</t>
  </si>
  <si>
    <t>State and federal regulation of national advertising / J. Howard Beales and Timothy J. Muris.</t>
  </si>
  <si>
    <t>Beales, J. Howard.</t>
  </si>
  <si>
    <t>Washington, D.C. : AEI Press, 1993.</t>
  </si>
  <si>
    <t>1993</t>
  </si>
  <si>
    <t>AEI studies in regulation and federalism</t>
  </si>
  <si>
    <t>1994-03-18</t>
  </si>
  <si>
    <t>358747:eng</t>
  </si>
  <si>
    <t>27011675</t>
  </si>
  <si>
    <t>991002104739702656</t>
  </si>
  <si>
    <t>2270115140002656</t>
  </si>
  <si>
    <t>9780844738246</t>
  </si>
  <si>
    <t>32285001856680</t>
  </si>
  <si>
    <t>893621914</t>
  </si>
  <si>
    <t>KF1614 .R53 1990</t>
  </si>
  <si>
    <t>0                      KF 1614000R  53          1990</t>
  </si>
  <si>
    <t>Deceptive advertising : behavioral study of a legal concept / Jef I. Richards.</t>
  </si>
  <si>
    <t>Richards, Jef I.</t>
  </si>
  <si>
    <t>Hillsdale, N.J. : L. Erlbaum Associates, 1990.</t>
  </si>
  <si>
    <t>Communication</t>
  </si>
  <si>
    <t>2003-12-08</t>
  </si>
  <si>
    <t>1992-10-13</t>
  </si>
  <si>
    <t>1144638894:eng</t>
  </si>
  <si>
    <t>19975495</t>
  </si>
  <si>
    <t>991001520449702656</t>
  </si>
  <si>
    <t>2254903690002656</t>
  </si>
  <si>
    <t>9780805806496</t>
  </si>
  <si>
    <t>32285001317188</t>
  </si>
  <si>
    <t>893866292</t>
  </si>
  <si>
    <t>KF1635.8.U5 C6 1968</t>
  </si>
  <si>
    <t>0                      KF 1635800U  5                  C  6           1968</t>
  </si>
  <si>
    <t>Congress and the monopoly problem: fifty-six years of antitrust development, 1900-1956; history of congressional action in the antitrust field since 1900. Prepared at the instance and under the direction of the Chairman of the Select Committee on Small Business, House of Representatives, Eighty-fourth Congress, pursuant to H. Res. 114.</t>
  </si>
  <si>
    <t>Library of Congress. Legislative Reference Service.</t>
  </si>
  <si>
    <t>New York, Greenwood Press [1968]</t>
  </si>
  <si>
    <t>2004-09-25</t>
  </si>
  <si>
    <t>2070136613:eng</t>
  </si>
  <si>
    <t>451595</t>
  </si>
  <si>
    <t>991002808979702656</t>
  </si>
  <si>
    <t>2261169380002656</t>
  </si>
  <si>
    <t>32285002559176</t>
  </si>
  <si>
    <t>893610328</t>
  </si>
  <si>
    <t>KF1644.S74 S4</t>
  </si>
  <si>
    <t>0                      KF 1644000S  74                 S  4</t>
  </si>
  <si>
    <t>Selected antitrust cases : landmark decisions in Federal antitrust.</t>
  </si>
  <si>
    <t>Stelzer, Irwin M. editor.</t>
  </si>
  <si>
    <t>Homewood, Ill. : R.D. Irwin, 1955.</t>
  </si>
  <si>
    <t>1955</t>
  </si>
  <si>
    <t>1993-12-13</t>
  </si>
  <si>
    <t>1440740:eng</t>
  </si>
  <si>
    <t>413654</t>
  </si>
  <si>
    <t>991002723629702656</t>
  </si>
  <si>
    <t>2268066160002656</t>
  </si>
  <si>
    <t>32285001808137</t>
  </si>
  <si>
    <t>893535154</t>
  </si>
  <si>
    <t>KF1648 .F85</t>
  </si>
  <si>
    <t>0                      KF 1648000F  85</t>
  </si>
  <si>
    <t>Competition and public policy : cases in antitrust / [by] H. Lee Fusilier [and] Jerome C. Darnell.</t>
  </si>
  <si>
    <t>Fusilier, H. L. (H. Lee), 1919-, compiler.</t>
  </si>
  <si>
    <t>Englewood Cliffs, N.J. : Prentice-Hall, [1971]</t>
  </si>
  <si>
    <t>1993-10-18</t>
  </si>
  <si>
    <t>365341344:eng</t>
  </si>
  <si>
    <t>148458</t>
  </si>
  <si>
    <t>991000834869702656</t>
  </si>
  <si>
    <t>2260146830002656</t>
  </si>
  <si>
    <t>9780131548312</t>
  </si>
  <si>
    <t>32285001793743</t>
  </si>
  <si>
    <t>893407568</t>
  </si>
  <si>
    <t>KF1649 .A83 1990</t>
  </si>
  <si>
    <t>0                      KF 1649000A  83          1990</t>
  </si>
  <si>
    <t>Antitrust and monopoly : anatomy of a policy failure / Dominick T. Armentano ; foreword by Yale Brozen.</t>
  </si>
  <si>
    <t>Armentano, Dominick T.</t>
  </si>
  <si>
    <t>New York : Holmes &amp; Meier, c1990.</t>
  </si>
  <si>
    <t>Independent studies in political economy</t>
  </si>
  <si>
    <t>1999-12-02</t>
  </si>
  <si>
    <t>1995-12-06</t>
  </si>
  <si>
    <t>347683922:eng</t>
  </si>
  <si>
    <t>21721436</t>
  </si>
  <si>
    <t>991001717829702656</t>
  </si>
  <si>
    <t>2260050470002656</t>
  </si>
  <si>
    <t>9780841912748</t>
  </si>
  <si>
    <t>32285002108362</t>
  </si>
  <si>
    <t>893897999</t>
  </si>
  <si>
    <t>KF1649 .E5</t>
  </si>
  <si>
    <t>0                      KF 1649000E  5</t>
  </si>
  <si>
    <t>The antitrust penalties : a study in law and economics / Kenneth G. Elzinga and William Breit.</t>
  </si>
  <si>
    <t>Elzinga, Kenneth G.</t>
  </si>
  <si>
    <t>New Haven, [Conn.] : Yale University Press, 1976.</t>
  </si>
  <si>
    <t>1994-05-06</t>
  </si>
  <si>
    <t>314003974:eng</t>
  </si>
  <si>
    <t>2502726</t>
  </si>
  <si>
    <t>991001764299702656</t>
  </si>
  <si>
    <t>2257574460002656</t>
  </si>
  <si>
    <t>9780300019995</t>
  </si>
  <si>
    <t>32285001908168</t>
  </si>
  <si>
    <t>893509890</t>
  </si>
  <si>
    <t>KF1649 .G75 1989</t>
  </si>
  <si>
    <t>0                      KF 1649000G  75          1989</t>
  </si>
  <si>
    <t>American antitrust laws in theory and in practice / M.L. Greenhut, Bruce Benson.</t>
  </si>
  <si>
    <t>Greenhut, Melvin L.</t>
  </si>
  <si>
    <t>Aldershot, Hants., England ; Brookfield, Vt., USA : Avebury, c1989.</t>
  </si>
  <si>
    <t>1990-06-21</t>
  </si>
  <si>
    <t>19029718:eng</t>
  </si>
  <si>
    <t>18983927</t>
  </si>
  <si>
    <t>991001422559702656</t>
  </si>
  <si>
    <t>2267821190002656</t>
  </si>
  <si>
    <t>9780566070136</t>
  </si>
  <si>
    <t>32285000179282</t>
  </si>
  <si>
    <t>893321926</t>
  </si>
  <si>
    <t>KF1649 .M34</t>
  </si>
  <si>
    <t>0                      KF 1649000M  34</t>
  </si>
  <si>
    <t>A manager's guide to the antitrust laws / Edward A. Matto.</t>
  </si>
  <si>
    <t>Matto, Edward A.</t>
  </si>
  <si>
    <t>New York : Amacom, c1980.</t>
  </si>
  <si>
    <t>21061243:eng</t>
  </si>
  <si>
    <t>6446597</t>
  </si>
  <si>
    <t>991004984029702656</t>
  </si>
  <si>
    <t>2256011820002656</t>
  </si>
  <si>
    <t>9780814455418</t>
  </si>
  <si>
    <t>32285001174928</t>
  </si>
  <si>
    <t>893507449</t>
  </si>
  <si>
    <t>KF1649.3 .F53 1972</t>
  </si>
  <si>
    <t>0                      KF 1649300F  53          1972</t>
  </si>
  <si>
    <t>Ten thousand commandments : a story of the antitrust laws / [by] Harold M. Fleming.</t>
  </si>
  <si>
    <t>Fleming, Harold M. (Harold Manchester)</t>
  </si>
  <si>
    <t>New York : Arno Press, 1972 [c1951]</t>
  </si>
  <si>
    <t>The Right wing individualist tradition in America</t>
  </si>
  <si>
    <t>1994-05-04</t>
  </si>
  <si>
    <t>1489323:eng</t>
  </si>
  <si>
    <t>380640</t>
  </si>
  <si>
    <t>991002621389702656</t>
  </si>
  <si>
    <t>2261462640002656</t>
  </si>
  <si>
    <t>9780405004209</t>
  </si>
  <si>
    <t>32285001906600</t>
  </si>
  <si>
    <t>893341637</t>
  </si>
  <si>
    <t>KF1650.3 .S47</t>
  </si>
  <si>
    <t>0                      KF 1650300S  47</t>
  </si>
  <si>
    <t>Antitrust policies and issues / Roger Sherman.</t>
  </si>
  <si>
    <t>Sherman, Roger, 1930-</t>
  </si>
  <si>
    <t>Reading, Mass. : Addison-Wesley Pub. Co., c1978.</t>
  </si>
  <si>
    <t>Addison-Wesley series in economics</t>
  </si>
  <si>
    <t>1997-03-25</t>
  </si>
  <si>
    <t>1992-06-23</t>
  </si>
  <si>
    <t>14591351:eng</t>
  </si>
  <si>
    <t>4136558</t>
  </si>
  <si>
    <t>991004595669702656</t>
  </si>
  <si>
    <t>2258161190002656</t>
  </si>
  <si>
    <t>9780201083637</t>
  </si>
  <si>
    <t>32285001174951</t>
  </si>
  <si>
    <t>893253869</t>
  </si>
  <si>
    <t>KF1652 .E26 1989</t>
  </si>
  <si>
    <t>0                      KF 1652000E  26          1989</t>
  </si>
  <si>
    <t>Economics and antitrust policy / edited by Robert J. Larner and James W. Meehan, Jr.</t>
  </si>
  <si>
    <t>New York : Quorum Books, 1989.</t>
  </si>
  <si>
    <t>1991-02-08</t>
  </si>
  <si>
    <t>352381092:eng</t>
  </si>
  <si>
    <t>18225537</t>
  </si>
  <si>
    <t>991001321639702656</t>
  </si>
  <si>
    <t>2261921520002656</t>
  </si>
  <si>
    <t>9780899303864</t>
  </si>
  <si>
    <t>32285000473883</t>
  </si>
  <si>
    <t>893797486</t>
  </si>
  <si>
    <t>KF1665 .M6</t>
  </si>
  <si>
    <t>0                      KF 1665000M  6</t>
  </si>
  <si>
    <t>The thumb on the scale; or, The supermarket shell game, by A. Q. Mowbray. Introd. by Marya Mannes.</t>
  </si>
  <si>
    <t>Mowbray, A. Q.</t>
  </si>
  <si>
    <t>Philadelphia, Lippincott [1967]</t>
  </si>
  <si>
    <t>[1st ed.]</t>
  </si>
  <si>
    <t>2009-03-27</t>
  </si>
  <si>
    <t>1950724:eng</t>
  </si>
  <si>
    <t>1022135</t>
  </si>
  <si>
    <t>991003476909702656</t>
  </si>
  <si>
    <t>2272589980002656</t>
  </si>
  <si>
    <t>32285002550399</t>
  </si>
  <si>
    <t>893511980</t>
  </si>
  <si>
    <t>KF1890.S7 W5 1973</t>
  </si>
  <si>
    <t>0                      KF 1890000S  7                  W  5           1973</t>
  </si>
  <si>
    <t>A study of the United States Steel Corporation in its industrial and legal aspects.</t>
  </si>
  <si>
    <t>Wilgus, Horace L. (Horace La Fayette), 1859-1935.</t>
  </si>
  <si>
    <t>New York, Arno Press, 1973 [c1901]</t>
  </si>
  <si>
    <t>Big business: economic power in a free society</t>
  </si>
  <si>
    <t>2003-10-12</t>
  </si>
  <si>
    <t>3769629409:eng</t>
  </si>
  <si>
    <t>760366</t>
  </si>
  <si>
    <t>991003235809702656</t>
  </si>
  <si>
    <t>2266377260002656</t>
  </si>
  <si>
    <t>9780405051203</t>
  </si>
  <si>
    <t>32285002550407</t>
  </si>
  <si>
    <t>893233945</t>
  </si>
  <si>
    <t>KF2009.A25 J6 1982</t>
  </si>
  <si>
    <t>0                      KF 2009000A  25                 J  6           1982</t>
  </si>
  <si>
    <t>The National Sunday law : argument of Alonzo T. Jones before the United States Senate Committee on Education and Labor, at Washington D.C., Dec. 13, 1888.</t>
  </si>
  <si>
    <t>Jones, Alonzo T.</t>
  </si>
  <si>
    <t>Barronett, Wis., Paradise View, 1982.</t>
  </si>
  <si>
    <t>wiu</t>
  </si>
  <si>
    <t>2006-07-05</t>
  </si>
  <si>
    <t>1992-06-24</t>
  </si>
  <si>
    <t>3943342319:eng</t>
  </si>
  <si>
    <t>13066371</t>
  </si>
  <si>
    <t>991000776329702656</t>
  </si>
  <si>
    <t>2256334010002656</t>
  </si>
  <si>
    <t>32285001175073</t>
  </si>
  <si>
    <t>893315218</t>
  </si>
  <si>
    <t>KF2181 .S76 1991</t>
  </si>
  <si>
    <t>0                      KF 2181000S  76          1991</t>
  </si>
  <si>
    <t>The Interstate Commerce Commission and the railroad industry : a history of regulatory policy / Richard D. Stone.</t>
  </si>
  <si>
    <t>Stone, Richard D. (Richard David), 1944-</t>
  </si>
  <si>
    <t>New York : Praeger, 1991.</t>
  </si>
  <si>
    <t>1993-01-23</t>
  </si>
  <si>
    <t>1992-04-02</t>
  </si>
  <si>
    <t>811129541:eng</t>
  </si>
  <si>
    <t>23649628</t>
  </si>
  <si>
    <t>991001872279702656</t>
  </si>
  <si>
    <t>2259688070002656</t>
  </si>
  <si>
    <t>9780275939410</t>
  </si>
  <si>
    <t>32285001008175</t>
  </si>
  <si>
    <t>893250568</t>
  </si>
  <si>
    <t>KF2209 .C73 1986</t>
  </si>
  <si>
    <t>0                      KF 2209000C  73          1986</t>
  </si>
  <si>
    <t>Regulating the automobile / Robert W. Crandall ... [et al.]</t>
  </si>
  <si>
    <t>Crandall, Robert W.</t>
  </si>
  <si>
    <t>Washington, D.C. : Brookings Institution, 1986.</t>
  </si>
  <si>
    <t>Studies in the regulation of economic activity</t>
  </si>
  <si>
    <t>2003-04-03</t>
  </si>
  <si>
    <t>1992-04-01</t>
  </si>
  <si>
    <t>5401630:eng</t>
  </si>
  <si>
    <t>13003805</t>
  </si>
  <si>
    <t>991000766659702656</t>
  </si>
  <si>
    <t>2262754090002656</t>
  </si>
  <si>
    <t>9780815715931</t>
  </si>
  <si>
    <t>32285001047389</t>
  </si>
  <si>
    <t>893255713</t>
  </si>
  <si>
    <t>KF2219 .C3 1986</t>
  </si>
  <si>
    <t>0                      KF 2219000C  3           1986</t>
  </si>
  <si>
    <t>Seat belt law experience in four foreign countries compared to the United States / by B.J. Campbell and Frances A. Campbell.</t>
  </si>
  <si>
    <t>Campbell, B. J. (Bob J.)</t>
  </si>
  <si>
    <t>Falls Church, VA (2990 Telestar Ct, Suite 100, Falls Church 22042) : AAA Foundation for Traffic Safety, 1986.</t>
  </si>
  <si>
    <t>vau</t>
  </si>
  <si>
    <t>2005-11-30</t>
  </si>
  <si>
    <t>1995-08-03</t>
  </si>
  <si>
    <t>12030476:eng</t>
  </si>
  <si>
    <t>16531906</t>
  </si>
  <si>
    <t>991001117799702656</t>
  </si>
  <si>
    <t>2272054450002656</t>
  </si>
  <si>
    <t>32285000886407</t>
  </si>
  <si>
    <t>893432607</t>
  </si>
  <si>
    <t>KF223.S5 L8 1969</t>
  </si>
  <si>
    <t>0                      KF 0223000S  5                  L  8           1969</t>
  </si>
  <si>
    <t>The great trial of the Chicago anarchists [by] Dyer D. Lum.</t>
  </si>
  <si>
    <t>Lum, Dyer D. (Dyer Daniel), 1839-1893.</t>
  </si>
  <si>
    <t>New York, Arno Press, 1969.</t>
  </si>
  <si>
    <t>Mass violence in America</t>
  </si>
  <si>
    <t>2003-10-31</t>
  </si>
  <si>
    <t>1997-04-11</t>
  </si>
  <si>
    <t>319730941:eng</t>
  </si>
  <si>
    <t>69575</t>
  </si>
  <si>
    <t>991000316889702656</t>
  </si>
  <si>
    <t>2259715700002656</t>
  </si>
  <si>
    <t>32285002523867</t>
  </si>
  <si>
    <t>893333373</t>
  </si>
  <si>
    <t>KF224.A34 P65 1989</t>
  </si>
  <si>
    <t>0                      KF 0224000A  34                 P  65          1989</t>
  </si>
  <si>
    <t>Fighting faiths : the Abrams case, the Supreme Court, and free speech / Richard Polenberg.</t>
  </si>
  <si>
    <t>Polenberg, Richard.</t>
  </si>
  <si>
    <t>New York, N.Y., U.S.A. : Penguin Books, 1989, c1987.</t>
  </si>
  <si>
    <t>2004-08-25</t>
  </si>
  <si>
    <t>1989-12-18</t>
  </si>
  <si>
    <t>10101957:eng</t>
  </si>
  <si>
    <t>18222616</t>
  </si>
  <si>
    <t>991001320389702656</t>
  </si>
  <si>
    <t>2258405880002656</t>
  </si>
  <si>
    <t>9780140117363</t>
  </si>
  <si>
    <t>32285000018324</t>
  </si>
  <si>
    <t>893891493</t>
  </si>
  <si>
    <t>KF224.F69 M55 1988</t>
  </si>
  <si>
    <t>0                      KF 0224000F  69                 M  55          1988</t>
  </si>
  <si>
    <t>Death by installments : the ordeal of Willie Francis / Arthur S. Miller and Jeffrey H. Bowman.</t>
  </si>
  <si>
    <t>Miller, Arthur Selwyn, 1917-1988.</t>
  </si>
  <si>
    <t>New York : Greenwood Press, 1988.</t>
  </si>
  <si>
    <t>Contributions in legal studies, 0147-1074 ; no. 44</t>
  </si>
  <si>
    <t>1999-10-19</t>
  </si>
  <si>
    <t>1990-04-25</t>
  </si>
  <si>
    <t>2615407:eng</t>
  </si>
  <si>
    <t>17732718</t>
  </si>
  <si>
    <t>991001257419702656</t>
  </si>
  <si>
    <t>2271001390002656</t>
  </si>
  <si>
    <t>9780313260094</t>
  </si>
  <si>
    <t>32285000133438</t>
  </si>
  <si>
    <t>893432735</t>
  </si>
  <si>
    <t>KF224.N39 U54 1989</t>
  </si>
  <si>
    <t>0                      KF 0224000N  39                 U  54          1989</t>
  </si>
  <si>
    <t>The papers &amp; the papers : an account of the legal and political battle over the Pentagon papers / Sanford J. Ungar.</t>
  </si>
  <si>
    <t>Ungar, Sanford J.</t>
  </si>
  <si>
    <t>New York : Columbia University Press, 1989.</t>
  </si>
  <si>
    <t>Columbia University Press Morningside ed.</t>
  </si>
  <si>
    <t>1991-12-30</t>
  </si>
  <si>
    <t>1477835:eng</t>
  </si>
  <si>
    <t>18833153</t>
  </si>
  <si>
    <t>991001402379702656</t>
  </si>
  <si>
    <t>2256264140002656</t>
  </si>
  <si>
    <t>9780231069489</t>
  </si>
  <si>
    <t>32285000862432</t>
  </si>
  <si>
    <t>893238104</t>
  </si>
  <si>
    <t>KF224.N4 K4</t>
  </si>
  <si>
    <t>0                      KF 0224000N  4                  K  4</t>
  </si>
  <si>
    <t>Free Huey! By Edward M. Keating.</t>
  </si>
  <si>
    <t>Keating, Edward M., 1925-</t>
  </si>
  <si>
    <t>[Berkeley, Calif.] Ramparts Press [1971]</t>
  </si>
  <si>
    <t>2003-04-06</t>
  </si>
  <si>
    <t>538694:eng</t>
  </si>
  <si>
    <t>134889</t>
  </si>
  <si>
    <t>991000780889702656</t>
  </si>
  <si>
    <t>2263367130002656</t>
  </si>
  <si>
    <t>32285002524014</t>
  </si>
  <si>
    <t>893438591</t>
  </si>
  <si>
    <t>KF224.S2 R84 1986</t>
  </si>
  <si>
    <t>0                      KF 0224000S  2                  R  84          1986</t>
  </si>
  <si>
    <t>Sacco &amp; Vanzetti : the case resolved / by Francis Russell.</t>
  </si>
  <si>
    <t>Russell, Francis, 1910-1989.</t>
  </si>
  <si>
    <t>New York : Harper &amp; Row, c1986.</t>
  </si>
  <si>
    <t>2008-10-02</t>
  </si>
  <si>
    <t>1990-01-29</t>
  </si>
  <si>
    <t>143957460:eng</t>
  </si>
  <si>
    <t>12804855</t>
  </si>
  <si>
    <t>991000738509702656</t>
  </si>
  <si>
    <t>2256148390002656</t>
  </si>
  <si>
    <t>9780060155247</t>
  </si>
  <si>
    <t>32285000036789</t>
  </si>
  <si>
    <t>893614462</t>
  </si>
  <si>
    <t>KF224.S39 R8</t>
  </si>
  <si>
    <t>0                      KF 0224000S  39                 R  8</t>
  </si>
  <si>
    <t>Tragedy in Dedham : the story of the Sacco-Vanzetti case.</t>
  </si>
  <si>
    <t>New York : McGraw-Hill, [1962]</t>
  </si>
  <si>
    <t>1962</t>
  </si>
  <si>
    <t>1991-09-06</t>
  </si>
  <si>
    <t>198491087:eng</t>
  </si>
  <si>
    <t>345010</t>
  </si>
  <si>
    <t>991002426419702656</t>
  </si>
  <si>
    <t>2269878720002656</t>
  </si>
  <si>
    <t>32285000733922</t>
  </si>
  <si>
    <t>893704061</t>
  </si>
  <si>
    <t>KF224.W33 S57</t>
  </si>
  <si>
    <t>0                      KF 0224000W  33                 S  57</t>
  </si>
  <si>
    <t>To set the record straight : the break-in, the tapes, the conspirators, the pardon / John J. Sirica.</t>
  </si>
  <si>
    <t>Sirica, John J.</t>
  </si>
  <si>
    <t>New York : Norton, c1979.</t>
  </si>
  <si>
    <t>2007-04-02</t>
  </si>
  <si>
    <t>459702:eng</t>
  </si>
  <si>
    <t>4804529</t>
  </si>
  <si>
    <t>991001799619702656</t>
  </si>
  <si>
    <t>2270308730002656</t>
  </si>
  <si>
    <t>9780393012347</t>
  </si>
  <si>
    <t>32285001172831</t>
  </si>
  <si>
    <t>893503711</t>
  </si>
  <si>
    <t>KF228.S9 S39 1986</t>
  </si>
  <si>
    <t>0                      KF 0228000S  9                  S  39          1986</t>
  </si>
  <si>
    <t>Swann's way : the school busing case and the Supreme Court / Bernard Schwartz.</t>
  </si>
  <si>
    <t>Schwartz, Bernard, 1923-1997.</t>
  </si>
  <si>
    <t>2008-11-12</t>
  </si>
  <si>
    <t>143260957:eng</t>
  </si>
  <si>
    <t>12978361</t>
  </si>
  <si>
    <t>991001632049702656</t>
  </si>
  <si>
    <t>2258262280002656</t>
  </si>
  <si>
    <t>9780195038880</t>
  </si>
  <si>
    <t>32285001172914</t>
  </si>
  <si>
    <t>893522698</t>
  </si>
  <si>
    <t>KF27.5 .C65 1987b</t>
  </si>
  <si>
    <t>0                      KF 0027500C  65          1987b</t>
  </si>
  <si>
    <t>Taking the stand : the testimony of Lieutenant Colonel Oliver L. North / with an introduction by Daniel Schorr.</t>
  </si>
  <si>
    <t>United States. Congress. House. Select Committee to Investigate Covert Arms Transactions with Iran.</t>
  </si>
  <si>
    <t>New York : Pocket Books, c1987.</t>
  </si>
  <si>
    <t>1999-04-28</t>
  </si>
  <si>
    <t>12167068:eng</t>
  </si>
  <si>
    <t>16269492</t>
  </si>
  <si>
    <t>991001096329702656</t>
  </si>
  <si>
    <t>2261741580002656</t>
  </si>
  <si>
    <t>9780671659387</t>
  </si>
  <si>
    <t>32285001172708</t>
  </si>
  <si>
    <t>893334041</t>
  </si>
  <si>
    <t>KF272 .S76</t>
  </si>
  <si>
    <t>0                      KF 0272000S  76</t>
  </si>
  <si>
    <t>Handbook of law study / Ferdinand F. Stone.</t>
  </si>
  <si>
    <t>Stone, Ferdinand F. (Ferdinand Fairfax), 1908-1989.</t>
  </si>
  <si>
    <t>Boston : Little, Brown and Compant, c1952.</t>
  </si>
  <si>
    <t>1952</t>
  </si>
  <si>
    <t>2008-08-05</t>
  </si>
  <si>
    <t>1990-03-29</t>
  </si>
  <si>
    <t>1692536:eng</t>
  </si>
  <si>
    <t>717776</t>
  </si>
  <si>
    <t>991003192569702656</t>
  </si>
  <si>
    <t>2258756480002656</t>
  </si>
  <si>
    <t>32285000107242</t>
  </si>
  <si>
    <t>893787053</t>
  </si>
  <si>
    <t>KF272.R43 P7</t>
  </si>
  <si>
    <t>0                      KF 0272000R  43                 P  7</t>
  </si>
  <si>
    <t>Present-day law schools in the United States and Canada, by Alfred Zantzinger Reed.</t>
  </si>
  <si>
    <t>Reed, Alfred Zantzinger, 1875-1949.</t>
  </si>
  <si>
    <t>1928</t>
  </si>
  <si>
    <t>Carnegie Foundation for the Advancement of Teaching. Bulletin, no. 21</t>
  </si>
  <si>
    <t>2006-06-09</t>
  </si>
  <si>
    <t>1286418:eng</t>
  </si>
  <si>
    <t>167016</t>
  </si>
  <si>
    <t>991000945519702656</t>
  </si>
  <si>
    <t>2272399030002656</t>
  </si>
  <si>
    <t>32285002524196</t>
  </si>
  <si>
    <t>893797156</t>
  </si>
  <si>
    <t>KF273 .N97 1997</t>
  </si>
  <si>
    <t>0                      KF 0273000N  97          1997</t>
  </si>
  <si>
    <t>Starting off right in law school / Carolyn J. Nygren.</t>
  </si>
  <si>
    <t>Nygren, Carolyn, 1942-</t>
  </si>
  <si>
    <t>Durham, N.C. : Carolina Academic Press, c1997.</t>
  </si>
  <si>
    <t>2010-05-24</t>
  </si>
  <si>
    <t>648811:eng</t>
  </si>
  <si>
    <t>36663043</t>
  </si>
  <si>
    <t>991005397459702656</t>
  </si>
  <si>
    <t>2260580450002656</t>
  </si>
  <si>
    <t>9780890898772</t>
  </si>
  <si>
    <t>32285005585517</t>
  </si>
  <si>
    <t>893254945</t>
  </si>
  <si>
    <t>KF2750 .M38 1983</t>
  </si>
  <si>
    <t>0                      KF 2750000M  38          1983</t>
  </si>
  <si>
    <t>Media abuses : rights and remedies : a guide to legal remedies / with a foreword by Leonard J. Theberge.</t>
  </si>
  <si>
    <t>Washington, D.C. : Media Institute, c1983.</t>
  </si>
  <si>
    <t>2000-11-10</t>
  </si>
  <si>
    <t>1780195495:eng</t>
  </si>
  <si>
    <t>10190297</t>
  </si>
  <si>
    <t>991000329889702656</t>
  </si>
  <si>
    <t>2264784270002656</t>
  </si>
  <si>
    <t>9780937790205</t>
  </si>
  <si>
    <t>32285001175214</t>
  </si>
  <si>
    <t>893714495</t>
  </si>
  <si>
    <t>KF2750 .N4 1989</t>
  </si>
  <si>
    <t>0                      KF 2750000N  4           1989</t>
  </si>
  <si>
    <t>Law of mass communications : freedom and control of print and broadcast media / by Harold L. Nelson, Dwight L. Teeter, Jr., Don R. Le Duc.</t>
  </si>
  <si>
    <t>Nelson, Harold L. (Harold Lewis)</t>
  </si>
  <si>
    <t>Westbury, N.Y. : Foundation Press, 1989.</t>
  </si>
  <si>
    <t>6th ed.</t>
  </si>
  <si>
    <t>2005-12-12</t>
  </si>
  <si>
    <t>1990-09-24</t>
  </si>
  <si>
    <t>796419430:eng</t>
  </si>
  <si>
    <t>19516367</t>
  </si>
  <si>
    <t>991001468309702656</t>
  </si>
  <si>
    <t>2258351480002656</t>
  </si>
  <si>
    <t>9780882777153</t>
  </si>
  <si>
    <t>32285000277854</t>
  </si>
  <si>
    <t>893250263</t>
  </si>
  <si>
    <t>KF2750 .Z9S63</t>
  </si>
  <si>
    <t>0                      KF 2750000Z  9                  S  63</t>
  </si>
  <si>
    <t>Law for the newsman [by] Dale R. Spencer.</t>
  </si>
  <si>
    <t>Spencer, Dale R.</t>
  </si>
  <si>
    <t>Columbia, Mo., Lucas Bros. [1971]</t>
  </si>
  <si>
    <t>mou</t>
  </si>
  <si>
    <t>1992-02-25</t>
  </si>
  <si>
    <t>1479118:eng</t>
  </si>
  <si>
    <t>292530</t>
  </si>
  <si>
    <t>991002228199702656</t>
  </si>
  <si>
    <t>2265428460002656</t>
  </si>
  <si>
    <t>9780875430713</t>
  </si>
  <si>
    <t>32285000983071</t>
  </si>
  <si>
    <t>893226598</t>
  </si>
  <si>
    <t>KF2750.A59 C36 1990</t>
  </si>
  <si>
    <t>0                      KF 2750000A  59                 C  36          1990</t>
  </si>
  <si>
    <t>The Supreme Court and the mass media : selected cases, summaries, and analyses / Douglas S. Campbell.</t>
  </si>
  <si>
    <t>Campbell, Douglas S.</t>
  </si>
  <si>
    <t>New York : Praeger, 1990.</t>
  </si>
  <si>
    <t>2003-03-02</t>
  </si>
  <si>
    <t>1990-10-17</t>
  </si>
  <si>
    <t>365983212:eng</t>
  </si>
  <si>
    <t>20690322</t>
  </si>
  <si>
    <t>991001604019702656</t>
  </si>
  <si>
    <t>2258009990002656</t>
  </si>
  <si>
    <t>9780275935498</t>
  </si>
  <si>
    <t>32285000311455</t>
  </si>
  <si>
    <t>893529039</t>
  </si>
  <si>
    <t>KF2750.Z95 F56 1984</t>
  </si>
  <si>
    <t>0                      KF 2750000Z  95                 F  56          1984</t>
  </si>
  <si>
    <t>Law &amp; the media in the midwest : a seven-state handbook covering Illinois, Iowa, Minnesota, Nebraska, North Dakota, South Dakota, and Wisconsin / John R. Finnegan, Sr., Patricia A. Hirl.</t>
  </si>
  <si>
    <t>Finnegan, John R.</t>
  </si>
  <si>
    <t>St. Paul, Minn. : Butterworth Legal Publishers, c1984.</t>
  </si>
  <si>
    <t>1990-07-30</t>
  </si>
  <si>
    <t>1991-05-20</t>
  </si>
  <si>
    <t>1781732249:eng</t>
  </si>
  <si>
    <t>11546789</t>
  </si>
  <si>
    <t>991001629309702656</t>
  </si>
  <si>
    <t>2260354560002656</t>
  </si>
  <si>
    <t>9780866781190</t>
  </si>
  <si>
    <t>32285000229376</t>
  </si>
  <si>
    <t>893420440</t>
  </si>
  <si>
    <t>KF2762.113 .A15 1989</t>
  </si>
  <si>
    <t>0                      KF 2762113A  15          1989</t>
  </si>
  <si>
    <t>A Legislative history of the Communications Act of 1934 / edited by Max D. Paglin.</t>
  </si>
  <si>
    <t>New York : Oxford University Press, 1989.</t>
  </si>
  <si>
    <t>2008-07-28</t>
  </si>
  <si>
    <t>1990-01-04</t>
  </si>
  <si>
    <t>55079217:eng</t>
  </si>
  <si>
    <t>17732250</t>
  </si>
  <si>
    <t>991001256929702656</t>
  </si>
  <si>
    <t>2271013300002656</t>
  </si>
  <si>
    <t>9780195049152</t>
  </si>
  <si>
    <t>32285000026350</t>
  </si>
  <si>
    <t>893315645</t>
  </si>
  <si>
    <t>KF2812 .D66 1989</t>
  </si>
  <si>
    <t>0                      KF 2812000D  66          1989</t>
  </si>
  <si>
    <t>The battle to control broadcast news : who owns the First Amendment? / Hugh Carter Donahue.</t>
  </si>
  <si>
    <t>Donahue, Hugh Carter.</t>
  </si>
  <si>
    <t>Cambridge, Mass. : MIT Press, c1989.</t>
  </si>
  <si>
    <t>1994-09-19</t>
  </si>
  <si>
    <t>17094107:eng</t>
  </si>
  <si>
    <t>18191686</t>
  </si>
  <si>
    <t>991001639419702656</t>
  </si>
  <si>
    <t>2268924260002656</t>
  </si>
  <si>
    <t>9780262040990</t>
  </si>
  <si>
    <t>32285000017987</t>
  </si>
  <si>
    <t>893715570</t>
  </si>
  <si>
    <t>KF2812.Z9 D58 1989</t>
  </si>
  <si>
    <t>0                      KF 2812000Z  9                  D  58          1989</t>
  </si>
  <si>
    <t>The Diversity principle : friend or foe of the First Amendment? / edited by Craig R. Smith ; with a preface by Robert Kasten.</t>
  </si>
  <si>
    <t>Washington, D.C. : Media Institute, c1989.</t>
  </si>
  <si>
    <t>Media policy series</t>
  </si>
  <si>
    <t>1994-09-27</t>
  </si>
  <si>
    <t>1994-05-17</t>
  </si>
  <si>
    <t>24492515:eng</t>
  </si>
  <si>
    <t>22590460</t>
  </si>
  <si>
    <t>991001793839702656</t>
  </si>
  <si>
    <t>2259643000002656</t>
  </si>
  <si>
    <t>9780937790403</t>
  </si>
  <si>
    <t>32285001897023</t>
  </si>
  <si>
    <t>893522860</t>
  </si>
  <si>
    <t>KF2905.3 .M4 1993</t>
  </si>
  <si>
    <t>0                      KF 2905300M  4           1993</t>
  </si>
  <si>
    <t>A Measure of malpractice : medical injury, malpractice litigation, and patient compensation / Paul C. Weiler ... [et al.].</t>
  </si>
  <si>
    <t>Cambridge, Mass. : Harvard University Press, 1993.</t>
  </si>
  <si>
    <t>2001-07-10</t>
  </si>
  <si>
    <t>2008-11-25</t>
  </si>
  <si>
    <t>1996-06-06</t>
  </si>
  <si>
    <t>836922203:eng</t>
  </si>
  <si>
    <t>26213672</t>
  </si>
  <si>
    <t>991001653559702656</t>
  </si>
  <si>
    <t>2265643620002656</t>
  </si>
  <si>
    <t>9780674558809</t>
  </si>
  <si>
    <t>32285002189305</t>
  </si>
  <si>
    <t>893596599</t>
  </si>
  <si>
    <t>KF2905.3.A75 S85 1993</t>
  </si>
  <si>
    <t>0                      KF 2905300A  75                 S  85          1993</t>
  </si>
  <si>
    <t>Suing for medical malpractice / Frank A. Sloan ... [et al.].</t>
  </si>
  <si>
    <t>Chicago : University of Chicago Press, c1993.</t>
  </si>
  <si>
    <t>2007-03-15</t>
  </si>
  <si>
    <t>2010-07-17</t>
  </si>
  <si>
    <t>1995-03-21</t>
  </si>
  <si>
    <t>3856725260:eng</t>
  </si>
  <si>
    <t>27147648</t>
  </si>
  <si>
    <t>991001656289702656</t>
  </si>
  <si>
    <t>2256080490002656</t>
  </si>
  <si>
    <t>9780226762791</t>
  </si>
  <si>
    <t>32285002003704</t>
  </si>
  <si>
    <t>893261893</t>
  </si>
  <si>
    <t>KF2915.M5 D48 1985</t>
  </si>
  <si>
    <t>0                      KF 2915000M  5                  D  48          1985</t>
  </si>
  <si>
    <t>Regulating birth : midwives, medicine, &amp; the law / Raymond G. DeVries.</t>
  </si>
  <si>
    <t>De Vries, Raymond G.</t>
  </si>
  <si>
    <t>Philadelphia : Temple University Press, c1985.</t>
  </si>
  <si>
    <t>Health, society, and policy</t>
  </si>
  <si>
    <t>2008-10-04</t>
  </si>
  <si>
    <t>2008-11-30</t>
  </si>
  <si>
    <t>1992-04-28</t>
  </si>
  <si>
    <t>2000-07-26</t>
  </si>
  <si>
    <t>312604902:eng</t>
  </si>
  <si>
    <t>11133016</t>
  </si>
  <si>
    <t>991001680579702656</t>
  </si>
  <si>
    <t>2255343090002656</t>
  </si>
  <si>
    <t>9780877223795</t>
  </si>
  <si>
    <t>32285001089977</t>
  </si>
  <si>
    <t>893772794</t>
  </si>
  <si>
    <t>KF2920.3 .C37 1982</t>
  </si>
  <si>
    <t>0                      KF 2920300C  37          1982</t>
  </si>
  <si>
    <t>Duties and liabilities of public accountants / Denzil Y. Causey, Jr.</t>
  </si>
  <si>
    <t>Causey, Denzil Y.</t>
  </si>
  <si>
    <t>Homewood, Ill. : Dow Jones-Irwin, c1982.</t>
  </si>
  <si>
    <t>Rev. ed.</t>
  </si>
  <si>
    <t>2004-11-11</t>
  </si>
  <si>
    <t>7219170:eng</t>
  </si>
  <si>
    <t>8752355</t>
  </si>
  <si>
    <t>991000063259702656</t>
  </si>
  <si>
    <t>2267714700002656</t>
  </si>
  <si>
    <t>9780870943256</t>
  </si>
  <si>
    <t>32285001175594</t>
  </si>
  <si>
    <t>893419159</t>
  </si>
  <si>
    <t>KF2921.J63 A4 1960</t>
  </si>
  <si>
    <t>0                      KF 2921000J  63                 A  4           1960</t>
  </si>
  <si>
    <t>Alcoholic beverage control; an official study.</t>
  </si>
  <si>
    <t>Joint Committee of the States to Study Alcoholic Beverage Laws.</t>
  </si>
  <si>
    <t>1960</t>
  </si>
  <si>
    <t>Rev. and up-dated.</t>
  </si>
  <si>
    <t>2005-04-05</t>
  </si>
  <si>
    <t>1997-04-16</t>
  </si>
  <si>
    <t>2667140:eng</t>
  </si>
  <si>
    <t>2313471</t>
  </si>
  <si>
    <t>991004074039702656</t>
  </si>
  <si>
    <t>2260111620002656</t>
  </si>
  <si>
    <t>32285002550654</t>
  </si>
  <si>
    <t>893253215</t>
  </si>
  <si>
    <t>KF297 .G64</t>
  </si>
  <si>
    <t>0                      KF 0297000G  64</t>
  </si>
  <si>
    <t>Going to law school? : Readings on a legal career / Thomas Ehrlich, Geoffrey C. Hazard, Jr.</t>
  </si>
  <si>
    <t>Boston : Little, Brown, 1975.</t>
  </si>
  <si>
    <t>2009-09-27</t>
  </si>
  <si>
    <t>1990-01-25</t>
  </si>
  <si>
    <t>1992-08-05</t>
  </si>
  <si>
    <t>996707579:eng</t>
  </si>
  <si>
    <t>1974986</t>
  </si>
  <si>
    <t>991001740359702656</t>
  </si>
  <si>
    <t>2262817500002656</t>
  </si>
  <si>
    <t>32285000005842</t>
  </si>
  <si>
    <t>893590598</t>
  </si>
  <si>
    <t>KF297 .M3</t>
  </si>
  <si>
    <t>0                      KF 0297000M  3</t>
  </si>
  <si>
    <t>The lawyers.</t>
  </si>
  <si>
    <t>Mayer, Martin, 1928-</t>
  </si>
  <si>
    <t>New York : Harper &amp; Row, [1967]</t>
  </si>
  <si>
    <t>1994-07-23</t>
  </si>
  <si>
    <t>1995-01-17</t>
  </si>
  <si>
    <t>1992-02-26</t>
  </si>
  <si>
    <t>1997-03-21</t>
  </si>
  <si>
    <t>1471573:eng</t>
  </si>
  <si>
    <t>510192</t>
  </si>
  <si>
    <t>991001649529702656</t>
  </si>
  <si>
    <t>2260018380002656</t>
  </si>
  <si>
    <t>32285000975986</t>
  </si>
  <si>
    <t>893891698</t>
  </si>
  <si>
    <t>KF297 .S47 1986</t>
  </si>
  <si>
    <t>0                      KF 0297000S  47          1986</t>
  </si>
  <si>
    <t>Lawyers for hire : salaried professionals at work / Eve Spangler.</t>
  </si>
  <si>
    <t>Spangler, Eve, 1946-</t>
  </si>
  <si>
    <t>New Haven : Yale University Press, c1986.</t>
  </si>
  <si>
    <t>2008-10-14</t>
  </si>
  <si>
    <t>1990-01-02</t>
  </si>
  <si>
    <t>1991-07-03</t>
  </si>
  <si>
    <t>836721298:eng</t>
  </si>
  <si>
    <t>12262013</t>
  </si>
  <si>
    <t>991001630739702656</t>
  </si>
  <si>
    <t>2270668630002656</t>
  </si>
  <si>
    <t>9780300034622</t>
  </si>
  <si>
    <t>32285000019587</t>
  </si>
  <si>
    <t>893891687</t>
  </si>
  <si>
    <t>KF2979 .B36 1987</t>
  </si>
  <si>
    <t>0                      KF 2979000B  36          1987</t>
  </si>
  <si>
    <t>Protecting intellectual property rights : issues and controversies / Robert P. Benko.</t>
  </si>
  <si>
    <t>Benko, Robert P.</t>
  </si>
  <si>
    <t>Washington, D.C. : American Enterprise Institute for Public Policy Research, c1987.</t>
  </si>
  <si>
    <t>AEI studies ; 453</t>
  </si>
  <si>
    <t>2010-10-08</t>
  </si>
  <si>
    <t>1991-11-25</t>
  </si>
  <si>
    <t>8550617:eng</t>
  </si>
  <si>
    <t>15016747</t>
  </si>
  <si>
    <t>991000977319702656</t>
  </si>
  <si>
    <t>2264330640002656</t>
  </si>
  <si>
    <t>9780844736228</t>
  </si>
  <si>
    <t>32285000844208</t>
  </si>
  <si>
    <t>893444534</t>
  </si>
  <si>
    <t>KF298 .B42</t>
  </si>
  <si>
    <t>0                      KF 0298000B  42</t>
  </si>
  <si>
    <t>Political behavioralism and modern jurisprudence: a working theory and study in judicial decision-making [by] Theodore L. Becker.</t>
  </si>
  <si>
    <t>Becker, Theodore L. (Theodore Lewis), 1932-</t>
  </si>
  <si>
    <t>Chicago, Rand McNally [c1964]</t>
  </si>
  <si>
    <t>2005-09-13</t>
  </si>
  <si>
    <t>1592251:eng</t>
  </si>
  <si>
    <t>498372</t>
  </si>
  <si>
    <t>991002869809702656</t>
  </si>
  <si>
    <t>2272532640002656</t>
  </si>
  <si>
    <t>32285002524246</t>
  </si>
  <si>
    <t>893317376</t>
  </si>
  <si>
    <t>KF2980 .S55</t>
  </si>
  <si>
    <t>0                      KF 2980000S  55</t>
  </si>
  <si>
    <t>Copyright, patents, and trademarks : the protection of intellectual and industrial property / by Richard Wincor and Irving Mandell.</t>
  </si>
  <si>
    <t>Wincor, Richard.</t>
  </si>
  <si>
    <t>Dobbs Ferry, N.Y. : Oceana Publications, 1980.</t>
  </si>
  <si>
    <t>Legal almanac series ; no. 14</t>
  </si>
  <si>
    <t>451780:eng</t>
  </si>
  <si>
    <t>6422925</t>
  </si>
  <si>
    <t>991004981599702656</t>
  </si>
  <si>
    <t>2269148790002656</t>
  </si>
  <si>
    <t>9780379111385</t>
  </si>
  <si>
    <t>32285000844182</t>
  </si>
  <si>
    <t>893532998</t>
  </si>
  <si>
    <t>KF2995 .G55</t>
  </si>
  <si>
    <t>0                      KF 2995000G  55</t>
  </si>
  <si>
    <t>Writers' and artists' rights : basic benefits and protections to authors, artists, composers, sculptors, photographers, choreographers, and movie-makers under the new American copyright law / Don Glassman.</t>
  </si>
  <si>
    <t>Glassman, Donald, 1903-</t>
  </si>
  <si>
    <t>Washington : Writers Press, c1978.</t>
  </si>
  <si>
    <t>2008-11-26</t>
  </si>
  <si>
    <t>815153155:eng</t>
  </si>
  <si>
    <t>4037147</t>
  </si>
  <si>
    <t>991004574729702656</t>
  </si>
  <si>
    <t>2270858340002656</t>
  </si>
  <si>
    <t>9780931536014</t>
  </si>
  <si>
    <t>32285000844133</t>
  </si>
  <si>
    <t>893500746</t>
  </si>
  <si>
    <t>KF3020.Z9 J45 1996</t>
  </si>
  <si>
    <t>0                      KF 3020000Z  9                  J  45          1996</t>
  </si>
  <si>
    <t>Does your project have a copyright problem? : a decision-making guide for librarians / by Mary Brandt Jensen.</t>
  </si>
  <si>
    <t>Jensen, Mary Brandt.</t>
  </si>
  <si>
    <t>Jefferson, N.C. : McFarland &amp; Co., 1996.</t>
  </si>
  <si>
    <t>2003-11-03</t>
  </si>
  <si>
    <t>1997-02-03</t>
  </si>
  <si>
    <t>836992649:eng</t>
  </si>
  <si>
    <t>35128167</t>
  </si>
  <si>
    <t>991005424439702656</t>
  </si>
  <si>
    <t>2271028140002656</t>
  </si>
  <si>
    <t>9780786402823</t>
  </si>
  <si>
    <t>32285002413507</t>
  </si>
  <si>
    <t>893877521</t>
  </si>
  <si>
    <t>KF3030.1 .P37 1985</t>
  </si>
  <si>
    <t>0                      KF 3030100P  37          1985</t>
  </si>
  <si>
    <t>The fair use privilege in copyright law / William F. Patry.</t>
  </si>
  <si>
    <t>Patry, William F.</t>
  </si>
  <si>
    <t>Washington, D.C. : Bureau of National Affairs, c1985.</t>
  </si>
  <si>
    <t>1996-07-12</t>
  </si>
  <si>
    <t>4307819:eng</t>
  </si>
  <si>
    <t>11755830</t>
  </si>
  <si>
    <t>991000584399702656</t>
  </si>
  <si>
    <t>2270718230002656</t>
  </si>
  <si>
    <t>9780871794512</t>
  </si>
  <si>
    <t>32285000036805</t>
  </si>
  <si>
    <t>893897023</t>
  </si>
  <si>
    <t>KF3030.4 .S56 1984</t>
  </si>
  <si>
    <t>0                      KF 3030400S  56          1984</t>
  </si>
  <si>
    <t>Off-air videotaping in education : copyright issues, decisions, implications / Esther R. Sinofsky.</t>
  </si>
  <si>
    <t>Sinofsky, Esther Rita.</t>
  </si>
  <si>
    <t>New York : R.R. Bowker Co., 1984.</t>
  </si>
  <si>
    <t>2001-01-23</t>
  </si>
  <si>
    <t>233762438:eng</t>
  </si>
  <si>
    <t>11090255</t>
  </si>
  <si>
    <t>991005404409702656</t>
  </si>
  <si>
    <t>2269222110002656</t>
  </si>
  <si>
    <t>9780835217552</t>
  </si>
  <si>
    <t>32285000229392</t>
  </si>
  <si>
    <t>893802250</t>
  </si>
  <si>
    <t>KF306 .E84 1986</t>
  </si>
  <si>
    <t>0                      KF 0306000E  84          1986</t>
  </si>
  <si>
    <t>Ethics and the legal profession / edited by Michael Davis and Frederick A. Elliston.</t>
  </si>
  <si>
    <t>Buffalo, N.Y. : Prometheus Books, 1986.</t>
  </si>
  <si>
    <t>2009-10-20</t>
  </si>
  <si>
    <t>1992-04-09</t>
  </si>
  <si>
    <t>1993-01-04</t>
  </si>
  <si>
    <t>54836412:eng</t>
  </si>
  <si>
    <t>15595109</t>
  </si>
  <si>
    <t>991001636089702656</t>
  </si>
  <si>
    <t>2255383300002656</t>
  </si>
  <si>
    <t>9780879753313</t>
  </si>
  <si>
    <t>32285001058402</t>
  </si>
  <si>
    <t>893885432</t>
  </si>
  <si>
    <t>KF3197 .P658 1989</t>
  </si>
  <si>
    <t>0                      KF 3197000P  658         1989</t>
  </si>
  <si>
    <t>Trade secrets : a guide to protecting proprietary business information / James H.A. Pooley.</t>
  </si>
  <si>
    <t>Pooley, James.</t>
  </si>
  <si>
    <t>New York : American Management Association, 1989, c1987.</t>
  </si>
  <si>
    <t>2002-04-03</t>
  </si>
  <si>
    <t>3856349836:eng</t>
  </si>
  <si>
    <t>19623602</t>
  </si>
  <si>
    <t>991001479949702656</t>
  </si>
  <si>
    <t>2260896070002656</t>
  </si>
  <si>
    <t>9780814477243</t>
  </si>
  <si>
    <t>32285000844109</t>
  </si>
  <si>
    <t>893797601</t>
  </si>
  <si>
    <t>KF3319 .H83 1984</t>
  </si>
  <si>
    <t>0                      KF 3319000H  83          1984</t>
  </si>
  <si>
    <t>The law of the workplace : rights of employers and employees / James W. Hunt.</t>
  </si>
  <si>
    <t>Hunt, James W.</t>
  </si>
  <si>
    <t>Washington, D.C. : Bureau of National Affairs, c1984.</t>
  </si>
  <si>
    <t>1992-06-29</t>
  </si>
  <si>
    <t>3406311:eng</t>
  </si>
  <si>
    <t>10724891</t>
  </si>
  <si>
    <t>991000416639702656</t>
  </si>
  <si>
    <t>2263361580002656</t>
  </si>
  <si>
    <t>9780871794468</t>
  </si>
  <si>
    <t>32285001175917</t>
  </si>
  <si>
    <t>893796621</t>
  </si>
  <si>
    <t>KF3457 .M5 1979</t>
  </si>
  <si>
    <t>0                      KF 3457000M  5           1979</t>
  </si>
  <si>
    <t>Employee selection within the law / Mary Green Miner, John B. Miner.</t>
  </si>
  <si>
    <t>Miner, Mary Green.</t>
  </si>
  <si>
    <t>Washington : Bureau of National Affairs, c1979.</t>
  </si>
  <si>
    <t>1992-03-24</t>
  </si>
  <si>
    <t>1996-05-22</t>
  </si>
  <si>
    <t>518242:eng</t>
  </si>
  <si>
    <t>5007559</t>
  </si>
  <si>
    <t>991001804089702656</t>
  </si>
  <si>
    <t>2271670540002656</t>
  </si>
  <si>
    <t>9780871792648</t>
  </si>
  <si>
    <t>32285001040012</t>
  </si>
  <si>
    <t>893684667</t>
  </si>
  <si>
    <t>KF3464 .B83 1985</t>
  </si>
  <si>
    <t>0                      KF 3464000B  83          1985</t>
  </si>
  <si>
    <t>Discrimination, jobs, and politics : the struggle for equal employment opportunity in the United States since the New Deal / Paul Burstein.</t>
  </si>
  <si>
    <t>Burstein, Paul.</t>
  </si>
  <si>
    <t>Chicago : University of Chicago Press, c1985.</t>
  </si>
  <si>
    <t>2006-05-05</t>
  </si>
  <si>
    <t>1992-04-14</t>
  </si>
  <si>
    <t>836706188:eng</t>
  </si>
  <si>
    <t>11866510</t>
  </si>
  <si>
    <t>991000605589702656</t>
  </si>
  <si>
    <t>2265078190002656</t>
  </si>
  <si>
    <t>9780226081359</t>
  </si>
  <si>
    <t>32285001068237</t>
  </si>
  <si>
    <t>893890852</t>
  </si>
  <si>
    <t>KF3464 .P47</t>
  </si>
  <si>
    <t>0                      KF 3464000P  47</t>
  </si>
  <si>
    <t>Dealing with employment discrimination / Richard Peres.</t>
  </si>
  <si>
    <t>Peres, Richard, 1947-</t>
  </si>
  <si>
    <t>New York : McGraw-Hill, c1978.</t>
  </si>
  <si>
    <t>2006-05-02</t>
  </si>
  <si>
    <t>1991-10-29</t>
  </si>
  <si>
    <t>147332572:eng</t>
  </si>
  <si>
    <t>3071951</t>
  </si>
  <si>
    <t>991004334429702656</t>
  </si>
  <si>
    <t>2267991970002656</t>
  </si>
  <si>
    <t>9780070493179</t>
  </si>
  <si>
    <t>32285000802917</t>
  </si>
  <si>
    <t>893343709</t>
  </si>
  <si>
    <t>KF3467 .M37 1989</t>
  </si>
  <si>
    <t>0                      KF 3467000M  37          1989</t>
  </si>
  <si>
    <t>Litigation, courts, and women workers / Karen J. Maschke.</t>
  </si>
  <si>
    <t>Maschke, Karen J.</t>
  </si>
  <si>
    <t>New York : Praeger, 1989.</t>
  </si>
  <si>
    <t>2007-12-06</t>
  </si>
  <si>
    <t>1990-07-18</t>
  </si>
  <si>
    <t>2565377:eng</t>
  </si>
  <si>
    <t>18949568</t>
  </si>
  <si>
    <t>991001640549702656</t>
  </si>
  <si>
    <t>2270770090002656</t>
  </si>
  <si>
    <t>9780275930653</t>
  </si>
  <si>
    <t>32285000238799</t>
  </si>
  <si>
    <t>893803765</t>
  </si>
  <si>
    <t>KF3467 .P45 1981</t>
  </si>
  <si>
    <t>0                      KF 3467000P  45          1981</t>
  </si>
  <si>
    <t>Sex discrimination in employment : an analysis and guide for practitioner and student / William F. Pepper and Florynce R. Kennedy.</t>
  </si>
  <si>
    <t>Pepper, William F., 1937-</t>
  </si>
  <si>
    <t>Charlottesville, Va. : Michie Co., c1981.</t>
  </si>
  <si>
    <t>2009-12-13</t>
  </si>
  <si>
    <t>1992-07-16</t>
  </si>
  <si>
    <t>309281456:eng</t>
  </si>
  <si>
    <t>8339037</t>
  </si>
  <si>
    <t>991001622259702656</t>
  </si>
  <si>
    <t>2266294790002656</t>
  </si>
  <si>
    <t>9780872153318</t>
  </si>
  <si>
    <t>32285000829878</t>
  </si>
  <si>
    <t>893602716</t>
  </si>
  <si>
    <t>KF3467.Z9 P39 1984</t>
  </si>
  <si>
    <t>0                      KF 3467000Z  9                  P  39          1984</t>
  </si>
  <si>
    <t>Pay equity and comparable worth.</t>
  </si>
  <si>
    <t>Washington, D.C. (1231 25th St., N.W., Washington 20037) : Bureau of National Affairs, c1984.</t>
  </si>
  <si>
    <t>A BNA special report</t>
  </si>
  <si>
    <t>2004-04-16</t>
  </si>
  <si>
    <t>1992-07-01</t>
  </si>
  <si>
    <t>3724208:eng</t>
  </si>
  <si>
    <t>11058544</t>
  </si>
  <si>
    <t>991000482529702656</t>
  </si>
  <si>
    <t>2257837100002656</t>
  </si>
  <si>
    <t>32285001176253</t>
  </si>
  <si>
    <t>893528077</t>
  </si>
  <si>
    <t>KF3469 .Z55</t>
  </si>
  <si>
    <t>0                      KF 3469000Z  55</t>
  </si>
  <si>
    <t>Employing the handicapped : a practical compliance manual / by Arno B. Zimmer.</t>
  </si>
  <si>
    <t>Zimmer, Arno B.</t>
  </si>
  <si>
    <t>New York, N.Y. : AMACOM, c1981.</t>
  </si>
  <si>
    <t>2006-10-01</t>
  </si>
  <si>
    <t>476316:eng</t>
  </si>
  <si>
    <t>6890632</t>
  </si>
  <si>
    <t>991005055009702656</t>
  </si>
  <si>
    <t>2261861110002656</t>
  </si>
  <si>
    <t>9780814455258</t>
  </si>
  <si>
    <t>32285000133453</t>
  </si>
  <si>
    <t>893446529</t>
  </si>
  <si>
    <t>KF3471 .E44 1981</t>
  </si>
  <si>
    <t>0                      KF 3471000E  44          1981</t>
  </si>
  <si>
    <t>Employee termination handbook : legal and psychological guidelines for employers.</t>
  </si>
  <si>
    <t>New York, N.Y. : Executive Enterprises Publications Co., c1981.</t>
  </si>
  <si>
    <t>147265969:eng</t>
  </si>
  <si>
    <t>7946044</t>
  </si>
  <si>
    <t>991005181079702656</t>
  </si>
  <si>
    <t>2272574710002656</t>
  </si>
  <si>
    <t>9780917386411</t>
  </si>
  <si>
    <t>32285001176261</t>
  </si>
  <si>
    <t>893418511</t>
  </si>
  <si>
    <t>KF3484.7 .C65 1966</t>
  </si>
  <si>
    <t>0                      KF 3484700C  65          1966</t>
  </si>
  <si>
    <t>New 1966 minimum wage law, with explanation; fair labor standards act with 1966 amendments, as passed by Congress and sent to the President, September 14, 1966. H.R. 13712.</t>
  </si>
  <si>
    <t>Commerce Clearing House.</t>
  </si>
  <si>
    <t>2004-11-29</t>
  </si>
  <si>
    <t>3768996680:eng</t>
  </si>
  <si>
    <t>22563995</t>
  </si>
  <si>
    <t>991001792709702656</t>
  </si>
  <si>
    <t>2265489150002656</t>
  </si>
  <si>
    <t>32285002550852</t>
  </si>
  <si>
    <t>893328385</t>
  </si>
  <si>
    <t>KF352 .H35 1989</t>
  </si>
  <si>
    <t>0                      KF 0352000H  35          1989</t>
  </si>
  <si>
    <t>The magic mirror : law in American history / Kermit L. Hall.</t>
  </si>
  <si>
    <t>Hall, Kermit L., 1944-2006.</t>
  </si>
  <si>
    <t>2004-01-29</t>
  </si>
  <si>
    <t>2009-10-09</t>
  </si>
  <si>
    <t>16861558:eng</t>
  </si>
  <si>
    <t>17983789</t>
  </si>
  <si>
    <t>991001685919702656</t>
  </si>
  <si>
    <t>2258710440002656</t>
  </si>
  <si>
    <t>9780195044591</t>
  </si>
  <si>
    <t>32285001173052</t>
  </si>
  <si>
    <t>893408284</t>
  </si>
  <si>
    <t>KF352 .P69</t>
  </si>
  <si>
    <t>0                      KF 0352000P  69</t>
  </si>
  <si>
    <t>The lawyer from antiquity to modern times : with particular reference to the development of bar associations in the United States / by Roscoe Pound.</t>
  </si>
  <si>
    <t>Pound, Roscoe, 1870-1964.</t>
  </si>
  <si>
    <t>St. Paul, Minn. : West Pub. Co., 1953.</t>
  </si>
  <si>
    <t>1953</t>
  </si>
  <si>
    <t>2006-03-16</t>
  </si>
  <si>
    <t>1994-01-06</t>
  </si>
  <si>
    <t>1868948:eng</t>
  </si>
  <si>
    <t>887980</t>
  </si>
  <si>
    <t>991001686349702656</t>
  </si>
  <si>
    <t>2255258030002656</t>
  </si>
  <si>
    <t>32285001828689</t>
  </si>
  <si>
    <t>893426762</t>
  </si>
  <si>
    <t>KF352.A2 L37 1989</t>
  </si>
  <si>
    <t>0                      KF 0352000A  2                  L  37          1989</t>
  </si>
  <si>
    <t>The Law in America, 1607-1861 / edited by William Pencak and Wythe W. Holt, Jr.</t>
  </si>
  <si>
    <t>New York : New-York Historical Society, 1989.</t>
  </si>
  <si>
    <t>2006-08-04</t>
  </si>
  <si>
    <t>19410360:eng</t>
  </si>
  <si>
    <t>18948090</t>
  </si>
  <si>
    <t>991001415479702656</t>
  </si>
  <si>
    <t>2271840350002656</t>
  </si>
  <si>
    <t>9780916141035</t>
  </si>
  <si>
    <t>32285000155720</t>
  </si>
  <si>
    <t>893590276</t>
  </si>
  <si>
    <t>KF3649 .R47 1985</t>
  </si>
  <si>
    <t>0                      KF 3649000R  47          1985</t>
  </si>
  <si>
    <t>The Report of the Committee on Economic Security of 1935 ; and other basic documents relating to the development of the Social Security Act / with essays by Wilbur Cohen and Robert Ball ; foreword by Alan Pifer and Forrest Chisman.</t>
  </si>
  <si>
    <t>Washington, D.C. : National Conference on Social Welfare, c1985.</t>
  </si>
  <si>
    <t>50th anniversary ed.</t>
  </si>
  <si>
    <t>2004-11-28</t>
  </si>
  <si>
    <t>6882640:eng</t>
  </si>
  <si>
    <t>13457040</t>
  </si>
  <si>
    <t>991000833959702656</t>
  </si>
  <si>
    <t>2255703410002656</t>
  </si>
  <si>
    <t>9780933597037</t>
  </si>
  <si>
    <t>32285001176394</t>
  </si>
  <si>
    <t>893884802</t>
  </si>
  <si>
    <t>KF366 .Z34 1983</t>
  </si>
  <si>
    <t>0                      KF 0366000Z  34          1983</t>
  </si>
  <si>
    <t>Law in antebellum society : legal change and economic expansion / Jamil Zainaldin.</t>
  </si>
  <si>
    <t>Zainaldin, Jamil S., 1948-</t>
  </si>
  <si>
    <t>New York : Knopf, c1983.</t>
  </si>
  <si>
    <t>Borzoi books in law and American society</t>
  </si>
  <si>
    <t>2007-10-01</t>
  </si>
  <si>
    <t>43678146:eng</t>
  </si>
  <si>
    <t>9195535</t>
  </si>
  <si>
    <t>991000146169702656</t>
  </si>
  <si>
    <t>2266451670002656</t>
  </si>
  <si>
    <t>9780394331966</t>
  </si>
  <si>
    <t>32285001173177</t>
  </si>
  <si>
    <t>893431736</t>
  </si>
  <si>
    <t>KF373.D35 T53</t>
  </si>
  <si>
    <t>0                      KF 0373000D  35                 T  53</t>
  </si>
  <si>
    <t>Darrow, a biography / Kevin Tierney.</t>
  </si>
  <si>
    <t>Tierney, Kevin.</t>
  </si>
  <si>
    <t>New York : Crowell, c1979.</t>
  </si>
  <si>
    <t>1997-05-28</t>
  </si>
  <si>
    <t>577528:eng</t>
  </si>
  <si>
    <t>4642238</t>
  </si>
  <si>
    <t>991004696979702656</t>
  </si>
  <si>
    <t>2257922450002656</t>
  </si>
  <si>
    <t>9780690014082</t>
  </si>
  <si>
    <t>32285001173227</t>
  </si>
  <si>
    <t>893247864</t>
  </si>
  <si>
    <t>KF373.L496 A3 1998</t>
  </si>
  <si>
    <t>0                      KF 0373000L  496                A  3           1998</t>
  </si>
  <si>
    <t>Lawyer : a life of counsel and controversy / Arthur L. Liman ; with the assistance of Peter Israel.</t>
  </si>
  <si>
    <t>Liman, Arthur L.</t>
  </si>
  <si>
    <t>New York : PublicAffairs, c1998.</t>
  </si>
  <si>
    <t>2007-12-14</t>
  </si>
  <si>
    <t>1999-05-17</t>
  </si>
  <si>
    <t>286520896:eng</t>
  </si>
  <si>
    <t>39262000</t>
  </si>
  <si>
    <t>991001678169702656</t>
  </si>
  <si>
    <t>2265943080002656</t>
  </si>
  <si>
    <t>9781891620041</t>
  </si>
  <si>
    <t>32285003570891</t>
  </si>
  <si>
    <t>893803800</t>
  </si>
  <si>
    <t>KF3771 .R46 1989</t>
  </si>
  <si>
    <t>0                      KF 3771000R  46          1989</t>
  </si>
  <si>
    <t>Reproductive laws for the 1990s / edited by Sherrill Cohen and Nadine Taub.</t>
  </si>
  <si>
    <t>Clifton, N.J. : Humana Press, c1989.</t>
  </si>
  <si>
    <t>Contemporary issues in biomedicine, ethics, and society</t>
  </si>
  <si>
    <t>2000-01-10</t>
  </si>
  <si>
    <t>1989-10-20</t>
  </si>
  <si>
    <t>1991-07-19</t>
  </si>
  <si>
    <t>435151644:eng</t>
  </si>
  <si>
    <t>18414548</t>
  </si>
  <si>
    <t>991001639739702656</t>
  </si>
  <si>
    <t>2256132720002656</t>
  </si>
  <si>
    <t>9780896031579</t>
  </si>
  <si>
    <t>32285000002724</t>
  </si>
  <si>
    <t>893596587</t>
  </si>
  <si>
    <t>KF380 .I58 1980</t>
  </si>
  <si>
    <t>0                      KF 0380000I  58          1980</t>
  </si>
  <si>
    <t>Introduction to law and the legal process / Bernard F. Cataldo ... [et al.].</t>
  </si>
  <si>
    <t>New York : Wiley, c1980.</t>
  </si>
  <si>
    <t>3d ed.</t>
  </si>
  <si>
    <t>1997-12-07</t>
  </si>
  <si>
    <t>53975888:eng</t>
  </si>
  <si>
    <t>4933316</t>
  </si>
  <si>
    <t>991004750529702656</t>
  </si>
  <si>
    <t>2269096090002656</t>
  </si>
  <si>
    <t>9780471140825</t>
  </si>
  <si>
    <t>32285001173342</t>
  </si>
  <si>
    <t>893411906</t>
  </si>
  <si>
    <t>KF380 .R67</t>
  </si>
  <si>
    <t>0                      KF 0380000R  67</t>
  </si>
  <si>
    <t>The Supreme Court and social science / [by] Paul L. Rosen.</t>
  </si>
  <si>
    <t>Rosen, Paul L.</t>
  </si>
  <si>
    <t>Urbana : University of Illinois Press, [1972]</t>
  </si>
  <si>
    <t>2007-04-16</t>
  </si>
  <si>
    <t>1994-09-29</t>
  </si>
  <si>
    <t>6092521:eng</t>
  </si>
  <si>
    <t>2780194</t>
  </si>
  <si>
    <t>991001773679702656</t>
  </si>
  <si>
    <t>2262887020002656</t>
  </si>
  <si>
    <t>9780252002359</t>
  </si>
  <si>
    <t>32285001953008</t>
  </si>
  <si>
    <t>893596726</t>
  </si>
  <si>
    <t>KF3827.E87 C36 1987</t>
  </si>
  <si>
    <t>0                      KF 3827000E  87                 C  36          1987</t>
  </si>
  <si>
    <t>Legal frontiers of death and dying / by Norman L. Cantor.</t>
  </si>
  <si>
    <t>Cantor, Norman L.</t>
  </si>
  <si>
    <t>Bloomington : Indiana University Press, c1987.</t>
  </si>
  <si>
    <t>Medical ethics series</t>
  </si>
  <si>
    <t>2009-04-05</t>
  </si>
  <si>
    <t>1990-02-27</t>
  </si>
  <si>
    <t>1994-06-27</t>
  </si>
  <si>
    <t>7988587:eng</t>
  </si>
  <si>
    <t>13796768</t>
  </si>
  <si>
    <t>991001633999702656</t>
  </si>
  <si>
    <t>2270610400002656</t>
  </si>
  <si>
    <t>9780253332905</t>
  </si>
  <si>
    <t>32285000071281</t>
  </si>
  <si>
    <t>893256362</t>
  </si>
  <si>
    <t>KF3827.G4 N38 1984</t>
  </si>
  <si>
    <t>0                      KF 3827000G  4                  N  38          1984</t>
  </si>
  <si>
    <t>Genetics and the law III / edited by Aubrey Milunsky and George J. Annas.</t>
  </si>
  <si>
    <t>National Symposium on Genetics and the Law (3rd : 1984 : Boston, Mass.)</t>
  </si>
  <si>
    <t>New York : Plenum Press, c1985.</t>
  </si>
  <si>
    <t>2005-04-25</t>
  </si>
  <si>
    <t>1992-04-15</t>
  </si>
  <si>
    <t>477306528:eng</t>
  </si>
  <si>
    <t>12555484</t>
  </si>
  <si>
    <t>991000704269702656</t>
  </si>
  <si>
    <t>2257836240002656</t>
  </si>
  <si>
    <t>9780306419836</t>
  </si>
  <si>
    <t>32285001061570</t>
  </si>
  <si>
    <t>893528312</t>
  </si>
  <si>
    <t>KF3827.M38 K35</t>
  </si>
  <si>
    <t>0                      KF 3827000M  38                 K  35</t>
  </si>
  <si>
    <t>Experimentation with human beings; the authority of the investigator, subject, professions, and state in the human experimentation process. [Compiled by] Jay Katz with the assistance of Alexander Morgan Capron and Eleanor Swift Glass.</t>
  </si>
  <si>
    <t>Katz, Jay, 1922-2008, compiler.</t>
  </si>
  <si>
    <t>New York, Russell Sage Foundation [c1972]</t>
  </si>
  <si>
    <t>2009-04-15</t>
  </si>
  <si>
    <t>808768542:eng</t>
  </si>
  <si>
    <t>516098</t>
  </si>
  <si>
    <t>991001650879702656</t>
  </si>
  <si>
    <t>2256615830002656</t>
  </si>
  <si>
    <t>9780871544384</t>
  </si>
  <si>
    <t>32285002550985</t>
  </si>
  <si>
    <t>893809127</t>
  </si>
  <si>
    <t>KF385.A4 G7 1983</t>
  </si>
  <si>
    <t>0                      KF 0385000A  4                  G  7           1983</t>
  </si>
  <si>
    <t>Introduction to law and the legal system / Harold J. Grilliot.</t>
  </si>
  <si>
    <t>Grilliot, Harold J.</t>
  </si>
  <si>
    <t>Boston : Houghton Mifflin, c1983.</t>
  </si>
  <si>
    <t>3rd ed.</t>
  </si>
  <si>
    <t>1993-12-02</t>
  </si>
  <si>
    <t>1992-05-05</t>
  </si>
  <si>
    <t>11176817:eng</t>
  </si>
  <si>
    <t>9397099</t>
  </si>
  <si>
    <t>991000188289702656</t>
  </si>
  <si>
    <t>2266197490002656</t>
  </si>
  <si>
    <t>9780395327012</t>
  </si>
  <si>
    <t>32285001093847</t>
  </si>
  <si>
    <t>893620289</t>
  </si>
  <si>
    <t>KF387 .R424 1988</t>
  </si>
  <si>
    <t>0                      KF 0387000R  424         1988</t>
  </si>
  <si>
    <t>The Reader's Digest legal question &amp; answer book.</t>
  </si>
  <si>
    <t>Pleasantville, N.Y. : Reader's Digest Association, c1988.</t>
  </si>
  <si>
    <t>1993-12-29</t>
  </si>
  <si>
    <t>1991-02-20</t>
  </si>
  <si>
    <t>2007-04-24</t>
  </si>
  <si>
    <t>1909231304:eng</t>
  </si>
  <si>
    <t>16754280</t>
  </si>
  <si>
    <t>991001685549702656</t>
  </si>
  <si>
    <t>2263815060002656</t>
  </si>
  <si>
    <t>9780895772916</t>
  </si>
  <si>
    <t>32285000299247</t>
  </si>
  <si>
    <t>893684532</t>
  </si>
  <si>
    <t>KF3890 .E4 1967</t>
  </si>
  <si>
    <t>0                      KF 3890000E  4           1967</t>
  </si>
  <si>
    <t>Narcotics and the law : a critique of the American experiment in narcotic drug control.</t>
  </si>
  <si>
    <t>Eldridge, William Butler.</t>
  </si>
  <si>
    <t>Chicago, University of Chicago Press [1967]</t>
  </si>
  <si>
    <t>2d ed., rev.</t>
  </si>
  <si>
    <t>1997-09-04</t>
  </si>
  <si>
    <t>1089559205:eng</t>
  </si>
  <si>
    <t>332452</t>
  </si>
  <si>
    <t>991001628529702656</t>
  </si>
  <si>
    <t>2257779500002656</t>
  </si>
  <si>
    <t>32285003162046</t>
  </si>
  <si>
    <t>893432961</t>
  </si>
  <si>
    <t>KF390.5.C6 G45 1998</t>
  </si>
  <si>
    <t>0                      KF 0390500C  6                  G  45          1998</t>
  </si>
  <si>
    <t>Protecting yourself online : the definitive resource on safety, freedom, and privacy in cyberspace / Robert B. Gelman with Stanton McCandlish and members of the Electronic Frontier Foundation ; [foreword by Esther Dyson].</t>
  </si>
  <si>
    <t>Gelman, Robert B.</t>
  </si>
  <si>
    <t>[San Francisco, Calif.] : HarperEdge, c1998.</t>
  </si>
  <si>
    <t>1998-06-09</t>
  </si>
  <si>
    <t>895899516:eng</t>
  </si>
  <si>
    <t>38014844</t>
  </si>
  <si>
    <t>991002884929702656</t>
  </si>
  <si>
    <t>2268002860002656</t>
  </si>
  <si>
    <t>9780062515124</t>
  </si>
  <si>
    <t>32285003413621</t>
  </si>
  <si>
    <t>893341978</t>
  </si>
  <si>
    <t>KF3941.A75 I84</t>
  </si>
  <si>
    <t>0                      KF 3941000A  75                 I  84</t>
  </si>
  <si>
    <t>The Issue of gun control / edited by Thomas Draper.</t>
  </si>
  <si>
    <t>New York : H.W. Wilson, 1981.</t>
  </si>
  <si>
    <t>Reference shelf ; v. 53, no. 1</t>
  </si>
  <si>
    <t>2010-01-14</t>
  </si>
  <si>
    <t>1995-01-25</t>
  </si>
  <si>
    <t>2236109:eng</t>
  </si>
  <si>
    <t>7252662</t>
  </si>
  <si>
    <t>991005093579702656</t>
  </si>
  <si>
    <t>2255833670002656</t>
  </si>
  <si>
    <t>9780824206543</t>
  </si>
  <si>
    <t>32285001779288</t>
  </si>
  <si>
    <t>893412303</t>
  </si>
  <si>
    <t>KF3958 .W67 1986</t>
  </si>
  <si>
    <t>0                      KF 3958000W  67          1986</t>
  </si>
  <si>
    <t>Toxic substances controls primer : federal regulation of chemicals in the environment / Mary Devine Worobec.</t>
  </si>
  <si>
    <t>Worobec, Mary Devine.</t>
  </si>
  <si>
    <t>Washington, D.C. : Bureau of National Affairs, c1986.</t>
  </si>
  <si>
    <t>2010-03-23</t>
  </si>
  <si>
    <t>1990-02-02</t>
  </si>
  <si>
    <t>3892227:eng</t>
  </si>
  <si>
    <t>13395564</t>
  </si>
  <si>
    <t>991000821519702656</t>
  </si>
  <si>
    <t>2262099980002656</t>
  </si>
  <si>
    <t>9780871795175</t>
  </si>
  <si>
    <t>32285000038280</t>
  </si>
  <si>
    <t>893407551</t>
  </si>
  <si>
    <t>KF3959 .B67 1987</t>
  </si>
  <si>
    <t>0                      KF 3959000B  67          1987</t>
  </si>
  <si>
    <t>Pesticides and politics : the life cycle of a public issue / Christopher J. Bosso.</t>
  </si>
  <si>
    <t>Bosso, Christopher J. (Christopher John), 1956-</t>
  </si>
  <si>
    <t>Pittsburgh, PA : University of Pittsburgh Press, c1987.</t>
  </si>
  <si>
    <t>Pitt series in policy and institutional studies</t>
  </si>
  <si>
    <t>2007-12-13</t>
  </si>
  <si>
    <t>1991-02-12</t>
  </si>
  <si>
    <t>195978792:eng</t>
  </si>
  <si>
    <t>14098558</t>
  </si>
  <si>
    <t>991000906189702656</t>
  </si>
  <si>
    <t>2264892620002656</t>
  </si>
  <si>
    <t>9780822935476</t>
  </si>
  <si>
    <t>32285000464379</t>
  </si>
  <si>
    <t>893878446</t>
  </si>
  <si>
    <t>KF3989 .A96</t>
  </si>
  <si>
    <t>0                      KF 3989000A  96</t>
  </si>
  <si>
    <t>Athletics and the law / Herb Appenzeller. --</t>
  </si>
  <si>
    <t>Appenzeller, Herb.</t>
  </si>
  <si>
    <t>Charlottesville, Va. : Michie Co., c1975.</t>
  </si>
  <si>
    <t>2004-03-24</t>
  </si>
  <si>
    <t>1992-07-02</t>
  </si>
  <si>
    <t>2693325:eng</t>
  </si>
  <si>
    <t>1827058</t>
  </si>
  <si>
    <t>991004263729702656</t>
  </si>
  <si>
    <t>2260667010002656</t>
  </si>
  <si>
    <t>32285001176659</t>
  </si>
  <si>
    <t>893788494</t>
  </si>
  <si>
    <t>KF4119 .S66 1973</t>
  </si>
  <si>
    <t>0                      KF 4119000S  66          1973</t>
  </si>
  <si>
    <t>Education and the Supreme Court.</t>
  </si>
  <si>
    <t>Spurlock, Clark.</t>
  </si>
  <si>
    <t>Westport, Conn. : Greenwood Press, [1973, c1955]</t>
  </si>
  <si>
    <t>2009-11-24</t>
  </si>
  <si>
    <t>1992-11-16</t>
  </si>
  <si>
    <t>1992-12-04</t>
  </si>
  <si>
    <t>1777188:eng</t>
  </si>
  <si>
    <t>590655</t>
  </si>
  <si>
    <t>991001659129702656</t>
  </si>
  <si>
    <t>2262897150002656</t>
  </si>
  <si>
    <t>9780837159492</t>
  </si>
  <si>
    <t>32285001384576</t>
  </si>
  <si>
    <t>893432991</t>
  </si>
  <si>
    <t>KF4119 .V28 1998</t>
  </si>
  <si>
    <t>0                      KF 4119000V  28          1998</t>
  </si>
  <si>
    <t>Law in the schools / William D. Valente with Christina M. Valente.</t>
  </si>
  <si>
    <t>Valente, William D.</t>
  </si>
  <si>
    <t>Upper Saddle River, N.J. : Merrill, c1998.</t>
  </si>
  <si>
    <t>4th ed.</t>
  </si>
  <si>
    <t>2010-11-10</t>
  </si>
  <si>
    <t>1997-12-02</t>
  </si>
  <si>
    <t>9425379:eng</t>
  </si>
  <si>
    <t>37353921</t>
  </si>
  <si>
    <t>991002836109702656</t>
  </si>
  <si>
    <t>2260594860002656</t>
  </si>
  <si>
    <t>9780132663212</t>
  </si>
  <si>
    <t>32285003280756</t>
  </si>
  <si>
    <t>893251679</t>
  </si>
  <si>
    <t>KF4119.3 .D7</t>
  </si>
  <si>
    <t>0                      KF 4119300D  7</t>
  </si>
  <si>
    <t>Essentials of school law / [by] Robert L. Drury [and] Kenneth C. Ray.</t>
  </si>
  <si>
    <t>Drury, Robert L.</t>
  </si>
  <si>
    <t>New York : Appleton-Century-Crofts, [1967]</t>
  </si>
  <si>
    <t>1992-11-18</t>
  </si>
  <si>
    <t>1701588:eng</t>
  </si>
  <si>
    <t>670631</t>
  </si>
  <si>
    <t>991003126489702656</t>
  </si>
  <si>
    <t>2267762820002656</t>
  </si>
  <si>
    <t>32285001400489</t>
  </si>
  <si>
    <t>893352694</t>
  </si>
  <si>
    <t>KF4119.8.E3 I48 1995</t>
  </si>
  <si>
    <t>0                      KF 4119800E  3                  I  48          1995</t>
  </si>
  <si>
    <t>A teacher's guide to education law / Michael Imber, Tyll van Geel.</t>
  </si>
  <si>
    <t>Imber, Michael.</t>
  </si>
  <si>
    <t>New York : McGraw-Hill, c1995.</t>
  </si>
  <si>
    <t>1996-03-25</t>
  </si>
  <si>
    <t>50839:eng</t>
  </si>
  <si>
    <t>31010368</t>
  </si>
  <si>
    <t>991002386069702656</t>
  </si>
  <si>
    <t>2262835230002656</t>
  </si>
  <si>
    <t>9780070315259</t>
  </si>
  <si>
    <t>32285002146305</t>
  </si>
  <si>
    <t>893886200</t>
  </si>
  <si>
    <t>KF4124.A59 E38</t>
  </si>
  <si>
    <t>0                      KF 4124000A  59                 E  38</t>
  </si>
  <si>
    <t>Education, religion, and the Supreme Court / edited by Richard C. McMillan.</t>
  </si>
  <si>
    <t>Danville, VA : Association of Baptist Professors of Religion, c1979.</t>
  </si>
  <si>
    <t>Perspectives in religious studies. Special studies series ; no. 6</t>
  </si>
  <si>
    <t>2008-05-29</t>
  </si>
  <si>
    <t>54291240:eng</t>
  </si>
  <si>
    <t>4884008</t>
  </si>
  <si>
    <t>991004741579702656</t>
  </si>
  <si>
    <t>2264128280002656</t>
  </si>
  <si>
    <t>9780932180056</t>
  </si>
  <si>
    <t>32285000844067</t>
  </si>
  <si>
    <t>893344198</t>
  </si>
  <si>
    <t>KF4150.Z95 K67</t>
  </si>
  <si>
    <t>0                      KF 4150000Z  95                 K  67</t>
  </si>
  <si>
    <t>Legal foundations of compulsory school attendance education / Lawrence Kotin and William F. Aikman.</t>
  </si>
  <si>
    <t>Kotin, Lawrence, 1940-</t>
  </si>
  <si>
    <t>Port Washington, N.Y. : Kennikat Press, 1979.</t>
  </si>
  <si>
    <t>National university publications. Multidisciplinary studies in the law</t>
  </si>
  <si>
    <t>2000-06-06</t>
  </si>
  <si>
    <t>1990-08-14</t>
  </si>
  <si>
    <t>459081:eng</t>
  </si>
  <si>
    <t>4638280</t>
  </si>
  <si>
    <t>991004694309702656</t>
  </si>
  <si>
    <t>2256058060002656</t>
  </si>
  <si>
    <t>9780804692335</t>
  </si>
  <si>
    <t>32285000268622</t>
  </si>
  <si>
    <t>893869987</t>
  </si>
  <si>
    <t>KF4155 .B65</t>
  </si>
  <si>
    <t>0                      KF 4155000B  65</t>
  </si>
  <si>
    <t>Busing : the political and judicial process / [by] James Bolner [and] Robert Shanley.</t>
  </si>
  <si>
    <t>Bolner, James.</t>
  </si>
  <si>
    <t>New York : Praeger Publishers, [1974]</t>
  </si>
  <si>
    <t>Praeger special studies in U.S. economic, social, and political issues</t>
  </si>
  <si>
    <t>1997-11-22</t>
  </si>
  <si>
    <t>1994-04-12</t>
  </si>
  <si>
    <t>346335958:eng</t>
  </si>
  <si>
    <t>820867</t>
  </si>
  <si>
    <t>991003298169702656</t>
  </si>
  <si>
    <t>2259126970002656</t>
  </si>
  <si>
    <t>32285001886182</t>
  </si>
  <si>
    <t>893317853</t>
  </si>
  <si>
    <t>KF4162 .M8</t>
  </si>
  <si>
    <t>0                      KF 4162000M  8</t>
  </si>
  <si>
    <t>Prayer in the public schools; law and attitude change [by] William K. Muir, Jr.</t>
  </si>
  <si>
    <t>Muir, William Ker, Jr., 1931-2015.</t>
  </si>
  <si>
    <t>2000-09-22</t>
  </si>
  <si>
    <t>1992-10-30</t>
  </si>
  <si>
    <t>2864714048:eng</t>
  </si>
  <si>
    <t>885697</t>
  </si>
  <si>
    <t>991003352139702656</t>
  </si>
  <si>
    <t>2257407480002656</t>
  </si>
  <si>
    <t>32285001387587</t>
  </si>
  <si>
    <t>893258345</t>
  </si>
  <si>
    <t>KF4162 .S63 1987</t>
  </si>
  <si>
    <t>0                      KF 4162000S  63          1987</t>
  </si>
  <si>
    <t>Public prayer and the Constitution : a case study in constitutional interpretation / by Rodney K. Smith.</t>
  </si>
  <si>
    <t>Smith, Rodney K.</t>
  </si>
  <si>
    <t>Wilmington, Del. : Scholarly Resources, 1987.</t>
  </si>
  <si>
    <t>deu</t>
  </si>
  <si>
    <t>2002-09-10</t>
  </si>
  <si>
    <t>1026644:eng</t>
  </si>
  <si>
    <t>14819170</t>
  </si>
  <si>
    <t>991000961879702656</t>
  </si>
  <si>
    <t>2260061270002656</t>
  </si>
  <si>
    <t>9780842022606</t>
  </si>
  <si>
    <t>32285000133487</t>
  </si>
  <si>
    <t>893419929</t>
  </si>
  <si>
    <t>KF4162.A7 W37</t>
  </si>
  <si>
    <t>0                      KF 4162000A  7                  W  37</t>
  </si>
  <si>
    <t>Religion, education, and the Supreme Court / Thayer S. Warshaw.</t>
  </si>
  <si>
    <t>Warshaw, Thayer S., 1915-</t>
  </si>
  <si>
    <t>Nashville : Abingdon, c1979.</t>
  </si>
  <si>
    <t>1992-01-10</t>
  </si>
  <si>
    <t>14779431:eng</t>
  </si>
  <si>
    <t>4497715</t>
  </si>
  <si>
    <t>991004662399702656</t>
  </si>
  <si>
    <t>2266870880002656</t>
  </si>
  <si>
    <t>9780687360062</t>
  </si>
  <si>
    <t>32285000912518</t>
  </si>
  <si>
    <t>893612609</t>
  </si>
  <si>
    <t>KF4162.P8 D8</t>
  </si>
  <si>
    <t>0                      KF 4162000P  8                  D  8</t>
  </si>
  <si>
    <t>The public schools and religion : the legal context.</t>
  </si>
  <si>
    <t>Duker, Sam, 1905-</t>
  </si>
  <si>
    <t>New York : Harper &amp; Row, [c1966]</t>
  </si>
  <si>
    <t>Exploration series in education</t>
  </si>
  <si>
    <t>2010-09-22</t>
  </si>
  <si>
    <t>1992-01-14</t>
  </si>
  <si>
    <t>429360183:eng</t>
  </si>
  <si>
    <t>189048</t>
  </si>
  <si>
    <t>991001177629702656</t>
  </si>
  <si>
    <t>2268040110002656</t>
  </si>
  <si>
    <t>32285000912005</t>
  </si>
  <si>
    <t>893885106</t>
  </si>
  <si>
    <t>KF4165 .S7</t>
  </si>
  <si>
    <t>0                      KF 4165000S  7</t>
  </si>
  <si>
    <t>Law and the student press / [by] George E. Stevens [and] John B. Webster.</t>
  </si>
  <si>
    <t>Stevens, George E., 1936-</t>
  </si>
  <si>
    <t>Ames : Iowa State University Press, 1973.</t>
  </si>
  <si>
    <t>iau</t>
  </si>
  <si>
    <t>2006-04-12</t>
  </si>
  <si>
    <t>1990-07-23</t>
  </si>
  <si>
    <t>1718092:eng</t>
  </si>
  <si>
    <t>673596</t>
  </si>
  <si>
    <t>991001667819702656</t>
  </si>
  <si>
    <t>2268943500002656</t>
  </si>
  <si>
    <t>9780813808758</t>
  </si>
  <si>
    <t>32285000233972</t>
  </si>
  <si>
    <t>893684504</t>
  </si>
  <si>
    <t>KF4175.Z9 F55 1987</t>
  </si>
  <si>
    <t>0                      KF 4175000Z  9                  F  55          1987</t>
  </si>
  <si>
    <t>Teachers and the law / Louis Fischer, David Schimmel, Cynthia Kelly.</t>
  </si>
  <si>
    <t>Fischer, Louis, 1924-</t>
  </si>
  <si>
    <t>New York : Longman, c1987.</t>
  </si>
  <si>
    <t>1992-07-03</t>
  </si>
  <si>
    <t>7786:eng</t>
  </si>
  <si>
    <t>13703174</t>
  </si>
  <si>
    <t>991000864359702656</t>
  </si>
  <si>
    <t>2261538400002656</t>
  </si>
  <si>
    <t>9780582284487</t>
  </si>
  <si>
    <t>32285001177087</t>
  </si>
  <si>
    <t>893778312</t>
  </si>
  <si>
    <t>KF4180 .R67 1992</t>
  </si>
  <si>
    <t>0                      KF 4180000R  67          1992</t>
  </si>
  <si>
    <t>The law of teacher evaluation / Lawrence F. Rossow and Jerry Parkinson.</t>
  </si>
  <si>
    <t>Rossow, Lawrence F.</t>
  </si>
  <si>
    <t>Topeka, Kan. : National Organization on Legal Problems of Education, c1992.</t>
  </si>
  <si>
    <t>ksu</t>
  </si>
  <si>
    <t>NOLPE monograph/book series ; no. 42</t>
  </si>
  <si>
    <t>2005-11-27</t>
  </si>
  <si>
    <t>1992-01-16</t>
  </si>
  <si>
    <t>1050391:eng</t>
  </si>
  <si>
    <t>24566124</t>
  </si>
  <si>
    <t>991001944809702656</t>
  </si>
  <si>
    <t>2260108970002656</t>
  </si>
  <si>
    <t>9781565340312</t>
  </si>
  <si>
    <t>32285000864107</t>
  </si>
  <si>
    <t>893590763</t>
  </si>
  <si>
    <t>KF4204 .L45 1980</t>
  </si>
  <si>
    <t>0                      KF 4204000L  45          1980</t>
  </si>
  <si>
    <t>The bilingual education act : a legislative analysis / Arnold H. Leibowitz.</t>
  </si>
  <si>
    <t>Leibowitz, Arnold H.</t>
  </si>
  <si>
    <t>Rosslyn, Va. : InterAmerica Research Associates, National Clearinghouse for Bilingual Education, 1980.</t>
  </si>
  <si>
    <t>2005-06-02</t>
  </si>
  <si>
    <t>29371102:eng</t>
  </si>
  <si>
    <t>7711963</t>
  </si>
  <si>
    <t>991005149509702656</t>
  </si>
  <si>
    <t>2266963560002656</t>
  </si>
  <si>
    <t>9780897630221</t>
  </si>
  <si>
    <t>32285000133495</t>
  </si>
  <si>
    <t>893707351</t>
  </si>
  <si>
    <t>KF4210.A314 A164</t>
  </si>
  <si>
    <t>0                      KF 4210000A  314                A  164</t>
  </si>
  <si>
    <t>PL94-142 : an act of Congress / Erwin L. Levine, Elizabeth M. Wexler.</t>
  </si>
  <si>
    <t>Levine, Erwin L.</t>
  </si>
  <si>
    <t>New York : Macmillan Pub. Co. ; London : Collier Macmillan Publishers, c1981.</t>
  </si>
  <si>
    <t>2000-11-18</t>
  </si>
  <si>
    <t>1992-07-07</t>
  </si>
  <si>
    <t>22616593:eng</t>
  </si>
  <si>
    <t>6447210</t>
  </si>
  <si>
    <t>991004985059702656</t>
  </si>
  <si>
    <t>2255518620002656</t>
  </si>
  <si>
    <t>9780023702709</t>
  </si>
  <si>
    <t>32285001177178</t>
  </si>
  <si>
    <t>893430676</t>
  </si>
  <si>
    <t>KF4240.A75 C65</t>
  </si>
  <si>
    <t>0                      KF 4240000A  75                 C  65</t>
  </si>
  <si>
    <t>The Constitutional status of academic tenure / edited by Walter P. Metzger.</t>
  </si>
  <si>
    <t>New York : Arno Press, 1977.</t>
  </si>
  <si>
    <t>The Academic profession</t>
  </si>
  <si>
    <t>2009-02-03</t>
  </si>
  <si>
    <t>6973718:eng</t>
  </si>
  <si>
    <t>2982952</t>
  </si>
  <si>
    <t>991004305159702656</t>
  </si>
  <si>
    <t>2261691280002656</t>
  </si>
  <si>
    <t>9780405099823</t>
  </si>
  <si>
    <t>32285002551207</t>
  </si>
  <si>
    <t>893263190</t>
  </si>
  <si>
    <t>KF4243 .R38</t>
  </si>
  <si>
    <t>0                      KF 4243000R  38</t>
  </si>
  <si>
    <t>Constitutional rights of college students : a study in case law / by Richard C. Ratliff.</t>
  </si>
  <si>
    <t>Ratliff, Richard C.</t>
  </si>
  <si>
    <t>Metuchen, N.J. : Scarecrow Press, 1972.</t>
  </si>
  <si>
    <t>1993-02-04</t>
  </si>
  <si>
    <t>1402311:eng</t>
  </si>
  <si>
    <t>357082</t>
  </si>
  <si>
    <t>991002464649702656</t>
  </si>
  <si>
    <t>2263056420002656</t>
  </si>
  <si>
    <t>9780810805323</t>
  </si>
  <si>
    <t>32285001482644</t>
  </si>
  <si>
    <t>893427629</t>
  </si>
  <si>
    <t>KF425 .H87 1982</t>
  </si>
  <si>
    <t>0                      KF 0425000H  87          1982</t>
  </si>
  <si>
    <t>Dealing with statutes / James Willard Hurst.</t>
  </si>
  <si>
    <t>Hurst, James Willard, 1910-1997.</t>
  </si>
  <si>
    <t>New York : Columbia University Press, 1982.</t>
  </si>
  <si>
    <t>James S. Carpentier lectures ; 1982</t>
  </si>
  <si>
    <t>2007-09-12</t>
  </si>
  <si>
    <t>1994-06-07</t>
  </si>
  <si>
    <t>146862844:eng</t>
  </si>
  <si>
    <t>7597894</t>
  </si>
  <si>
    <t>991001620859702656</t>
  </si>
  <si>
    <t>2255087660002656</t>
  </si>
  <si>
    <t>9780231053907</t>
  </si>
  <si>
    <t>32285001921708</t>
  </si>
  <si>
    <t>893872635</t>
  </si>
  <si>
    <t>KF425 .L4</t>
  </si>
  <si>
    <t>0                      KF 0425000L  4</t>
  </si>
  <si>
    <t>An introduction to legal reasoning / by Edward H. Levi.</t>
  </si>
  <si>
    <t>Levi, Edward H. (Edward Hirsch), 1911-2000.</t>
  </si>
  <si>
    <t>Chicago : University of Chicago Press, 1949.</t>
  </si>
  <si>
    <t>2001-05-13</t>
  </si>
  <si>
    <t>350695328:eng</t>
  </si>
  <si>
    <t>505178</t>
  </si>
  <si>
    <t>991002879999702656</t>
  </si>
  <si>
    <t>2263756810002656</t>
  </si>
  <si>
    <t>32285002524899</t>
  </si>
  <si>
    <t>893348041</t>
  </si>
  <si>
    <t>KF4280.S6 C47 1985</t>
  </si>
  <si>
    <t>0                      KF 4280000S  6                  C  47          1985</t>
  </si>
  <si>
    <t>Social science methods in the legal process / by Noreen L. Channels.</t>
  </si>
  <si>
    <t>Channels, Noreen L.</t>
  </si>
  <si>
    <t>Totowa, NJ : Rowman and Allanheld, 1985.</t>
  </si>
  <si>
    <t>2800909:eng</t>
  </si>
  <si>
    <t>10800116</t>
  </si>
  <si>
    <t>991000437869702656</t>
  </si>
  <si>
    <t>2270578810002656</t>
  </si>
  <si>
    <t>9780865980136</t>
  </si>
  <si>
    <t>32285001177400</t>
  </si>
  <si>
    <t>893419455</t>
  </si>
  <si>
    <t>KF4280.S6 F43</t>
  </si>
  <si>
    <t>0                      KF 4280000S  6                  F  43</t>
  </si>
  <si>
    <t>Federal regulations : ethical issues and social research / edited by Murray L. Wax and Joan Cassell.</t>
  </si>
  <si>
    <t>Boulder, Colo. : Published by Westview Press for the American Association for the Advancement of Science, 1979.</t>
  </si>
  <si>
    <t>cou</t>
  </si>
  <si>
    <t>AAAS selected symposium ; 36</t>
  </si>
  <si>
    <t>2240368:eng</t>
  </si>
  <si>
    <t>5103379</t>
  </si>
  <si>
    <t>991001767519702656</t>
  </si>
  <si>
    <t>2270780970002656</t>
  </si>
  <si>
    <t>9780891584872</t>
  </si>
  <si>
    <t>32285001177418</t>
  </si>
  <si>
    <t>893885525</t>
  </si>
  <si>
    <t>KF4296 .F37 1997</t>
  </si>
  <si>
    <t>0                      KF 4296000F  37          1997</t>
  </si>
  <si>
    <t>Producing theatre : a comprehensive legal and business guide / by Donald C. Farber.</t>
  </si>
  <si>
    <t>Farber, Donald C.</t>
  </si>
  <si>
    <t>New York : Limelight Editions, 1997.</t>
  </si>
  <si>
    <t>2nd rev. ed.</t>
  </si>
  <si>
    <t>2006-12-09</t>
  </si>
  <si>
    <t>1998-11-04</t>
  </si>
  <si>
    <t>980500:eng</t>
  </si>
  <si>
    <t>38063658</t>
  </si>
  <si>
    <t>991002889109702656</t>
  </si>
  <si>
    <t>2262556420002656</t>
  </si>
  <si>
    <t>9780879101039</t>
  </si>
  <si>
    <t>32285003485132</t>
  </si>
  <si>
    <t>893774150</t>
  </si>
  <si>
    <t>KF4300 .R3 1970</t>
  </si>
  <si>
    <t>0                      KF 4300000R  3           1970</t>
  </si>
  <si>
    <t>Censorship of the movies : the social and political control of a mass medium / [by] Richard S. Randall.</t>
  </si>
  <si>
    <t>Randall, Richard S.</t>
  </si>
  <si>
    <t>Madison : University of Wisconsin Press, [1970]</t>
  </si>
  <si>
    <t>2002-01-15</t>
  </si>
  <si>
    <t>2002-01-14</t>
  </si>
  <si>
    <t>836618815:eng</t>
  </si>
  <si>
    <t>152168</t>
  </si>
  <si>
    <t>991003711179702656</t>
  </si>
  <si>
    <t>2271831890002656</t>
  </si>
  <si>
    <t>9780299047344</t>
  </si>
  <si>
    <t>32285004448261</t>
  </si>
  <si>
    <t>893441614</t>
  </si>
  <si>
    <t>KF4502 .O73 1986</t>
  </si>
  <si>
    <t>0                      KF 4502000O  73          1986</t>
  </si>
  <si>
    <t>The Origins of the American Constitution : a documentary history / edited with an introduction by Michael Kammen.</t>
  </si>
  <si>
    <t>New York, NY : Penguin, c1986, 1987 printing.</t>
  </si>
  <si>
    <t>2007-02-03</t>
  </si>
  <si>
    <t>54806567:eng</t>
  </si>
  <si>
    <t>13423503</t>
  </si>
  <si>
    <t>991000826309702656</t>
  </si>
  <si>
    <t>2266053590002656</t>
  </si>
  <si>
    <t>9780140087444</t>
  </si>
  <si>
    <t>32285000900950</t>
  </si>
  <si>
    <t>893496591</t>
  </si>
  <si>
    <t>KF4515 .A44 1987</t>
  </si>
  <si>
    <t>0                      KF 4515000A  44          1987</t>
  </si>
  <si>
    <t>The American Constitution--for and against : the Federalist and anti-Federalist papers / selected and edited, with an introduction, by J.R. Pole.</t>
  </si>
  <si>
    <t>New York : Hill and Wang, 1987.</t>
  </si>
  <si>
    <t>2003-09-11</t>
  </si>
  <si>
    <t>993691523:eng</t>
  </si>
  <si>
    <t>15054938</t>
  </si>
  <si>
    <t>991000983969702656</t>
  </si>
  <si>
    <t>2255792750002656</t>
  </si>
  <si>
    <t>9780809024667</t>
  </si>
  <si>
    <t>32285001177517</t>
  </si>
  <si>
    <t>893589921</t>
  </si>
  <si>
    <t>KF4515 .F44 1989</t>
  </si>
  <si>
    <t>0                      KF 4515000F  44          1989</t>
  </si>
  <si>
    <t>Federalists and antifederalists : the debate over the ratification of the Constitution / edited by John P. Kaminski and Richard Leffler.</t>
  </si>
  <si>
    <t>Madison : Published for the Center for the Study of the American Constitution [by] Madison House, 1989.</t>
  </si>
  <si>
    <t>Constitutional heritage series, 0895-9633 ; v. 1</t>
  </si>
  <si>
    <t>2010-02-15</t>
  </si>
  <si>
    <t>1989-10-24</t>
  </si>
  <si>
    <t>350535680:eng</t>
  </si>
  <si>
    <t>17951429</t>
  </si>
  <si>
    <t>991001283589702656</t>
  </si>
  <si>
    <t>2271053000002656</t>
  </si>
  <si>
    <t>9780945612001</t>
  </si>
  <si>
    <t>32285000010404</t>
  </si>
  <si>
    <t>893885208</t>
  </si>
  <si>
    <t>KF4520 .B37 1987</t>
  </si>
  <si>
    <t>0                      KF 4520000B  37          1987</t>
  </si>
  <si>
    <t>The founding : a dramatic account of the writing of the Constitution / Fred Barbash.</t>
  </si>
  <si>
    <t>Barbash, Fred.</t>
  </si>
  <si>
    <t>New York, N.Y. : Linden Press/Simon and Schuster, 1987.</t>
  </si>
  <si>
    <t>2004-04-01</t>
  </si>
  <si>
    <t>10143141465:eng</t>
  </si>
  <si>
    <t>15283707</t>
  </si>
  <si>
    <t>991001011199702656</t>
  </si>
  <si>
    <t>2264417380002656</t>
  </si>
  <si>
    <t>9780671552565</t>
  </si>
  <si>
    <t>32285000121342</t>
  </si>
  <si>
    <t>893589946</t>
  </si>
  <si>
    <t>KF4520 .C87</t>
  </si>
  <si>
    <t>0                      KF 4520000C  87</t>
  </si>
  <si>
    <t>History of the origin, formation, and adoption of the Constitution of the United States; with notices of its principal framers. By George Ticknor Curtis.</t>
  </si>
  <si>
    <t>V.2</t>
  </si>
  <si>
    <t>Curtis, George Ticknor, 1812-1894.</t>
  </si>
  <si>
    <t>New York, Harper and Brothers, 1861.</t>
  </si>
  <si>
    <t>1861</t>
  </si>
  <si>
    <t>2005-02-12</t>
  </si>
  <si>
    <t>1108218:eng</t>
  </si>
  <si>
    <t>7927691</t>
  </si>
  <si>
    <t>991005178549702656</t>
  </si>
  <si>
    <t>2267312960002656</t>
  </si>
  <si>
    <t>32285000838994</t>
  </si>
  <si>
    <t>893527048</t>
  </si>
  <si>
    <t>V.1</t>
  </si>
  <si>
    <t>32285003162137</t>
  </si>
  <si>
    <t>893507735</t>
  </si>
  <si>
    <t>KF4520 .J55 1988</t>
  </si>
  <si>
    <t>0                      KF 4520000J  55          1988</t>
  </si>
  <si>
    <t>Constitution making : conflict and consensus in the Federal Convention of 1787 / Calvin C. Jillson.</t>
  </si>
  <si>
    <t>Jillson, Calvin C., 1949-</t>
  </si>
  <si>
    <t>New York : Agathon Press, c1988.</t>
  </si>
  <si>
    <t>2008-10-15</t>
  </si>
  <si>
    <t>1989-12-29</t>
  </si>
  <si>
    <t>10630806:eng</t>
  </si>
  <si>
    <t>16831446</t>
  </si>
  <si>
    <t>991001153189702656</t>
  </si>
  <si>
    <t>2255898260002656</t>
  </si>
  <si>
    <t>9780875860824</t>
  </si>
  <si>
    <t>32285000019900</t>
  </si>
  <si>
    <t>893420119</t>
  </si>
  <si>
    <t>KF4520 .P48 1987</t>
  </si>
  <si>
    <t>0                      KF 4520000P  48          1987</t>
  </si>
  <si>
    <t>A more perfect union / William Peters.</t>
  </si>
  <si>
    <t>Peters, William, 1921-2007.</t>
  </si>
  <si>
    <t>New York : Crown Publishers, c1987.</t>
  </si>
  <si>
    <t>7311520:eng</t>
  </si>
  <si>
    <t>13822185</t>
  </si>
  <si>
    <t>991000878779702656</t>
  </si>
  <si>
    <t>2266771120002656</t>
  </si>
  <si>
    <t>9780517564509</t>
  </si>
  <si>
    <t>32285001177541</t>
  </si>
  <si>
    <t>893696247</t>
  </si>
  <si>
    <t>KF4528 .A53 1989</t>
  </si>
  <si>
    <t>0                      KF 4528000A  53          1989</t>
  </si>
  <si>
    <t>The Constitution of 1787 : a commentary / George Anastaplo.</t>
  </si>
  <si>
    <t>Anastaplo, George, 1925-2014.</t>
  </si>
  <si>
    <t>Baltimore : Johns Hopkins University Press, c1989.</t>
  </si>
  <si>
    <t>2000-01-05</t>
  </si>
  <si>
    <t>1991-06-11</t>
  </si>
  <si>
    <t>1992-04-07</t>
  </si>
  <si>
    <t>291027883:eng</t>
  </si>
  <si>
    <t>18324948</t>
  </si>
  <si>
    <t>991001639519702656</t>
  </si>
  <si>
    <t>2257420660002656</t>
  </si>
  <si>
    <t>9780801836053</t>
  </si>
  <si>
    <t>32285000594357</t>
  </si>
  <si>
    <t>893872653</t>
  </si>
  <si>
    <t>KF4541 .M35 1935a</t>
  </si>
  <si>
    <t>0                      KF 4541000M  35          1935a</t>
  </si>
  <si>
    <t>A constitutional history of the United States / by Andrew C. McLaughlin.</t>
  </si>
  <si>
    <t>McLaughlin, Andrew C. (Andrew Cunningham), 1861-1947.</t>
  </si>
  <si>
    <t>New York : D. Appleton-Century Co., c1935.</t>
  </si>
  <si>
    <t>1935</t>
  </si>
  <si>
    <t>The Century political science series</t>
  </si>
  <si>
    <t>1999-09-02</t>
  </si>
  <si>
    <t>1592161:eng</t>
  </si>
  <si>
    <t>13836230</t>
  </si>
  <si>
    <t>991000881619702656</t>
  </si>
  <si>
    <t>2268188840002656</t>
  </si>
  <si>
    <t>32285002551330</t>
  </si>
  <si>
    <t>893522095</t>
  </si>
  <si>
    <t>KF4541 .M37</t>
  </si>
  <si>
    <t>0                      KF 4541000M  37</t>
  </si>
  <si>
    <t>An introduction to the study of the American Constitution; a study of the formation and development of the American constitutional system and of the ideals upon which it is based with illustrative materials, by Charles E. Martin.</t>
  </si>
  <si>
    <t>Martin, Charles E. (Charles Emanuel), 1891-1977.</t>
  </si>
  <si>
    <t>New York [etc.] Oxford university press, 1928.</t>
  </si>
  <si>
    <t>1994-11-10</t>
  </si>
  <si>
    <t>198591543:eng</t>
  </si>
  <si>
    <t>2624028</t>
  </si>
  <si>
    <t>991004188849702656</t>
  </si>
  <si>
    <t>2271454810002656</t>
  </si>
  <si>
    <t>32285000838986</t>
  </si>
  <si>
    <t>893781949</t>
  </si>
  <si>
    <t>KF4541 .W87 1979</t>
  </si>
  <si>
    <t>0                      KF 4541000W  87          1979</t>
  </si>
  <si>
    <t>The Confederation and the Constitution : the critical issues / edited by Gordon S. Wood.</t>
  </si>
  <si>
    <t>Washington : University Press of America, c1979.</t>
  </si>
  <si>
    <t>2010-10-29</t>
  </si>
  <si>
    <t>1733190:eng</t>
  </si>
  <si>
    <t>6044758</t>
  </si>
  <si>
    <t>991004932339702656</t>
  </si>
  <si>
    <t>2267582240002656</t>
  </si>
  <si>
    <t>9780819108210</t>
  </si>
  <si>
    <t>32285000901255</t>
  </si>
  <si>
    <t>893700837</t>
  </si>
  <si>
    <t>KF4541.Z9 B49 1988</t>
  </si>
  <si>
    <t>0                      KF 4541000Z  9                  B  49          1988</t>
  </si>
  <si>
    <t>Our Constitution : the myth that binds us / Eric Black.</t>
  </si>
  <si>
    <t>Black, Eric.</t>
  </si>
  <si>
    <t>Boulder : Westview Press, 1988.</t>
  </si>
  <si>
    <t>2006-04-05</t>
  </si>
  <si>
    <t>198639284:eng</t>
  </si>
  <si>
    <t>17234007</t>
  </si>
  <si>
    <t>991001188769702656</t>
  </si>
  <si>
    <t>2271952420002656</t>
  </si>
  <si>
    <t>9780813306940</t>
  </si>
  <si>
    <t>32285000702729</t>
  </si>
  <si>
    <t>893321720</t>
  </si>
  <si>
    <t>KF4549 .B3 1973</t>
  </si>
  <si>
    <t>0                      KF 4549000B  3           1973</t>
  </si>
  <si>
    <t>Constitutional law : cases and materials / by Edward L. Barrett, Jr. [and] Paul W. Bruton.</t>
  </si>
  <si>
    <t>Barrett, Edward L., Jr., 1917-2016.</t>
  </si>
  <si>
    <t>Mineola, N.Y. : Foundation Press, 1973.</t>
  </si>
  <si>
    <t>University casebook series</t>
  </si>
  <si>
    <t>2006-10-07</t>
  </si>
  <si>
    <t>4915896919:eng</t>
  </si>
  <si>
    <t>695912</t>
  </si>
  <si>
    <t>991005044689702656</t>
  </si>
  <si>
    <t>2267916980002656</t>
  </si>
  <si>
    <t>32285000999085</t>
  </si>
  <si>
    <t>893625375</t>
  </si>
  <si>
    <t>KF4550 .B26 1984</t>
  </si>
  <si>
    <t>0                      KF 4550000B  26          1984</t>
  </si>
  <si>
    <t>On what the Constitution means / Sotirios A. Barber.</t>
  </si>
  <si>
    <t>Barber, Sotirios A.</t>
  </si>
  <si>
    <t>Baltimore : Johns Hopkins University Press, c1984.</t>
  </si>
  <si>
    <t>2008-10-27</t>
  </si>
  <si>
    <t>195391128:eng</t>
  </si>
  <si>
    <t>9784091</t>
  </si>
  <si>
    <t>991000257559702656</t>
  </si>
  <si>
    <t>2268668350002656</t>
  </si>
  <si>
    <t>9780801830204</t>
  </si>
  <si>
    <t>32285001177632</t>
  </si>
  <si>
    <t>893438131</t>
  </si>
  <si>
    <t>KF4550 .C69 1987</t>
  </si>
  <si>
    <t>0                      KF 4550000C  69          1987</t>
  </si>
  <si>
    <t>The court and the constitution / Archibald Cox.</t>
  </si>
  <si>
    <t>Cox, Archibald, 1912-2004.</t>
  </si>
  <si>
    <t>Boston : Houghton Mifflin, 1987.</t>
  </si>
  <si>
    <t>2017-02-15</t>
  </si>
  <si>
    <t>10164226:eng</t>
  </si>
  <si>
    <t>15519342</t>
  </si>
  <si>
    <t>991001031849702656</t>
  </si>
  <si>
    <t>2265204630002656</t>
  </si>
  <si>
    <t>9780395379332</t>
  </si>
  <si>
    <t>32285001177657</t>
  </si>
  <si>
    <t>893509319</t>
  </si>
  <si>
    <t>KF4550 .L48 1988</t>
  </si>
  <si>
    <t>0                      KF 4550000L  48          1988</t>
  </si>
  <si>
    <t>Original intent and the framers' constitution / Leonard W. Levy.</t>
  </si>
  <si>
    <t>Levy, Leonard W. (Leonard Williams), 1923-2006.</t>
  </si>
  <si>
    <t>New York : Macmillan ; London : Collier Macmillan, c1988.</t>
  </si>
  <si>
    <t>58210140:eng</t>
  </si>
  <si>
    <t>17763894</t>
  </si>
  <si>
    <t>991001638859702656</t>
  </si>
  <si>
    <t>2271067470002656</t>
  </si>
  <si>
    <t>9780029187913</t>
  </si>
  <si>
    <t>32285000873116</t>
  </si>
  <si>
    <t>893522705</t>
  </si>
  <si>
    <t>KF4550 .P83 1993</t>
  </si>
  <si>
    <t>0                      KF 4550000P  83          1993</t>
  </si>
  <si>
    <t>Public values in constitutional law / Stephen E. Gottlieb, editor.</t>
  </si>
  <si>
    <t>Ann Arbor : University of Michigan Press, c1993.</t>
  </si>
  <si>
    <t>miu</t>
  </si>
  <si>
    <t>2005-11-23</t>
  </si>
  <si>
    <t>1995-03-31</t>
  </si>
  <si>
    <t>350557113:eng</t>
  </si>
  <si>
    <t>28665493</t>
  </si>
  <si>
    <t>991001659809702656</t>
  </si>
  <si>
    <t>2267730880002656</t>
  </si>
  <si>
    <t>9780472104345</t>
  </si>
  <si>
    <t>32285002015591</t>
  </si>
  <si>
    <t>893602771</t>
  </si>
  <si>
    <t>KF4550.Z9 S37 1996</t>
  </si>
  <si>
    <t>0                      KF 4550000Z  9                  S  37          1996</t>
  </si>
  <si>
    <t>Remnants of belief : contemporary constitutional issues / Louis Michael Seidman, Mark V. Tushnet.</t>
  </si>
  <si>
    <t>Seidman, Louis Michael.</t>
  </si>
  <si>
    <t>New York : Oxford University Press, 1996.</t>
  </si>
  <si>
    <t>1996-09-18</t>
  </si>
  <si>
    <t>2001-02-17</t>
  </si>
  <si>
    <t>1996-08-21</t>
  </si>
  <si>
    <t>335337711:eng</t>
  </si>
  <si>
    <t>32970607</t>
  </si>
  <si>
    <t>991001668379702656</t>
  </si>
  <si>
    <t>2269246610002656</t>
  </si>
  <si>
    <t>9780195099799</t>
  </si>
  <si>
    <t>32285002291267</t>
  </si>
  <si>
    <t>893885465</t>
  </si>
  <si>
    <t>KF4555.A75 R47 1995</t>
  </si>
  <si>
    <t>0                      KF 4555000A  75                 R  47          1995</t>
  </si>
  <si>
    <t>Responding to imperfection : the theory and practice of constitutional amendment / Sanford Levinson, editor.</t>
  </si>
  <si>
    <t>1998-05-27</t>
  </si>
  <si>
    <t>793900519:eng</t>
  </si>
  <si>
    <t>30734198</t>
  </si>
  <si>
    <t>991001663069702656</t>
  </si>
  <si>
    <t>2264402980002656</t>
  </si>
  <si>
    <t>9780691025704</t>
  </si>
  <si>
    <t>32285003411971</t>
  </si>
  <si>
    <t>893602777</t>
  </si>
  <si>
    <t>KF4565 .K87</t>
  </si>
  <si>
    <t>0                      KF 4565000K  87</t>
  </si>
  <si>
    <t>Watergate and the Constitution / Philip B. Kurland.</t>
  </si>
  <si>
    <t>Kurland, Philip B.</t>
  </si>
  <si>
    <t>Chicago : University of Chicago Press, 1978.</t>
  </si>
  <si>
    <t>The William R. Kenan, Jr., inaugural lectures</t>
  </si>
  <si>
    <t>418697:eng</t>
  </si>
  <si>
    <t>3516635</t>
  </si>
  <si>
    <t>991001784419702656</t>
  </si>
  <si>
    <t>2272485600002656</t>
  </si>
  <si>
    <t>9780226463933</t>
  </si>
  <si>
    <t>32285002551553</t>
  </si>
  <si>
    <t>893522841</t>
  </si>
  <si>
    <t>KF4568.C6 P7</t>
  </si>
  <si>
    <t>0                      KF 4568000C  6                  P  7</t>
  </si>
  <si>
    <t>Congress versus the Supreme Court, 1957-1960.</t>
  </si>
  <si>
    <t>Pritchett, C. Herman (Charles Herman), 1907-1995.</t>
  </si>
  <si>
    <t>Minneapolis, University of Minnesota Press [1961]</t>
  </si>
  <si>
    <t>1961</t>
  </si>
  <si>
    <t>2002-04-07</t>
  </si>
  <si>
    <t>1591398:eng</t>
  </si>
  <si>
    <t>497158</t>
  </si>
  <si>
    <t>991002867289702656</t>
  </si>
  <si>
    <t>2271847230002656</t>
  </si>
  <si>
    <t>32285002551561</t>
  </si>
  <si>
    <t>893227381</t>
  </si>
  <si>
    <t>KF4570.A7 F74</t>
  </si>
  <si>
    <t>0                      KF 4570000A  7                  F  74</t>
  </si>
  <si>
    <t>United States v. Nixon : the President before the Supreme Court / introductory essay by Alan Westin. Edited by Leon Friedman.</t>
  </si>
  <si>
    <t>Friedman, Leon compiler.</t>
  </si>
  <si>
    <t>New York : Chelsea House Publishers, 1974.</t>
  </si>
  <si>
    <t>1992-11-03</t>
  </si>
  <si>
    <t>913347189:eng</t>
  </si>
  <si>
    <t>1031217</t>
  </si>
  <si>
    <t>991001690429702656</t>
  </si>
  <si>
    <t>2265549110002656</t>
  </si>
  <si>
    <t>9780835208024</t>
  </si>
  <si>
    <t>32285000094176</t>
  </si>
  <si>
    <t>893408287</t>
  </si>
  <si>
    <t>KF4710.Z9 M6 1969</t>
  </si>
  <si>
    <t>0                      KF 4710000Z  9                  M  6           1969</t>
  </si>
  <si>
    <t>Imminent dangers to the free institutions of the United States through foreign immigration.</t>
  </si>
  <si>
    <t>Morse, Samuel Finley Breese, 1791-1872.</t>
  </si>
  <si>
    <t>New York : Arno Press, 1969.</t>
  </si>
  <si>
    <t>The American immigration collection</t>
  </si>
  <si>
    <t>2010-05-02</t>
  </si>
  <si>
    <t>1993-03-01</t>
  </si>
  <si>
    <t>4924921125:eng</t>
  </si>
  <si>
    <t>13041</t>
  </si>
  <si>
    <t>991000005189702656</t>
  </si>
  <si>
    <t>2264306920002656</t>
  </si>
  <si>
    <t>32285001541605</t>
  </si>
  <si>
    <t>893314585</t>
  </si>
  <si>
    <t>KF4749 .A73 1977</t>
  </si>
  <si>
    <t>0                      KF 4749000A  73          1977</t>
  </si>
  <si>
    <t>Freedom and the Court : civil rights and liberties in the United States / Henry J. Abraham.</t>
  </si>
  <si>
    <t>Abraham, Henry J. (Henry Julian), 1921-2020.</t>
  </si>
  <si>
    <t>New York : Oxford University Press, 1977.</t>
  </si>
  <si>
    <t>2001-10-11</t>
  </si>
  <si>
    <t>2006-05-15</t>
  </si>
  <si>
    <t>728344:eng</t>
  </si>
  <si>
    <t>2832427</t>
  </si>
  <si>
    <t>991001657419702656</t>
  </si>
  <si>
    <t>2260506510002656</t>
  </si>
  <si>
    <t>9780195021356</t>
  </si>
  <si>
    <t>32285002551744</t>
  </si>
  <si>
    <t>893590516</t>
  </si>
  <si>
    <t>KF4749 .C63</t>
  </si>
  <si>
    <t>0                      KF 4749000C  63</t>
  </si>
  <si>
    <t>Civil disobedience: conscience, tactics, and the law.</t>
  </si>
  <si>
    <t>Cohen, Carl, 1931-</t>
  </si>
  <si>
    <t>New York, Columbia University Press, 1971.</t>
  </si>
  <si>
    <t>2004-09-01</t>
  </si>
  <si>
    <t>1287964:eng</t>
  </si>
  <si>
    <t>136821</t>
  </si>
  <si>
    <t>991001739839702656</t>
  </si>
  <si>
    <t>2264003690002656</t>
  </si>
  <si>
    <t>9780231034708</t>
  </si>
  <si>
    <t>32285002551769</t>
  </si>
  <si>
    <t>893340659</t>
  </si>
  <si>
    <t>KF4749 .L56 1990</t>
  </si>
  <si>
    <t>0                      KF 4749000L  56          1990</t>
  </si>
  <si>
    <t>Freedom under fire : U.S. civil liberties in times of war / by Michael Linfield.</t>
  </si>
  <si>
    <t>Linfield, Michael.</t>
  </si>
  <si>
    <t>Boston, MA : South End Press, c1990.</t>
  </si>
  <si>
    <t>2005-11-05</t>
  </si>
  <si>
    <t>1992-03-25</t>
  </si>
  <si>
    <t>367532116:eng</t>
  </si>
  <si>
    <t>20994905</t>
  </si>
  <si>
    <t>991001644339702656</t>
  </si>
  <si>
    <t>2270017340002656</t>
  </si>
  <si>
    <t>9780896083745</t>
  </si>
  <si>
    <t>32285001005254</t>
  </si>
  <si>
    <t>893334436</t>
  </si>
  <si>
    <t>KF4749 .O52 1993</t>
  </si>
  <si>
    <t>0                      KF 4749000O  52          1993</t>
  </si>
  <si>
    <t>Old rights and new / edited by Robert A. Licht.</t>
  </si>
  <si>
    <t>Washington, D.C. : AEI Press ; Lanham, MD : Distributed by arrangement with University Press of America, 1993.</t>
  </si>
  <si>
    <t>The Rights explosion</t>
  </si>
  <si>
    <t>1998-04-29</t>
  </si>
  <si>
    <t>1997-01-13</t>
  </si>
  <si>
    <t>358742:eng</t>
  </si>
  <si>
    <t>27727620</t>
  </si>
  <si>
    <t>991002152139702656</t>
  </si>
  <si>
    <t>2264467370002656</t>
  </si>
  <si>
    <t>9780844737751</t>
  </si>
  <si>
    <t>32285002407038</t>
  </si>
  <si>
    <t>893798241</t>
  </si>
  <si>
    <t>KF4749 .P43 1982</t>
  </si>
  <si>
    <t>0                      KF 4749000P  43          1982</t>
  </si>
  <si>
    <t>The Constitution, the courts, and human rights : an inquiry into the legitimacy of constitutional policymaking by the judiciary / Michael J. Perry.</t>
  </si>
  <si>
    <t>Perry, Michael J.</t>
  </si>
  <si>
    <t>New Haven : Yale University Press, c1982.</t>
  </si>
  <si>
    <t>2005-03-04</t>
  </si>
  <si>
    <t>1992-04-20</t>
  </si>
  <si>
    <t>2004-06-28</t>
  </si>
  <si>
    <t>894519487:eng</t>
  </si>
  <si>
    <t>8493276</t>
  </si>
  <si>
    <t>991001622439702656</t>
  </si>
  <si>
    <t>2261627310002656</t>
  </si>
  <si>
    <t>9780300027457</t>
  </si>
  <si>
    <t>32285001035897</t>
  </si>
  <si>
    <t>893534609</t>
  </si>
  <si>
    <t>KF4749.A2 M87</t>
  </si>
  <si>
    <t>0                      KF 4749000A  2                  M  87</t>
  </si>
  <si>
    <t>Civil disobedience and violence / edited by Jeffrie G. Murphy.</t>
  </si>
  <si>
    <t>Murphy, Jeffrie G. compiler.</t>
  </si>
  <si>
    <t>Belmont, Calif. : Wadsworth Pub. Co., [1971]</t>
  </si>
  <si>
    <t>Basic problems in philosophy series</t>
  </si>
  <si>
    <t>2006-03-31</t>
  </si>
  <si>
    <t>1995-04-03</t>
  </si>
  <si>
    <t>1198431:eng</t>
  </si>
  <si>
    <t>158695</t>
  </si>
  <si>
    <t>991000908499702656</t>
  </si>
  <si>
    <t>2258601090002656</t>
  </si>
  <si>
    <t>32285002015757</t>
  </si>
  <si>
    <t>893683851</t>
  </si>
  <si>
    <t>KF4750 .F6</t>
  </si>
  <si>
    <t>0                      KF 4750000F  6</t>
  </si>
  <si>
    <t>Concerning dissent and civil disobedience.</t>
  </si>
  <si>
    <t>Fortas, Abe.</t>
  </si>
  <si>
    <t>[New York] New American Library [1968]</t>
  </si>
  <si>
    <t>A Signet special broadside no. 3</t>
  </si>
  <si>
    <t>2003-09-10</t>
  </si>
  <si>
    <t>1246281:eng</t>
  </si>
  <si>
    <t>449666</t>
  </si>
  <si>
    <t>991002806129702656</t>
  </si>
  <si>
    <t>2265447380002656</t>
  </si>
  <si>
    <t>32285002552437</t>
  </si>
  <si>
    <t>893335745</t>
  </si>
  <si>
    <t>KF4750 .H25</t>
  </si>
  <si>
    <t>0                      KF 4750000H  25</t>
  </si>
  <si>
    <t>The morality of civil disobedience / Robert T. Hall.</t>
  </si>
  <si>
    <t>Hall, Robert T. (Robert Tom), 1938-</t>
  </si>
  <si>
    <t>New York : Harper &amp; Row, [1971]</t>
  </si>
  <si>
    <t>Harper torchbooks ; TB1573</t>
  </si>
  <si>
    <t>2004-09-07</t>
  </si>
  <si>
    <t>1993-12-16</t>
  </si>
  <si>
    <t>1181488:eng</t>
  </si>
  <si>
    <t>154049</t>
  </si>
  <si>
    <t>991000891329702656</t>
  </si>
  <si>
    <t>2255013040002656</t>
  </si>
  <si>
    <t>9780061315732</t>
  </si>
  <si>
    <t>32285001809226</t>
  </si>
  <si>
    <t>893346071</t>
  </si>
  <si>
    <t>KF4758 .K57 1986</t>
  </si>
  <si>
    <t>0                      KF 4758000K  57          1986</t>
  </si>
  <si>
    <t>Gender justice / David L. Kirp, Mark G. Yudof, Marlene Strong Franks.</t>
  </si>
  <si>
    <t>Kirp, David L.</t>
  </si>
  <si>
    <t>Chicago : University of Chicago Press, 1986.</t>
  </si>
  <si>
    <t>2001-11-01</t>
  </si>
  <si>
    <t>4526499:eng</t>
  </si>
  <si>
    <t>11972476</t>
  </si>
  <si>
    <t>991001630289702656</t>
  </si>
  <si>
    <t>2255761070002656</t>
  </si>
  <si>
    <t>9780226437620</t>
  </si>
  <si>
    <t>32285001177939</t>
  </si>
  <si>
    <t>893696864</t>
  </si>
  <si>
    <t>KF4764 .V36 1990</t>
  </si>
  <si>
    <t>0                      KF 4764000V  36          1990</t>
  </si>
  <si>
    <t>Equality and public policy / Vernon Van Dyke.</t>
  </si>
  <si>
    <t>Van Dyke, Vernon, 1912-1998.</t>
  </si>
  <si>
    <t>Chicago : Nelson-Hall, c1990.</t>
  </si>
  <si>
    <t>Nelson-Hall series in political science</t>
  </si>
  <si>
    <t>2007-04-03</t>
  </si>
  <si>
    <t>2001-02-14</t>
  </si>
  <si>
    <t>22245268:eng</t>
  </si>
  <si>
    <t>21163224</t>
  </si>
  <si>
    <t>991003486629702656</t>
  </si>
  <si>
    <t>2261302310002656</t>
  </si>
  <si>
    <t>9780830412082</t>
  </si>
  <si>
    <t>32285004295209</t>
  </si>
  <si>
    <t>893441331</t>
  </si>
  <si>
    <t>KF4765.A75 D8</t>
  </si>
  <si>
    <t>0                      KF 4765000A  75                 D  8</t>
  </si>
  <si>
    <t>Due process / edited by J. Roland Pennock and John W. Chapman.</t>
  </si>
  <si>
    <t>New York : New York University Press, 1977.</t>
  </si>
  <si>
    <t>Nomos ; 18</t>
  </si>
  <si>
    <t>2005-12-04</t>
  </si>
  <si>
    <t>367475983:eng</t>
  </si>
  <si>
    <t>2632510</t>
  </si>
  <si>
    <t>991004190659702656</t>
  </si>
  <si>
    <t>2271647680002656</t>
  </si>
  <si>
    <t>9780814765692</t>
  </si>
  <si>
    <t>32285001177954</t>
  </si>
  <si>
    <t>893718601</t>
  </si>
  <si>
    <t>KF4770 .M39 1994</t>
  </si>
  <si>
    <t>0                      KF 4770000M  39          1994</t>
  </si>
  <si>
    <t>Freedom of speech, press, and assembly / by Darien A. McWhirter.</t>
  </si>
  <si>
    <t>McWhirter, Darien A. (Darien Auburn)</t>
  </si>
  <si>
    <t>Phoenix, Ariz. : Oryx, 1994.</t>
  </si>
  <si>
    <t>azu</t>
  </si>
  <si>
    <t>Exploring the Constitution series</t>
  </si>
  <si>
    <t>1996-06-07</t>
  </si>
  <si>
    <t>31729575:eng</t>
  </si>
  <si>
    <t>29952214</t>
  </si>
  <si>
    <t>991002308459702656</t>
  </si>
  <si>
    <t>2263431630002656</t>
  </si>
  <si>
    <t>9780897748537</t>
  </si>
  <si>
    <t>32285002189974</t>
  </si>
  <si>
    <t>893232806</t>
  </si>
  <si>
    <t>KF4770 .S7 1985</t>
  </si>
  <si>
    <t>0                      KF 4770000S  7           1985</t>
  </si>
  <si>
    <t>The fight for freedom of expression : three case studies / by Craig R. Smith ; written for the Institute for Freedom of Communication.</t>
  </si>
  <si>
    <t>Smith, Craig R.</t>
  </si>
  <si>
    <t>[Washington, D.C.] (414 S. Capitol St., S.E., Washington 20003) : The Institute, c1985.</t>
  </si>
  <si>
    <t>2006-01-24</t>
  </si>
  <si>
    <t>889913488:eng</t>
  </si>
  <si>
    <t>13978931</t>
  </si>
  <si>
    <t>991000895759702656</t>
  </si>
  <si>
    <t>2267172200002656</t>
  </si>
  <si>
    <t>32285002020088</t>
  </si>
  <si>
    <t>893696268</t>
  </si>
  <si>
    <t>KF4770.A75 C4</t>
  </si>
  <si>
    <t>0                      KF 4770000A  75                 C  4</t>
  </si>
  <si>
    <t>Censorship: for &amp; against. Introd. by Harold H. Hart.</t>
  </si>
  <si>
    <t>New York, Hart Pub. Co. [1971]</t>
  </si>
  <si>
    <t>1998-11-10</t>
  </si>
  <si>
    <t>1992-05-04</t>
  </si>
  <si>
    <t>373891033:eng</t>
  </si>
  <si>
    <t>148455</t>
  </si>
  <si>
    <t>991000834759702656</t>
  </si>
  <si>
    <t>2260147250002656</t>
  </si>
  <si>
    <t>9780805501209</t>
  </si>
  <si>
    <t>32285001096428</t>
  </si>
  <si>
    <t>893346014</t>
  </si>
  <si>
    <t>KF4774 .C84</t>
  </si>
  <si>
    <t>0                      KF 4774000C  84</t>
  </si>
  <si>
    <t>Mass media &amp; the First Amendment : an introduction to the issues, problems, and practices / Maurice R. Cullen, Jr.</t>
  </si>
  <si>
    <t>Cullen, Maurice R.</t>
  </si>
  <si>
    <t>Dubuque, Iowa : W.C. Brown Co., c1981</t>
  </si>
  <si>
    <t>2008-11-10</t>
  </si>
  <si>
    <t>953662202:eng</t>
  </si>
  <si>
    <t>7374201</t>
  </si>
  <si>
    <t>991005108349702656</t>
  </si>
  <si>
    <t>2266253880002656</t>
  </si>
  <si>
    <t>9780697043443</t>
  </si>
  <si>
    <t>32285000886431</t>
  </si>
  <si>
    <t>893263610</t>
  </si>
  <si>
    <t>KF4774 .M35</t>
  </si>
  <si>
    <t>0                      KF 4774000M  35</t>
  </si>
  <si>
    <t>The right to know : media and the common good / by William H. Marnell.</t>
  </si>
  <si>
    <t>Marnell, William H.</t>
  </si>
  <si>
    <t>New York : Seabury Press, [1973]</t>
  </si>
  <si>
    <t>A Continuum book</t>
  </si>
  <si>
    <t>1994-12-12</t>
  </si>
  <si>
    <t>499529412:eng</t>
  </si>
  <si>
    <t>482483</t>
  </si>
  <si>
    <t>991002841629702656</t>
  </si>
  <si>
    <t>2258763190002656</t>
  </si>
  <si>
    <t>9780816491391</t>
  </si>
  <si>
    <t>32285001981785</t>
  </si>
  <si>
    <t>893504886</t>
  </si>
  <si>
    <t>KF4774.A75 L4</t>
  </si>
  <si>
    <t>0                      KF 4774000A  75                 L  4</t>
  </si>
  <si>
    <t>Freedom of the press from Zenger to Jefferson; early American libertarian theories. Edited by Leonard W. Levy.</t>
  </si>
  <si>
    <t>Levy, Leonard W. (Leonard Williams), 1923-2006, editor.</t>
  </si>
  <si>
    <t>Indianapolis, Bobbs-Merrill Co. [1966]</t>
  </si>
  <si>
    <t>The American Heritage series, 41</t>
  </si>
  <si>
    <t>40513635:eng</t>
  </si>
  <si>
    <t>575392</t>
  </si>
  <si>
    <t>991001655629702656</t>
  </si>
  <si>
    <t>2258111800002656</t>
  </si>
  <si>
    <t>32285002551991</t>
  </si>
  <si>
    <t>893690755</t>
  </si>
  <si>
    <t>KF478.Z95 A4</t>
  </si>
  <si>
    <t>0                      KF 0478000Z  95                 A  4</t>
  </si>
  <si>
    <t>Shana Alexander's State-by-State guide to women's legal rights / Barbara Brudno, legal consultant.</t>
  </si>
  <si>
    <t>Alexander, Shana.</t>
  </si>
  <si>
    <t>Los Angeles : Wollstonecraft : distributed by Price/Stern/Sloan Publishers, [1975]</t>
  </si>
  <si>
    <t>2067106:eng</t>
  </si>
  <si>
    <t>1093350</t>
  </si>
  <si>
    <t>991003530239702656</t>
  </si>
  <si>
    <t>2264858330002656</t>
  </si>
  <si>
    <t>9780883810088</t>
  </si>
  <si>
    <t>32285002524931</t>
  </si>
  <si>
    <t>893774846</t>
  </si>
  <si>
    <t>KF4783 .A94 1995</t>
  </si>
  <si>
    <t>0                      KF 4783000A  94          1995</t>
  </si>
  <si>
    <t>All imaginable liberty : the religious liberty clauses of the First Amendment / [edited by] Francis Graham Lee.</t>
  </si>
  <si>
    <t>Lanham, Md. : University Press of America, c1995.</t>
  </si>
  <si>
    <t>2000-04-06</t>
  </si>
  <si>
    <t>1996-06-25</t>
  </si>
  <si>
    <t>837033929:eng</t>
  </si>
  <si>
    <t>32131005</t>
  </si>
  <si>
    <t>991002465309702656</t>
  </si>
  <si>
    <t>2263002340002656</t>
  </si>
  <si>
    <t>9780819198860</t>
  </si>
  <si>
    <t>32285002173218</t>
  </si>
  <si>
    <t>893616159</t>
  </si>
  <si>
    <t>KF4783 .J36 1985</t>
  </si>
  <si>
    <t>0                      KF 4783000J  36          1985</t>
  </si>
  <si>
    <t>James Madison on religious liberty / edited, with introductions and interpretations by Robert S. Alley.</t>
  </si>
  <si>
    <t>Buffalo, N.Y. : Prometheus Books, 1985.</t>
  </si>
  <si>
    <t>2005-01-18</t>
  </si>
  <si>
    <t>5802019:eng</t>
  </si>
  <si>
    <t>13090788</t>
  </si>
  <si>
    <t>991000777119702656</t>
  </si>
  <si>
    <t>2272764210002656</t>
  </si>
  <si>
    <t>9780879752989</t>
  </si>
  <si>
    <t>32285001178226</t>
  </si>
  <si>
    <t>893803067</t>
  </si>
  <si>
    <t>KF479 .C47 1983</t>
  </si>
  <si>
    <t>0                      KF 0479000C  47          1983</t>
  </si>
  <si>
    <t>Children's competence to consent / edited by Gary B. Melton, Gerald P. Koocher, and Michael J. Saks.</t>
  </si>
  <si>
    <t>New York : Plenum Press, c1983.</t>
  </si>
  <si>
    <t>Critical issues in social justice</t>
  </si>
  <si>
    <t>2000-08-29</t>
  </si>
  <si>
    <t>355860568:eng</t>
  </si>
  <si>
    <t>8866343</t>
  </si>
  <si>
    <t>991001767449702656</t>
  </si>
  <si>
    <t>2262395260002656</t>
  </si>
  <si>
    <t>9780306410697</t>
  </si>
  <si>
    <t>32285001173482</t>
  </si>
  <si>
    <t>893891817</t>
  </si>
  <si>
    <t>KF479.A75 C48 1984</t>
  </si>
  <si>
    <t>0                      KF 0479000A  75                 C  48          1984</t>
  </si>
  <si>
    <t>Children, mental health, and the law / edited by N. Dickon Reppucci ... [et al.].</t>
  </si>
  <si>
    <t>Beverly Hills : Sage Publications, c1984.</t>
  </si>
  <si>
    <t>Sage annual reviews of community mental health ; v. 4</t>
  </si>
  <si>
    <t>2010-06-07</t>
  </si>
  <si>
    <t>54614571:eng</t>
  </si>
  <si>
    <t>10185389</t>
  </si>
  <si>
    <t>991000328749702656</t>
  </si>
  <si>
    <t>2265547870002656</t>
  </si>
  <si>
    <t>9780803921849</t>
  </si>
  <si>
    <t>32285001173466</t>
  </si>
  <si>
    <t>893224905</t>
  </si>
  <si>
    <t>KF480 .A95</t>
  </si>
  <si>
    <t>0                      KF 0480000A  95</t>
  </si>
  <si>
    <t>Mental impairment and legal incompetency, by Richard C. Allen, Elyce Zenoff Ferster [and] Henry Weihofen.</t>
  </si>
  <si>
    <t>Allen, Richard C., 1926-</t>
  </si>
  <si>
    <t>Englewood Cliffs, N.J., Prentice-Hall [1968]</t>
  </si>
  <si>
    <t>2006-11-17</t>
  </si>
  <si>
    <t>1559268:eng</t>
  </si>
  <si>
    <t>437743</t>
  </si>
  <si>
    <t>991002773029702656</t>
  </si>
  <si>
    <t>2267914620002656</t>
  </si>
  <si>
    <t>32285002524956</t>
  </si>
  <si>
    <t>893352512</t>
  </si>
  <si>
    <t>KF480 .K47 1989</t>
  </si>
  <si>
    <t>0                      KF 0480000K  47          1989</t>
  </si>
  <si>
    <t>Handbook of psychiatry and the law / Ebrahim J. Kermani.</t>
  </si>
  <si>
    <t>Kermani, Ebrahim J.</t>
  </si>
  <si>
    <t>Chicago : Year Book Medical Publishers, c1989.</t>
  </si>
  <si>
    <t>2005-04-18</t>
  </si>
  <si>
    <t>21194330:eng</t>
  </si>
  <si>
    <t>19456415</t>
  </si>
  <si>
    <t>991001462339702656</t>
  </si>
  <si>
    <t>2270252240002656</t>
  </si>
  <si>
    <t>9780815150879</t>
  </si>
  <si>
    <t>32285000314939</t>
  </si>
  <si>
    <t>893497104</t>
  </si>
  <si>
    <t>KF4800 .C3</t>
  </si>
  <si>
    <t>0                      KF 4800000C  3</t>
  </si>
  <si>
    <t>The rights of aliens : the basic ACLU guide to an alien's rights / David Carliner.</t>
  </si>
  <si>
    <t>Carliner, David.</t>
  </si>
  <si>
    <t>New York : Avon Books, 1977.</t>
  </si>
  <si>
    <t>An American Civil Liberties Union handbook</t>
  </si>
  <si>
    <t>2006-11-20</t>
  </si>
  <si>
    <t>1997-04-17</t>
  </si>
  <si>
    <t>6398805:eng</t>
  </si>
  <si>
    <t>2830788</t>
  </si>
  <si>
    <t>991004257729702656</t>
  </si>
  <si>
    <t>2261445160002656</t>
  </si>
  <si>
    <t>9780380008858</t>
  </si>
  <si>
    <t>32285002552080</t>
  </si>
  <si>
    <t>893901007</t>
  </si>
  <si>
    <t>KF4800 .V3 1971</t>
  </si>
  <si>
    <t>0                      KF 4800000V  3           1971</t>
  </si>
  <si>
    <t>The administrative control of aliens; a study in administrative law and procedure, by William C. Van Vleck.</t>
  </si>
  <si>
    <t>Van Vleck, William C. (William Cabell), 1885-1956.</t>
  </si>
  <si>
    <t>New York, Da Capo Press, 1971 [c1932]</t>
  </si>
  <si>
    <t>Civil liberties in American history</t>
  </si>
  <si>
    <t>1291512:eng</t>
  </si>
  <si>
    <t>212540</t>
  </si>
  <si>
    <t>991001272929702656</t>
  </si>
  <si>
    <t>2261842490002656</t>
  </si>
  <si>
    <t>9780306701269</t>
  </si>
  <si>
    <t>32285002552106</t>
  </si>
  <si>
    <t>893237994</t>
  </si>
  <si>
    <t>KF481.A75 P65 1993</t>
  </si>
  <si>
    <t>0                      KF 0481000A  75                 P  65          1993</t>
  </si>
  <si>
    <t>The politics of pregnancy : policy dilemmas in the maternal-fetal relationship / Janna C. Merrick, Robert H. Blank, editors.</t>
  </si>
  <si>
    <t>New York : Haworth Press, c1993.</t>
  </si>
  <si>
    <t>1995-11-09</t>
  </si>
  <si>
    <t>908383504:eng</t>
  </si>
  <si>
    <t>28495591</t>
  </si>
  <si>
    <t>991002212989702656</t>
  </si>
  <si>
    <t>2272670020002656</t>
  </si>
  <si>
    <t>9781560230472</t>
  </si>
  <si>
    <t>32285002101656</t>
  </si>
  <si>
    <t>893250950</t>
  </si>
  <si>
    <t>KF4819.A4 N4</t>
  </si>
  <si>
    <t>0                      KF 4819000A  4                  N  4</t>
  </si>
  <si>
    <t>Proceedings of the New York University conference on practice and procedure under the Immigration and nationality act (McCarran-Walter act) : held on June 13, 1953, under the auspices of the Division of General Education and the School of Law. Edited by Henry Sellin.</t>
  </si>
  <si>
    <t>New York University. Division of General Education.</t>
  </si>
  <si>
    <t>New York, Published for New York University Press by Oceana Publications, 1954.</t>
  </si>
  <si>
    <t>1954</t>
  </si>
  <si>
    <t>2005-01-27</t>
  </si>
  <si>
    <t>1442527:eng</t>
  </si>
  <si>
    <t>503910</t>
  </si>
  <si>
    <t>991002877689702656</t>
  </si>
  <si>
    <t>2261976160002656</t>
  </si>
  <si>
    <t>32285002559291</t>
  </si>
  <si>
    <t>893698383</t>
  </si>
  <si>
    <t>KF4865.A75 O2</t>
  </si>
  <si>
    <t>0                      KF 4865000A  75                 O  2</t>
  </si>
  <si>
    <t>The wall between church and state. Contributors: Robert F. Drinan [and others]</t>
  </si>
  <si>
    <t>Oaks, Dallin H. editor.</t>
  </si>
  <si>
    <t>Chicago, University of Chicago Press [1963]</t>
  </si>
  <si>
    <t>1963</t>
  </si>
  <si>
    <t>2001-01-05</t>
  </si>
  <si>
    <t>1993-07-26</t>
  </si>
  <si>
    <t>367424735:eng</t>
  </si>
  <si>
    <t>232323</t>
  </si>
  <si>
    <t>991001806499702656</t>
  </si>
  <si>
    <t>2258568800002656</t>
  </si>
  <si>
    <t>32285001745727</t>
  </si>
  <si>
    <t>893621641</t>
  </si>
  <si>
    <t>KF504 .G64</t>
  </si>
  <si>
    <t>0                      KF 0504000G  64</t>
  </si>
  <si>
    <t>The family and the law; problems for decision in the family law process [by] Joseph Goldstein [and] Jay Katz.</t>
  </si>
  <si>
    <t>Goldstein, Joseph, 1923-2000.</t>
  </si>
  <si>
    <t>New York, Free Press [1965]</t>
  </si>
  <si>
    <t>1999-07-02</t>
  </si>
  <si>
    <t>2003-10-24</t>
  </si>
  <si>
    <t>285720330:eng</t>
  </si>
  <si>
    <t>263777</t>
  </si>
  <si>
    <t>991001620789702656</t>
  </si>
  <si>
    <t>2268599870002656</t>
  </si>
  <si>
    <t>32285002524980</t>
  </si>
  <si>
    <t>893703131</t>
  </si>
  <si>
    <t>KF5053.A2 N54</t>
  </si>
  <si>
    <t>0                      KF 5053000A  2                  N  54</t>
  </si>
  <si>
    <t>The President and the Constitution, edited by George A. Nikolaieff.</t>
  </si>
  <si>
    <t>Nikolaieff, George A., compiler.</t>
  </si>
  <si>
    <t>New York, H. W. Wilson Co., 1974.</t>
  </si>
  <si>
    <t>The Reference shelf, v. 46, no. 4</t>
  </si>
  <si>
    <t>180202183:eng</t>
  </si>
  <si>
    <t>1031234</t>
  </si>
  <si>
    <t>991001690469702656</t>
  </si>
  <si>
    <t>2265547110002656</t>
  </si>
  <si>
    <t>9780824205232</t>
  </si>
  <si>
    <t>32285002552452</t>
  </si>
  <si>
    <t>893684545</t>
  </si>
  <si>
    <t>KF5060 .S6</t>
  </si>
  <si>
    <t>0                      KF 5060000S  6</t>
  </si>
  <si>
    <t>War, foreign affairs, and constitutional power / by Abraham D. Sofaer.</t>
  </si>
  <si>
    <t>Sofaer, Abraham D.</t>
  </si>
  <si>
    <t>Cambridge, Mass. : Ballinger Pub. Co., c1976-</t>
  </si>
  <si>
    <t>2002-03-17</t>
  </si>
  <si>
    <t>4288464:eng</t>
  </si>
  <si>
    <t>2189444</t>
  </si>
  <si>
    <t>991001756699702656</t>
  </si>
  <si>
    <t>2265363400002656</t>
  </si>
  <si>
    <t>9780884102229</t>
  </si>
  <si>
    <t>32285001178481</t>
  </si>
  <si>
    <t>893785368</t>
  </si>
  <si>
    <t>KF5060.A68 S53 1999</t>
  </si>
  <si>
    <t>0                      KF 5060000A  68                 S  53          1999</t>
  </si>
  <si>
    <t>The judicial development of presidential war powers / Martin S. Sheffer.</t>
  </si>
  <si>
    <t>Sheffer, Martin S.</t>
  </si>
  <si>
    <t>Westport, Conn. : Praeger, 1999.</t>
  </si>
  <si>
    <t>2001-11-19</t>
  </si>
  <si>
    <t>2001-10-15</t>
  </si>
  <si>
    <t>2580696:eng</t>
  </si>
  <si>
    <t>39556485</t>
  </si>
  <si>
    <t>991003621979702656</t>
  </si>
  <si>
    <t>2263885400002656</t>
  </si>
  <si>
    <t>9780275964351</t>
  </si>
  <si>
    <t>32285004396718</t>
  </si>
  <si>
    <t>893717894</t>
  </si>
  <si>
    <t>KF5075 .L33</t>
  </si>
  <si>
    <t>0                      KF 5075000L  33</t>
  </si>
  <si>
    <t>Presidential impeachment / John R. Labovitz.</t>
  </si>
  <si>
    <t>Labovitz, John R., 1943-</t>
  </si>
  <si>
    <t>New Haven : Yale University Press, 1978.</t>
  </si>
  <si>
    <t>2007-01-31</t>
  </si>
  <si>
    <t>1995-08-02</t>
  </si>
  <si>
    <t>435257:eng</t>
  </si>
  <si>
    <t>3294385</t>
  </si>
  <si>
    <t>991001781239702656</t>
  </si>
  <si>
    <t>2259759460002656</t>
  </si>
  <si>
    <t>9780300022131</t>
  </si>
  <si>
    <t>32285001178499</t>
  </si>
  <si>
    <t>893529220</t>
  </si>
  <si>
    <t>KF5075.A75 S3</t>
  </si>
  <si>
    <t>0                      KF 5075000A  75                 S  3</t>
  </si>
  <si>
    <t>Presidential impeachment; a documentary overview, edited by M. B. Schnapper. Introd. by Alan Barth.</t>
  </si>
  <si>
    <t>Schnapper, M. B. (Morris Bartel), 1912-1999.</t>
  </si>
  <si>
    <t>Washington, Public Affairs Press [1974]</t>
  </si>
  <si>
    <t>508677910:eng</t>
  </si>
  <si>
    <t>1086005</t>
  </si>
  <si>
    <t>991003524429702656</t>
  </si>
  <si>
    <t>2269205200002656</t>
  </si>
  <si>
    <t>32285002552494</t>
  </si>
  <si>
    <t>893435079</t>
  </si>
  <si>
    <t>KF5107 .E45 1987</t>
  </si>
  <si>
    <t>0                      KF 5107000E  45          1987</t>
  </si>
  <si>
    <t>The United States Department of Justice and individual rights, 1937-1962 / John T. Elliff.</t>
  </si>
  <si>
    <t>Elliff, John T.</t>
  </si>
  <si>
    <t>New York : Garland Pub., 1987.</t>
  </si>
  <si>
    <t>American legal and constitutional history</t>
  </si>
  <si>
    <t>1990-01-14</t>
  </si>
  <si>
    <t>913685:eng</t>
  </si>
  <si>
    <t>14719662</t>
  </si>
  <si>
    <t>991000957419702656</t>
  </si>
  <si>
    <t>2254870250002656</t>
  </si>
  <si>
    <t>9780824082611</t>
  </si>
  <si>
    <t>32285000027192</t>
  </si>
  <si>
    <t>893872175</t>
  </si>
  <si>
    <t>KF5150 .S72 1992</t>
  </si>
  <si>
    <t>0                      KF 5150000S  72          1992</t>
  </si>
  <si>
    <t>Stars, stripes &amp; statutes : a state by state review of provisions covering the use and display of your flag and related subjects of concern to educators, parents, citizens / by National Flag Foundation ; with introduction by Lamar Alexander.</t>
  </si>
  <si>
    <t>Pittsburgh, PA : National Flag Foundation, c1992.</t>
  </si>
  <si>
    <t>2003-04-24</t>
  </si>
  <si>
    <t>1998-12-16</t>
  </si>
  <si>
    <t>29474774:eng</t>
  </si>
  <si>
    <t>26919191</t>
  </si>
  <si>
    <t>991002097759702656</t>
  </si>
  <si>
    <t>2272320670002656</t>
  </si>
  <si>
    <t>9780934021258</t>
  </si>
  <si>
    <t>32285003507232</t>
  </si>
  <si>
    <t>893779423</t>
  </si>
  <si>
    <t>KF535 .J33 1988</t>
  </si>
  <si>
    <t>0                      KF 0535000J  33          1988</t>
  </si>
  <si>
    <t>Silent revolution : the transformation of divorce law in the United States / Herbert Jacob.</t>
  </si>
  <si>
    <t>Jacob, Herbert, 1933-1996.</t>
  </si>
  <si>
    <t>Chicago : University of Chicago Press, 1988.</t>
  </si>
  <si>
    <t>1995-05-17</t>
  </si>
  <si>
    <t>2001-11-03</t>
  </si>
  <si>
    <t>836754621:eng</t>
  </si>
  <si>
    <t>17354609</t>
  </si>
  <si>
    <t>991001638179702656</t>
  </si>
  <si>
    <t>2268048770002656</t>
  </si>
  <si>
    <t>9780226389516</t>
  </si>
  <si>
    <t>32285000829480</t>
  </si>
  <si>
    <t>893439260</t>
  </si>
  <si>
    <t>KF535 .W43 1985</t>
  </si>
  <si>
    <t>0                      KF 0535000W  43          1985</t>
  </si>
  <si>
    <t>The divorce revolution : the unexpected social and economic consequences for women and children in America / Lenore J. Weitzman.</t>
  </si>
  <si>
    <t>Weitzman, Lenore J.</t>
  </si>
  <si>
    <t>New York : Free Press ; London : Collier Macmillan, c1985.</t>
  </si>
  <si>
    <t>2004-04-15</t>
  </si>
  <si>
    <t>1992-05-28</t>
  </si>
  <si>
    <t>1995-09-26</t>
  </si>
  <si>
    <t>4493968:eng</t>
  </si>
  <si>
    <t>11970153</t>
  </si>
  <si>
    <t>991001630249702656</t>
  </si>
  <si>
    <t>2256440700002656</t>
  </si>
  <si>
    <t>9780029347102</t>
  </si>
  <si>
    <t>32285001113371</t>
  </si>
  <si>
    <t>893516331</t>
  </si>
  <si>
    <t>KF535 .W45</t>
  </si>
  <si>
    <t>0                      KF 0535000W  45</t>
  </si>
  <si>
    <t>No-fault divorce.</t>
  </si>
  <si>
    <t>Wheeler, Michael, 1943-</t>
  </si>
  <si>
    <t>Boston, Beacon Press [1974]</t>
  </si>
  <si>
    <t>2004-04-22</t>
  </si>
  <si>
    <t>1754858:eng</t>
  </si>
  <si>
    <t>730773</t>
  </si>
  <si>
    <t>991003205969702656</t>
  </si>
  <si>
    <t>2267166070002656</t>
  </si>
  <si>
    <t>9780807044827</t>
  </si>
  <si>
    <t>32285002550035</t>
  </si>
  <si>
    <t>893787073</t>
  </si>
  <si>
    <t>KF535.Z9 J36 1997</t>
  </si>
  <si>
    <t>0                      KF 0535000Z  9                  J  36          1997</t>
  </si>
  <si>
    <t>The Divorce mediation handbook : everything you need to know / Paula James.</t>
  </si>
  <si>
    <t>James, Paula.</t>
  </si>
  <si>
    <t>San Francisco, Calif. : Jossey-Bass, c1997.</t>
  </si>
  <si>
    <t>2000-12-15</t>
  </si>
  <si>
    <t>1998-08-24</t>
  </si>
  <si>
    <t>62828649:eng</t>
  </si>
  <si>
    <t>36307958</t>
  </si>
  <si>
    <t>991002767049702656</t>
  </si>
  <si>
    <t>2267178260002656</t>
  </si>
  <si>
    <t>9780787908720</t>
  </si>
  <si>
    <t>32285003461026</t>
  </si>
  <si>
    <t>893239461</t>
  </si>
  <si>
    <t>KF5399 .W56 1984</t>
  </si>
  <si>
    <t>0                      KF 5399000W  56          1984</t>
  </si>
  <si>
    <t>The law and politics of police discretion / Gregory Howard Williams.</t>
  </si>
  <si>
    <t>Williams, Gregory Howard.</t>
  </si>
  <si>
    <t>Westport, Conn. : Greenwood Press, 1984.</t>
  </si>
  <si>
    <t>Contributions in criminology and penology, 0732-4464 ; no. 4</t>
  </si>
  <si>
    <t>2606180:eng</t>
  </si>
  <si>
    <t>10162647</t>
  </si>
  <si>
    <t>991000323749702656</t>
  </si>
  <si>
    <t>2267976280002656</t>
  </si>
  <si>
    <t>9780313240706</t>
  </si>
  <si>
    <t>32285001178556</t>
  </si>
  <si>
    <t>893534114</t>
  </si>
  <si>
    <t>KF5425 .E35 1990</t>
  </si>
  <si>
    <t>0                      KF 5425000E  35          1990</t>
  </si>
  <si>
    <t>Administrative law : rethinking judicial control of bureaucracy / Christopher F. Edley, Jr.</t>
  </si>
  <si>
    <t>Edley, Christopher F., 1953-</t>
  </si>
  <si>
    <t>New Haven : Yale University Press, c1990.</t>
  </si>
  <si>
    <t>1992-04-18</t>
  </si>
  <si>
    <t>1993-06-08</t>
  </si>
  <si>
    <t>1991-05-13</t>
  </si>
  <si>
    <t>836728006:eng</t>
  </si>
  <si>
    <t>20354571</t>
  </si>
  <si>
    <t>991001642489702656</t>
  </si>
  <si>
    <t>2270916280002656</t>
  </si>
  <si>
    <t>9780300040791</t>
  </si>
  <si>
    <t>32285000572775</t>
  </si>
  <si>
    <t>893334433</t>
  </si>
  <si>
    <t>KF5425 .R33 1989</t>
  </si>
  <si>
    <t>0                      KF 5425000R  33          1989</t>
  </si>
  <si>
    <t>Judicial compulsions : how public law distorts public policy / Jeremy Rabkin.</t>
  </si>
  <si>
    <t>Rabkin, Jeremy A.</t>
  </si>
  <si>
    <t>New York : Basic Books, c1989.</t>
  </si>
  <si>
    <t>2003-09-28</t>
  </si>
  <si>
    <t>1990-08-29</t>
  </si>
  <si>
    <t>19127316:eng</t>
  </si>
  <si>
    <t>19130929</t>
  </si>
  <si>
    <t>991001437519702656</t>
  </si>
  <si>
    <t>2261512340002656</t>
  </si>
  <si>
    <t>9780465036875</t>
  </si>
  <si>
    <t>32285000275411</t>
  </si>
  <si>
    <t>893414239</t>
  </si>
  <si>
    <t>KF547 .L56 1988</t>
  </si>
  <si>
    <t>0                      KF 0547000L  56          1988</t>
  </si>
  <si>
    <t>A manual on investigating child custody reports / by Mary E. Lindley.</t>
  </si>
  <si>
    <t>Lindley, Mary E.</t>
  </si>
  <si>
    <t>Springfield, Ill., U.S.A. : C.C. Thomas, c1988.</t>
  </si>
  <si>
    <t>1995-07-05</t>
  </si>
  <si>
    <t>16726223:eng</t>
  </si>
  <si>
    <t>17731090</t>
  </si>
  <si>
    <t>991001255369702656</t>
  </si>
  <si>
    <t>2272252350002656</t>
  </si>
  <si>
    <t>9780398054878</t>
  </si>
  <si>
    <t>32285002053162</t>
  </si>
  <si>
    <t>893522428</t>
  </si>
  <si>
    <t>KF547 .S26 1983</t>
  </si>
  <si>
    <t>0                      KF 0547000S  26          1983</t>
  </si>
  <si>
    <t>Mediating child custody disputes / Donald T. Saposnek.</t>
  </si>
  <si>
    <t>Saposnek, Donald T.</t>
  </si>
  <si>
    <t>San Francisco : Jossey-Bass, 1983.</t>
  </si>
  <si>
    <t>The Jossey-Bass social and behavioral science series</t>
  </si>
  <si>
    <t>1990-04-20</t>
  </si>
  <si>
    <t>36498508:eng</t>
  </si>
  <si>
    <t>9829581</t>
  </si>
  <si>
    <t>991000265779702656</t>
  </si>
  <si>
    <t>2269999980002656</t>
  </si>
  <si>
    <t>9780875895826</t>
  </si>
  <si>
    <t>32285000124288</t>
  </si>
  <si>
    <t>893714461</t>
  </si>
  <si>
    <t>KF5640 .L86</t>
  </si>
  <si>
    <t>0                      KF 5640000L  86</t>
  </si>
  <si>
    <t>American wildlife law / Thomas A. Lund.</t>
  </si>
  <si>
    <t>Lund, Thomas Alan, 1942-</t>
  </si>
  <si>
    <t>Berkeley : University of California Press, c1980.</t>
  </si>
  <si>
    <t>2006-03-08</t>
  </si>
  <si>
    <t>501982:eng</t>
  </si>
  <si>
    <t>5676315</t>
  </si>
  <si>
    <t>991001812209702656</t>
  </si>
  <si>
    <t>2259946950002656</t>
  </si>
  <si>
    <t>9780520038837</t>
  </si>
  <si>
    <t>32285001178614</t>
  </si>
  <si>
    <t>893444817</t>
  </si>
  <si>
    <t>KF5660 .W38</t>
  </si>
  <si>
    <t>0                      KF 5660000W  38</t>
  </si>
  <si>
    <t>The assault on Indian tribalism : the General allotment law (Dawes act) of 1887 / Wilcomb E. Washburn.</t>
  </si>
  <si>
    <t>Washburn, Wilcomb E.</t>
  </si>
  <si>
    <t>Philadelphia : Lippincott, [1975]</t>
  </si>
  <si>
    <t>The America's alternatives series</t>
  </si>
  <si>
    <t>2009-02-05</t>
  </si>
  <si>
    <t>906882640:eng</t>
  </si>
  <si>
    <t>1093476</t>
  </si>
  <si>
    <t>991003530579702656</t>
  </si>
  <si>
    <t>2264780700002656</t>
  </si>
  <si>
    <t>9780397473373</t>
  </si>
  <si>
    <t>32285005503171</t>
  </si>
  <si>
    <t>893623585</t>
  </si>
  <si>
    <t>KF5698 .B32</t>
  </si>
  <si>
    <t>0                      KF 5698000B  32</t>
  </si>
  <si>
    <t>The zoning game; municipal practices and policies [by] Richard F. Babcock.</t>
  </si>
  <si>
    <t>Babcock, Richard F.</t>
  </si>
  <si>
    <t>Madison, University of Wisconsin Press, 1966.</t>
  </si>
  <si>
    <t>1997-07-17</t>
  </si>
  <si>
    <t>1663259:eng</t>
  </si>
  <si>
    <t>712153</t>
  </si>
  <si>
    <t>991001672759702656</t>
  </si>
  <si>
    <t>2256733140002656</t>
  </si>
  <si>
    <t>32285002559317</t>
  </si>
  <si>
    <t>893328284</t>
  </si>
  <si>
    <t>KF5698 .B337</t>
  </si>
  <si>
    <t>0                      KF 5698000B  337</t>
  </si>
  <si>
    <t>Environmental law and the siting of facilities : issues in land use and coastal zone management / Michael S. Baram, with contributions by Timothy Backstrom ... [et al.].</t>
  </si>
  <si>
    <t>Baram, Michael S.</t>
  </si>
  <si>
    <t>Cambridge, Mass. : Ballinger Pub. Co., c1976.</t>
  </si>
  <si>
    <t>228000823:eng</t>
  </si>
  <si>
    <t>2020770</t>
  </si>
  <si>
    <t>991003982659702656</t>
  </si>
  <si>
    <t>2271463150002656</t>
  </si>
  <si>
    <t>9780884104179</t>
  </si>
  <si>
    <t>32285002559325</t>
  </si>
  <si>
    <t>893875543</t>
  </si>
  <si>
    <t>KF5698 .P66</t>
  </si>
  <si>
    <t>0                      KF 5698000P  66</t>
  </si>
  <si>
    <t>The politics of land-use reform / Frank J. Popper.</t>
  </si>
  <si>
    <t>Popper, Frank, 1944-</t>
  </si>
  <si>
    <t>Madison, Wis. : University of Wisconsin Press, 1981.</t>
  </si>
  <si>
    <t>2000-09-18</t>
  </si>
  <si>
    <t>434520:eng</t>
  </si>
  <si>
    <t>6762322</t>
  </si>
  <si>
    <t>991005036859702656</t>
  </si>
  <si>
    <t>2262953850002656</t>
  </si>
  <si>
    <t>9780299085308</t>
  </si>
  <si>
    <t>32285001178630</t>
  </si>
  <si>
    <t>893520323</t>
  </si>
  <si>
    <t>KF5753 .S75</t>
  </si>
  <si>
    <t>0                      KF 5753000S  75</t>
  </si>
  <si>
    <t>The information establishment : our government and the media / by Charles S. Steinberg.</t>
  </si>
  <si>
    <t>Steinberg, Charles S. (Charles Side), 1913-1978.</t>
  </si>
  <si>
    <t>New York : Hastings House, c1980.</t>
  </si>
  <si>
    <t>Communication arts books</t>
  </si>
  <si>
    <t>1994-04-10</t>
  </si>
  <si>
    <t>1992-03-20</t>
  </si>
  <si>
    <t>16531830:eng</t>
  </si>
  <si>
    <t>5126193</t>
  </si>
  <si>
    <t>991004783089702656</t>
  </si>
  <si>
    <t>2267882380002656</t>
  </si>
  <si>
    <t>9780803834248</t>
  </si>
  <si>
    <t>32285001024800</t>
  </si>
  <si>
    <t>893895479</t>
  </si>
  <si>
    <t>KF5753.Z9 G68</t>
  </si>
  <si>
    <t>0                      KF 5753000Z  9                  G  68</t>
  </si>
  <si>
    <t>Government information : Freedom of information act, Sunshine act, Privacy act / Alan B. Levenson, Harvey L. Pitt, cochairmen.</t>
  </si>
  <si>
    <t>New York : Practising Law Institute, c1978.</t>
  </si>
  <si>
    <t>Corporate law and practice course handbook series ; no. 261</t>
  </si>
  <si>
    <t>1992-02-12</t>
  </si>
  <si>
    <t>308854054:eng</t>
  </si>
  <si>
    <t>3932970</t>
  </si>
  <si>
    <t>991004549659702656</t>
  </si>
  <si>
    <t>2267828830002656</t>
  </si>
  <si>
    <t>32285000958040</t>
  </si>
  <si>
    <t>893353448</t>
  </si>
  <si>
    <t>KF6011 .B73 1988</t>
  </si>
  <si>
    <t>0                      KF 6011000B  73          1988</t>
  </si>
  <si>
    <t>Corporatism and the rule of law : a study of the National Recovery Administration / Donald R. Brand.</t>
  </si>
  <si>
    <t>Brand, Donald Robert, 1948-</t>
  </si>
  <si>
    <t>Ithaca : Cornell University Press, 1988.</t>
  </si>
  <si>
    <t>1996-04-27</t>
  </si>
  <si>
    <t>16748580:eng</t>
  </si>
  <si>
    <t>17732226</t>
  </si>
  <si>
    <t>991001256819702656</t>
  </si>
  <si>
    <t>2271026600002656</t>
  </si>
  <si>
    <t>9780801494956</t>
  </si>
  <si>
    <t>32285000103407</t>
  </si>
  <si>
    <t>893803494</t>
  </si>
  <si>
    <t>KF6020 .I7 1982</t>
  </si>
  <si>
    <t>0                      KF 6020000I  7           1982</t>
  </si>
  <si>
    <t>The New Deal lawyers / by Peter H. Irons.</t>
  </si>
  <si>
    <t>Irons, Peter H., 1940-</t>
  </si>
  <si>
    <t>Princeton, N.J. : Princeton University Press, c1982.</t>
  </si>
  <si>
    <t>1994-03-30</t>
  </si>
  <si>
    <t>441348:eng</t>
  </si>
  <si>
    <t>8109724</t>
  </si>
  <si>
    <t>991001674509702656</t>
  </si>
  <si>
    <t>2261429850002656</t>
  </si>
  <si>
    <t>9780691046884</t>
  </si>
  <si>
    <t>32285001178705</t>
  </si>
  <si>
    <t>893328285</t>
  </si>
  <si>
    <t>KF6276.558.A16 C66 1990</t>
  </si>
  <si>
    <t>0                      KF 6276558A  16                 C  66          1990</t>
  </si>
  <si>
    <t>Taxing choices : the politics of tax reform / Timothy J. Conlan, Margaret T. Wrightson, David R. Beam.</t>
  </si>
  <si>
    <t>Conlan, Timothy J.</t>
  </si>
  <si>
    <t>Washington, D.C. : CQ Press, c1990.</t>
  </si>
  <si>
    <t>2002-10-30</t>
  </si>
  <si>
    <t>1994-09-13</t>
  </si>
  <si>
    <t>20598143:eng</t>
  </si>
  <si>
    <t>20057284</t>
  </si>
  <si>
    <t>991001534649702656</t>
  </si>
  <si>
    <t>2269984740002656</t>
  </si>
  <si>
    <t>9780871874801</t>
  </si>
  <si>
    <t>32285001867349</t>
  </si>
  <si>
    <t>893522618</t>
  </si>
  <si>
    <t>KF6289.3 .C7 1970</t>
  </si>
  <si>
    <t>0                      KF 6289300C  7           1970</t>
  </si>
  <si>
    <t>The Federal tax system of the United States; a survey of law and administration, by Joseph P. Crockett.</t>
  </si>
  <si>
    <t>Crockett, Joseph P.</t>
  </si>
  <si>
    <t>Westport, Conn., Greenwood Press [1970, c1955]</t>
  </si>
  <si>
    <t>2001-12-01</t>
  </si>
  <si>
    <t>1997-07-02</t>
  </si>
  <si>
    <t>499916:eng</t>
  </si>
  <si>
    <t>251470</t>
  </si>
  <si>
    <t>991001949609702656</t>
  </si>
  <si>
    <t>2268732000002656</t>
  </si>
  <si>
    <t>9780837136813</t>
  </si>
  <si>
    <t>32285002844719</t>
  </si>
  <si>
    <t>893497564</t>
  </si>
  <si>
    <t>KF6289.5 .G55 1991</t>
  </si>
  <si>
    <t>0                      KF 6289500G  55          1991</t>
  </si>
  <si>
    <t>Federal tax : objective questions and explanations / by Irvin N. Gleim, John L. Kramer.</t>
  </si>
  <si>
    <t>Gleim, Irvin N.</t>
  </si>
  <si>
    <t>Gainesville, Fla. : Gleim Publications, c1991.</t>
  </si>
  <si>
    <t>flu</t>
  </si>
  <si>
    <t>The Gleim series</t>
  </si>
  <si>
    <t>1993-04-21</t>
  </si>
  <si>
    <t>1991-10-17</t>
  </si>
  <si>
    <t>4160275837:eng</t>
  </si>
  <si>
    <t>24081955</t>
  </si>
  <si>
    <t>991001907619702656</t>
  </si>
  <si>
    <t>2267268130002656</t>
  </si>
  <si>
    <t>9780917537448</t>
  </si>
  <si>
    <t>32285000727403</t>
  </si>
  <si>
    <t>893803990</t>
  </si>
  <si>
    <t>KF6297.5 .S9 1982</t>
  </si>
  <si>
    <t>0                      KF 6297500S  9           1982</t>
  </si>
  <si>
    <t>Tax shelters, a guide for investors and their advisors / Robert E. Swanson and Barbara Mardinly Swanson.</t>
  </si>
  <si>
    <t>Swanson, Robert E., 1947-</t>
  </si>
  <si>
    <t>2004-06-11</t>
  </si>
  <si>
    <t>1992-07-10</t>
  </si>
  <si>
    <t>42990053:eng</t>
  </si>
  <si>
    <t>8589764</t>
  </si>
  <si>
    <t>991000026709702656</t>
  </si>
  <si>
    <t>2255052260002656</t>
  </si>
  <si>
    <t>9780870942761</t>
  </si>
  <si>
    <t>32285001178846</t>
  </si>
  <si>
    <t>893595189</t>
  </si>
  <si>
    <t>KF6297.5.A5 S3 1980</t>
  </si>
  <si>
    <t>0                      KF 6297500A  5                  S  3           1980</t>
  </si>
  <si>
    <t>Tax shelters / edited by Ruth G. Schapiro.</t>
  </si>
  <si>
    <t>Schapiro, Ruth G.</t>
  </si>
  <si>
    <t>New York : Practising Law Institute, 1980.</t>
  </si>
  <si>
    <t>54070412:eng</t>
  </si>
  <si>
    <t>7176625</t>
  </si>
  <si>
    <t>991005022289702656</t>
  </si>
  <si>
    <t>2257829300002656</t>
  </si>
  <si>
    <t>32285001178838</t>
  </si>
  <si>
    <t>893533040</t>
  </si>
  <si>
    <t>KF7221 .D6 1977</t>
  </si>
  <si>
    <t>0                      KF 7221000D  6           1977</t>
  </si>
  <si>
    <t>Pardon and amnesty under Lincoln and Johnson : the restoration of the Confederates to their rights and privileges, 1861-1898 / by Jonathan Truman Dorris ; introd. by J. G. Randall.</t>
  </si>
  <si>
    <t>Dorris, Jonathan Truman, 1883-1972.</t>
  </si>
  <si>
    <t>Westport, Conn. : Greenwood Press, 1977, c1953.</t>
  </si>
  <si>
    <t>2001-05-01</t>
  </si>
  <si>
    <t>1547212:eng</t>
  </si>
  <si>
    <t>2912214</t>
  </si>
  <si>
    <t>991004281879702656</t>
  </si>
  <si>
    <t>2267958690002656</t>
  </si>
  <si>
    <t>9780837196466</t>
  </si>
  <si>
    <t>32285002552908</t>
  </si>
  <si>
    <t>893901043</t>
  </si>
  <si>
    <t>KF750 .S45</t>
  </si>
  <si>
    <t>0                      KF 0750000S  45</t>
  </si>
  <si>
    <t>Death, property, and lawyers; a behavioral approach [by] Thomas L. Shaffer.</t>
  </si>
  <si>
    <t>Shaffer, Thomas L., 1934-</t>
  </si>
  <si>
    <t>[New York] Dunellen [c1970]</t>
  </si>
  <si>
    <t>2007-10-10</t>
  </si>
  <si>
    <t>1082397132:eng</t>
  </si>
  <si>
    <t>159339</t>
  </si>
  <si>
    <t>991000910059702656</t>
  </si>
  <si>
    <t>2259142250002656</t>
  </si>
  <si>
    <t>9780842400213</t>
  </si>
  <si>
    <t>32285002550084</t>
  </si>
  <si>
    <t>893589855</t>
  </si>
  <si>
    <t>KF7620 .B57</t>
  </si>
  <si>
    <t>0                      KF 7620000B  57</t>
  </si>
  <si>
    <t>Justice under fire; a study of military law, by Joseph W. Bishop, Jr.</t>
  </si>
  <si>
    <t>Bishop, Joseph Warren, Jr.</t>
  </si>
  <si>
    <t>New York, Charterhouse [1974]</t>
  </si>
  <si>
    <t>2004-03-15</t>
  </si>
  <si>
    <t>2009-04-08</t>
  </si>
  <si>
    <t>198909867:eng</t>
  </si>
  <si>
    <t>983806</t>
  </si>
  <si>
    <t>991001689329702656</t>
  </si>
  <si>
    <t>2272588410002656</t>
  </si>
  <si>
    <t>9780883270349</t>
  </si>
  <si>
    <t>32285002552957</t>
  </si>
  <si>
    <t>893226034</t>
  </si>
  <si>
    <t>KF7642.C8 F7</t>
  </si>
  <si>
    <t>0                      KF 7642000C  8                  F  7</t>
  </si>
  <si>
    <t>The court-martial of General George Armstrong Custer, by Lawrence A. Frost.</t>
  </si>
  <si>
    <t>Frost, Lawrence A.</t>
  </si>
  <si>
    <t>Norman, University of Oklahoma Press [1968]</t>
  </si>
  <si>
    <t>oku</t>
  </si>
  <si>
    <t>1997-05-15</t>
  </si>
  <si>
    <t>462156:eng</t>
  </si>
  <si>
    <t>418217</t>
  </si>
  <si>
    <t>991002733709702656</t>
  </si>
  <si>
    <t>2261000210002656</t>
  </si>
  <si>
    <t>32285002552981</t>
  </si>
  <si>
    <t>893523981</t>
  </si>
  <si>
    <t>KF8205 .A93 1978</t>
  </si>
  <si>
    <t>0                      KF 8205000A  93          1978</t>
  </si>
  <si>
    <t>Treaty making and treaty rejection by the Federal Government in California, 1850-1852 / by George E. Anderson, W.H. Ellison, Robert F. Heizer.</t>
  </si>
  <si>
    <t>Anderson, George E.</t>
  </si>
  <si>
    <t>Socorro, N.M. : Ballena Press, c1978.</t>
  </si>
  <si>
    <t>nmu</t>
  </si>
  <si>
    <t>Ballena Press publications in archaeology, ethnology, and history ; no. 9</t>
  </si>
  <si>
    <t>2003-05-20</t>
  </si>
  <si>
    <t>13121539:eng</t>
  </si>
  <si>
    <t>4114748</t>
  </si>
  <si>
    <t>991004056149702656</t>
  </si>
  <si>
    <t>2270863100002656</t>
  </si>
  <si>
    <t>9780879190712</t>
  </si>
  <si>
    <t>32285004747316</t>
  </si>
  <si>
    <t>893618171</t>
  </si>
  <si>
    <t>KF8210.N37 B87 1991</t>
  </si>
  <si>
    <t>0                      KF 8210000N  37                 B  87          1991</t>
  </si>
  <si>
    <t>American Indian water rights and the limits of law / Lloyd Burton.</t>
  </si>
  <si>
    <t>Burton, Lloyd.</t>
  </si>
  <si>
    <t>Lawrence, Kan. : University Press of Kansas, c1991.</t>
  </si>
  <si>
    <t>Development of western resources</t>
  </si>
  <si>
    <t>1998-11-03</t>
  </si>
  <si>
    <t>1992-06-01</t>
  </si>
  <si>
    <t>348033:eng</t>
  </si>
  <si>
    <t>22733145</t>
  </si>
  <si>
    <t>991001647299702656</t>
  </si>
  <si>
    <t>2267038870002656</t>
  </si>
  <si>
    <t>9780700604814</t>
  </si>
  <si>
    <t>32285001125110</t>
  </si>
  <si>
    <t>893772752</t>
  </si>
  <si>
    <t>KF8228.C505 P3 1934</t>
  </si>
  <si>
    <t>0                      KF 8228000C  505                P  3           1934</t>
  </si>
  <si>
    <t>Indian justice : a Cherokee murder trial at Tahlequah in 1840, as reported by John Howard Payne / edited with introduction and footnotes by Grant Foreman.</t>
  </si>
  <si>
    <t>Payne, John Howard, 1791-1852.</t>
  </si>
  <si>
    <t>Oklahoma City, Okla. : Harlow Pub. Co., 1934.</t>
  </si>
  <si>
    <t>1934</t>
  </si>
  <si>
    <t>2003-06-04</t>
  </si>
  <si>
    <t>1911817967:eng</t>
  </si>
  <si>
    <t>2098047</t>
  </si>
  <si>
    <t>991004070039702656</t>
  </si>
  <si>
    <t>2265566400002656</t>
  </si>
  <si>
    <t>32285004750690</t>
  </si>
  <si>
    <t>893900769</t>
  </si>
  <si>
    <t>KF8700 .O53 1985</t>
  </si>
  <si>
    <t>0                      KF 8700000O  53          1985</t>
  </si>
  <si>
    <t>Bakke &amp; the politics of equality : friends and foes in the classroom of litigation / Timothy J. O'Neill.</t>
  </si>
  <si>
    <t>O'Neill, Timothy J.</t>
  </si>
  <si>
    <t>Middletown, Conn. : Wesleyan University Press ; Scranton, Pa. : Distributed by Harper &amp; Row, c1985.</t>
  </si>
  <si>
    <t>2010-04-09</t>
  </si>
  <si>
    <t>1990-04-10</t>
  </si>
  <si>
    <t>2796285:eng</t>
  </si>
  <si>
    <t>10299328</t>
  </si>
  <si>
    <t>991000348299702656</t>
  </si>
  <si>
    <t>2255376120002656</t>
  </si>
  <si>
    <t>9780819551160</t>
  </si>
  <si>
    <t>32285000103886</t>
  </si>
  <si>
    <t>893231047</t>
  </si>
  <si>
    <t>KF8700.Z95 S78 1992</t>
  </si>
  <si>
    <t>0                      KF 8700000Z  95                 S  78          1992</t>
  </si>
  <si>
    <t>The politics of state courts / Harry P. Stumpf, John H. Culver.</t>
  </si>
  <si>
    <t>Stumpf, Harry P.</t>
  </si>
  <si>
    <t>New York : Longman, c1992.</t>
  </si>
  <si>
    <t>2002-05-22</t>
  </si>
  <si>
    <t>1995-05-25</t>
  </si>
  <si>
    <t>26106202:eng</t>
  </si>
  <si>
    <t>24142770</t>
  </si>
  <si>
    <t>991001911529702656</t>
  </si>
  <si>
    <t>2265756620002656</t>
  </si>
  <si>
    <t>9780801300516</t>
  </si>
  <si>
    <t>32285002047495</t>
  </si>
  <si>
    <t>893250602</t>
  </si>
  <si>
    <t>KF8742 .B3</t>
  </si>
  <si>
    <t>0                      KF 8742000B  3</t>
  </si>
  <si>
    <t>Back to back, the duel between FDR and the Supreme Court.</t>
  </si>
  <si>
    <t>Baker, Leonard.</t>
  </si>
  <si>
    <t>New York, Macmillan [1967]</t>
  </si>
  <si>
    <t>2010-04-18</t>
  </si>
  <si>
    <t>1997-04-18</t>
  </si>
  <si>
    <t>1593113:eng</t>
  </si>
  <si>
    <t>499568</t>
  </si>
  <si>
    <t>991002871639702656</t>
  </si>
  <si>
    <t>2271273530002656</t>
  </si>
  <si>
    <t>32285002553203</t>
  </si>
  <si>
    <t>893335827</t>
  </si>
  <si>
    <t>KF8742 .B74 1989</t>
  </si>
  <si>
    <t>0                      KF 8742000B  74          1989</t>
  </si>
  <si>
    <t>Battle for justice : how the Bork nomination shook America / Ethan Bronner.</t>
  </si>
  <si>
    <t>Bronner, Ethan.</t>
  </si>
  <si>
    <t>New York : W.W. Norton, c1989.</t>
  </si>
  <si>
    <t>2009-04-02</t>
  </si>
  <si>
    <t>1989-10-23</t>
  </si>
  <si>
    <t>1992-06-03</t>
  </si>
  <si>
    <t>21201518:eng</t>
  </si>
  <si>
    <t>19456811</t>
  </si>
  <si>
    <t>991001641069702656</t>
  </si>
  <si>
    <t>2267592840002656</t>
  </si>
  <si>
    <t>9780393026900</t>
  </si>
  <si>
    <t>32285000004498</t>
  </si>
  <si>
    <t>893439263</t>
  </si>
  <si>
    <t>KF8742 .D38 1994</t>
  </si>
  <si>
    <t>0                      KF 8742000D  38          1994</t>
  </si>
  <si>
    <t>Decisions and images : the Supreme Court and the press / Richard Davis.</t>
  </si>
  <si>
    <t>Davis, Richard, 1955-</t>
  </si>
  <si>
    <t>Englewood Cliffs, N.J. : Prentice-Hall, 1994.</t>
  </si>
  <si>
    <t>2002-12-09</t>
  </si>
  <si>
    <t>476555415:eng</t>
  </si>
  <si>
    <t>28066619</t>
  </si>
  <si>
    <t>991002180319702656</t>
  </si>
  <si>
    <t>2259425180002656</t>
  </si>
  <si>
    <t>9780130345059</t>
  </si>
  <si>
    <t>32285001856599</t>
  </si>
  <si>
    <t>893798275</t>
  </si>
  <si>
    <t>KF8742 .K8</t>
  </si>
  <si>
    <t>0                      KF 8742000K  8</t>
  </si>
  <si>
    <t>Judicial power and Reconstruction politics [by] Stanley I. Kutler.</t>
  </si>
  <si>
    <t>Kutler, Stanley I.</t>
  </si>
  <si>
    <t>Chicago, University of Chicago Press [1968]</t>
  </si>
  <si>
    <t>2009-09-05</t>
  </si>
  <si>
    <t>1293372:eng</t>
  </si>
  <si>
    <t>169927</t>
  </si>
  <si>
    <t>991001778489702656</t>
  </si>
  <si>
    <t>2263977180002656</t>
  </si>
  <si>
    <t>32285002553237</t>
  </si>
  <si>
    <t>893684634</t>
  </si>
  <si>
    <t>KF8742 .M54</t>
  </si>
  <si>
    <t>0                      KF 8742000M  54</t>
  </si>
  <si>
    <t>The Supreme Court : myth and reality / Arthur Selwyn Miller.</t>
  </si>
  <si>
    <t>Westport, Conn. : Greenwood Press, 1978.</t>
  </si>
  <si>
    <t>Contributions in American studies, 0084-9227 ; no. 38</t>
  </si>
  <si>
    <t>2008-02-24</t>
  </si>
  <si>
    <t>1992-07-14</t>
  </si>
  <si>
    <t>444859:eng</t>
  </si>
  <si>
    <t>3631303</t>
  </si>
  <si>
    <t>991001786139702656</t>
  </si>
  <si>
    <t>2259406640002656</t>
  </si>
  <si>
    <t>9780313200465</t>
  </si>
  <si>
    <t>32285001179612</t>
  </si>
  <si>
    <t>893534676</t>
  </si>
  <si>
    <t>KF8742 .P3365 1991</t>
  </si>
  <si>
    <t>0                      KF 8742000P  3365        1991</t>
  </si>
  <si>
    <t>Deciding to decide : agenda setting in the United States Supreme Court / H.W. Perry, Jr.</t>
  </si>
  <si>
    <t>Perry, H. W.</t>
  </si>
  <si>
    <t>Cambridge, Mass. : Harvard University Press, 1991.</t>
  </si>
  <si>
    <t>1993-08-12</t>
  </si>
  <si>
    <t>2679240:eng</t>
  </si>
  <si>
    <t>23693311</t>
  </si>
  <si>
    <t>991001648799702656</t>
  </si>
  <si>
    <t>2260372050002656</t>
  </si>
  <si>
    <t>9780674194427</t>
  </si>
  <si>
    <t>32285001726040</t>
  </si>
  <si>
    <t>893334440</t>
  </si>
  <si>
    <t>KF8742 .P76</t>
  </si>
  <si>
    <t>0                      KF 8742000P  76</t>
  </si>
  <si>
    <t>Case selection in the United States Supreme Court / Doris Marie Provine.</t>
  </si>
  <si>
    <t>Provine, Doris Marie.</t>
  </si>
  <si>
    <t>Chicago : University of Chicago Press, c1980.</t>
  </si>
  <si>
    <t>2009-09-08</t>
  </si>
  <si>
    <t>2009-10-29</t>
  </si>
  <si>
    <t>419113:eng</t>
  </si>
  <si>
    <t>5751474</t>
  </si>
  <si>
    <t>991001812249702656</t>
  </si>
  <si>
    <t>2270212470002656</t>
  </si>
  <si>
    <t>9780226684680</t>
  </si>
  <si>
    <t>32285001179620</t>
  </si>
  <si>
    <t>893534686</t>
  </si>
  <si>
    <t>KF8742 .T75 1985</t>
  </si>
  <si>
    <t>0                      KF 8742000T  75          1985</t>
  </si>
  <si>
    <t>God save this honorable court : how the choice of Supreme Court justices shapes our history / Laurence H. Tribe.</t>
  </si>
  <si>
    <t>Tribe, Laurence H.</t>
  </si>
  <si>
    <t>New York : Random House, c1985.</t>
  </si>
  <si>
    <t>1993-07-03</t>
  </si>
  <si>
    <t>1992-11-23</t>
  </si>
  <si>
    <t>4723648:eng</t>
  </si>
  <si>
    <t>11842466</t>
  </si>
  <si>
    <t>991001629979702656</t>
  </si>
  <si>
    <t>2265148820002656</t>
  </si>
  <si>
    <t>9780394548425</t>
  </si>
  <si>
    <t>32285001408136</t>
  </si>
  <si>
    <t>893256359</t>
  </si>
  <si>
    <t>KF8742 .W38</t>
  </si>
  <si>
    <t>0                      KF 8742000W  38</t>
  </si>
  <si>
    <t>The Supreme Court in the Federal judicial system / Stephen L. Wasby.</t>
  </si>
  <si>
    <t>Wasby, Stephen L., 1937-</t>
  </si>
  <si>
    <t>New York : Holt, Rinehart and Winston, c1978.</t>
  </si>
  <si>
    <t>1994-04-17</t>
  </si>
  <si>
    <t>10180831:eng</t>
  </si>
  <si>
    <t>3345960</t>
  </si>
  <si>
    <t>991004412059702656</t>
  </si>
  <si>
    <t>2255550650002656</t>
  </si>
  <si>
    <t>9780030304262</t>
  </si>
  <si>
    <t>32285000107267</t>
  </si>
  <si>
    <t>893513204</t>
  </si>
  <si>
    <t>KF8742 .W52 1988</t>
  </si>
  <si>
    <t>0                      KF 8742000W  52          1988</t>
  </si>
  <si>
    <t>Liberty under law : the Supreme Court in American life / William M. Wiecek.</t>
  </si>
  <si>
    <t>Wiecek, William M., 1938-</t>
  </si>
  <si>
    <t>Baltimore : Johns Hopkins University Press, c1988.</t>
  </si>
  <si>
    <t>The American moment</t>
  </si>
  <si>
    <t>1993-11-07</t>
  </si>
  <si>
    <t>827795003:eng</t>
  </si>
  <si>
    <t>16982371</t>
  </si>
  <si>
    <t>991001173019702656</t>
  </si>
  <si>
    <t>2255961820002656</t>
  </si>
  <si>
    <t>9780801835964</t>
  </si>
  <si>
    <t>32285001179653</t>
  </si>
  <si>
    <t>893614845</t>
  </si>
  <si>
    <t>KF8742 .Y35 1999</t>
  </si>
  <si>
    <t>0                      KF 8742000Y  35          1999</t>
  </si>
  <si>
    <t>Pursuit of justices : presidential politics and the selection of Supreme Court nominees / David Alistair Yalof.</t>
  </si>
  <si>
    <t>Yalof, David Alistair.</t>
  </si>
  <si>
    <t>Chicago : University of Chicago Press, c1999.</t>
  </si>
  <si>
    <t>2010-04-17</t>
  </si>
  <si>
    <t>2000-12-05</t>
  </si>
  <si>
    <t>198469221:eng</t>
  </si>
  <si>
    <t>41090868</t>
  </si>
  <si>
    <t>991001679719702656</t>
  </si>
  <si>
    <t>2265827700002656</t>
  </si>
  <si>
    <t>9780226945453</t>
  </si>
  <si>
    <t>32285004275250</t>
  </si>
  <si>
    <t>893602801</t>
  </si>
  <si>
    <t>KF8742.A5 W37 1993</t>
  </si>
  <si>
    <t>0                      KF 8742000A  5                  W  37          1993</t>
  </si>
  <si>
    <t>The Warren court in historical and political perspective / edited by Mark Tushnet.</t>
  </si>
  <si>
    <t>Charlottesville : University Press of Virginia, 1993.</t>
  </si>
  <si>
    <t>Constitutionalism and democracy</t>
  </si>
  <si>
    <t>1998-12-07</t>
  </si>
  <si>
    <t>1998-12-08</t>
  </si>
  <si>
    <t>1994-07-12</t>
  </si>
  <si>
    <t>1994-08-09</t>
  </si>
  <si>
    <t>55684262:eng</t>
  </si>
  <si>
    <t>27726414</t>
  </si>
  <si>
    <t>991001657529702656</t>
  </si>
  <si>
    <t>2264945720002656</t>
  </si>
  <si>
    <t>9780813914596</t>
  </si>
  <si>
    <t>32285001931210</t>
  </si>
  <si>
    <t>893809130</t>
  </si>
  <si>
    <t>KF8744 .B27 1984</t>
  </si>
  <si>
    <t>0                      KF 8744000B  27          1984</t>
  </si>
  <si>
    <t>Brandeis and Frankfurter : a dual biography / Leonard Baker.</t>
  </si>
  <si>
    <t>New York : Harper &amp; Row, c1984.</t>
  </si>
  <si>
    <t>5849003:eng</t>
  </si>
  <si>
    <t>9829642</t>
  </si>
  <si>
    <t>991000265849702656</t>
  </si>
  <si>
    <t>2271658220002656</t>
  </si>
  <si>
    <t>9780060152451</t>
  </si>
  <si>
    <t>32285001179661</t>
  </si>
  <si>
    <t>893771511</t>
  </si>
  <si>
    <t>KF8744 .B87 1988</t>
  </si>
  <si>
    <t>0                      KF 8744000B  87          1988</t>
  </si>
  <si>
    <t>Two Jewish justices : outcasts in the promised land / Robert A. Burt.</t>
  </si>
  <si>
    <t>Burt, Robert A., 1939-2015.</t>
  </si>
  <si>
    <t>Berkeley : University of California Press, c1988.</t>
  </si>
  <si>
    <t>1998-12-10</t>
  </si>
  <si>
    <t>1999-04-09</t>
  </si>
  <si>
    <t>232293657:eng</t>
  </si>
  <si>
    <t>16404028</t>
  </si>
  <si>
    <t>991001636819702656</t>
  </si>
  <si>
    <t>2262245890002656</t>
  </si>
  <si>
    <t>9780520061101</t>
  </si>
  <si>
    <t>32285001179679</t>
  </si>
  <si>
    <t>893250348</t>
  </si>
  <si>
    <t>KF8744 .F75</t>
  </si>
  <si>
    <t>0                      KF 8744000F  75</t>
  </si>
  <si>
    <t>The justices of the United States Supreme Court : their lives and major opinions / Leon Friedman &amp; Fred L. Israel, editors; with an introd. by Louis H. Pollak.</t>
  </si>
  <si>
    <t>New York : Chelsea House in association with Bowker, 1969-</t>
  </si>
  <si>
    <t>2000-12-01</t>
  </si>
  <si>
    <t>1994-08-18</t>
  </si>
  <si>
    <t>4575345196:eng</t>
  </si>
  <si>
    <t>47888</t>
  </si>
  <si>
    <t>991000110049702656</t>
  </si>
  <si>
    <t>2262448570002656</t>
  </si>
  <si>
    <t>9780835202176</t>
  </si>
  <si>
    <t>32285001938264</t>
  </si>
  <si>
    <t>893777690</t>
  </si>
  <si>
    <t>KF8744 .F75 V.2</t>
  </si>
  <si>
    <t>0                      KF 8744000F  75                                                      V.2</t>
  </si>
  <si>
    <t>V.2*</t>
  </si>
  <si>
    <t>1992-12-22</t>
  </si>
  <si>
    <t>32285001470540</t>
  </si>
  <si>
    <t>893783971</t>
  </si>
  <si>
    <t>KF8744 .F75 V.3</t>
  </si>
  <si>
    <t>0                      KF 8744000F  75                                                      V.3</t>
  </si>
  <si>
    <t>V.3*</t>
  </si>
  <si>
    <t>1998-12-13</t>
  </si>
  <si>
    <t>32285001938272</t>
  </si>
  <si>
    <t>893796423</t>
  </si>
  <si>
    <t>KF8744 .F75 V.4</t>
  </si>
  <si>
    <t>0                      KF 8744000F  75                                                      V.4</t>
  </si>
  <si>
    <t>V.4*</t>
  </si>
  <si>
    <t>1992-04-27</t>
  </si>
  <si>
    <t>32285001095537</t>
  </si>
  <si>
    <t>893796422</t>
  </si>
  <si>
    <t>KF8744 .F75 V.5</t>
  </si>
  <si>
    <t>0                      KF 8744000F  75                                                      V.5</t>
  </si>
  <si>
    <t>V.5*</t>
  </si>
  <si>
    <t>2000-11-22</t>
  </si>
  <si>
    <t>1992-04-30</t>
  </si>
  <si>
    <t>32285001096162</t>
  </si>
  <si>
    <t>893796421</t>
  </si>
  <si>
    <t>KF8744 .S86 1993</t>
  </si>
  <si>
    <t>0                      KF 8744000S  86          1993</t>
  </si>
  <si>
    <t>The Supreme Court justices : illustrated biographies, 1789-1993 / edited by Clare Cushman (the Supreme Court Historical Society) ; foreword by William H. Rehnquist.</t>
  </si>
  <si>
    <t>Washington, D.C. : Congressional Quarterly, c1993.</t>
  </si>
  <si>
    <t>1994-03-22</t>
  </si>
  <si>
    <t>918863791:eng</t>
  </si>
  <si>
    <t>27974780</t>
  </si>
  <si>
    <t>991001658059702656</t>
  </si>
  <si>
    <t>2261982230002656</t>
  </si>
  <si>
    <t>9780871877239</t>
  </si>
  <si>
    <t>32285001857159</t>
  </si>
  <si>
    <t>893696896</t>
  </si>
  <si>
    <t>KF8745.B67 M34 1946</t>
  </si>
  <si>
    <t>0                      KF 8745000B  67                 M  34          1946</t>
  </si>
  <si>
    <t>Brandeis : a free man's life / by Alpheus Thomas Mason.</t>
  </si>
  <si>
    <t>Mason, Alpheus Thomas, 1899-1989.</t>
  </si>
  <si>
    <t>New York : Viking Press, 1946.</t>
  </si>
  <si>
    <t>1946</t>
  </si>
  <si>
    <t>1998-10-02</t>
  </si>
  <si>
    <t>1997-09-15</t>
  </si>
  <si>
    <t>2004-11-22</t>
  </si>
  <si>
    <t>198917159:eng</t>
  </si>
  <si>
    <t>345907</t>
  </si>
  <si>
    <t>991001630209702656</t>
  </si>
  <si>
    <t>2272068430002656</t>
  </si>
  <si>
    <t>32285003233532</t>
  </si>
  <si>
    <t>893328242</t>
  </si>
  <si>
    <t>KF8745.D6 A28</t>
  </si>
  <si>
    <t>0                      KF 8745000D  6                  A  28</t>
  </si>
  <si>
    <t>The Court years, 1939-1975 : the autobiography of William O. Douglas.</t>
  </si>
  <si>
    <t>Douglas, William O. (William Orville), 1898-1980.</t>
  </si>
  <si>
    <t>New York : Random House, c1980.</t>
  </si>
  <si>
    <t>1999-10-07</t>
  </si>
  <si>
    <t>1992-07-17</t>
  </si>
  <si>
    <t>1995-02-20</t>
  </si>
  <si>
    <t>48210555:eng</t>
  </si>
  <si>
    <t>6280574</t>
  </si>
  <si>
    <t>991001616189702656</t>
  </si>
  <si>
    <t>2255943090002656</t>
  </si>
  <si>
    <t>9780394492407</t>
  </si>
  <si>
    <t>32285001179711</t>
  </si>
  <si>
    <t>893690708</t>
  </si>
  <si>
    <t>KF8745.W3 S37 1983</t>
  </si>
  <si>
    <t>0                      KF 8745000W  3                  S  37          1983</t>
  </si>
  <si>
    <t>Super chief, Earl Warren and his Supreme Court : a judicial biography / by Bernard Schwartz.</t>
  </si>
  <si>
    <t>New York : New York University Press, 1983.</t>
  </si>
  <si>
    <t>Unabridged ed.</t>
  </si>
  <si>
    <t>42756662:eng</t>
  </si>
  <si>
    <t>8866493</t>
  </si>
  <si>
    <t>991001623379702656</t>
  </si>
  <si>
    <t>2262499010002656</t>
  </si>
  <si>
    <t>9780814778258</t>
  </si>
  <si>
    <t>32285001179810</t>
  </si>
  <si>
    <t>893709400</t>
  </si>
  <si>
    <t>KF8745.W6 O2</t>
  </si>
  <si>
    <t>0                      KF 8745000W  6                  O  2</t>
  </si>
  <si>
    <t>The philosophy of law of James Wilson, associate justice of the United States Supreme court, 1789-1798; a study in comparative jurisprudence, by William F. Obering.</t>
  </si>
  <si>
    <t>Obering, William Frederick, 1886-</t>
  </si>
  <si>
    <t>Washington, D. C., Issued by the Office of the secretary of the American Catholic Philosophical Association, Catholic University of America [1938]</t>
  </si>
  <si>
    <t>1938</t>
  </si>
  <si>
    <t>Philosophical studies of the American Catholic Philosophical Association ; v. 1</t>
  </si>
  <si>
    <t>2009-09-10</t>
  </si>
  <si>
    <t>1995-09-29</t>
  </si>
  <si>
    <t>1010877295:eng</t>
  </si>
  <si>
    <t>2958759</t>
  </si>
  <si>
    <t>991001777379702656</t>
  </si>
  <si>
    <t>2265392880002656</t>
  </si>
  <si>
    <t>32285002067014</t>
  </si>
  <si>
    <t>893232250</t>
  </si>
  <si>
    <t>KF8748 .M287 1989</t>
  </si>
  <si>
    <t>0                      KF 8748000M  287         1989</t>
  </si>
  <si>
    <t>Public opinion and the Supreme Court / Thomas R. Marshall.</t>
  </si>
  <si>
    <t>Marshall, Thomas R., 1949-</t>
  </si>
  <si>
    <t>Boston : Allen &amp; Unwin, c1989.</t>
  </si>
  <si>
    <t>2007-04-12</t>
  </si>
  <si>
    <t>1992-03-19</t>
  </si>
  <si>
    <t>16668960:eng</t>
  </si>
  <si>
    <t>17774813</t>
  </si>
  <si>
    <t>991001262699702656</t>
  </si>
  <si>
    <t>2271574690002656</t>
  </si>
  <si>
    <t>9780044970477</t>
  </si>
  <si>
    <t>32285001024370</t>
  </si>
  <si>
    <t>893414112</t>
  </si>
  <si>
    <t>KF8748 .M3 1979</t>
  </si>
  <si>
    <t>0                      KF 8748000M  3           1979</t>
  </si>
  <si>
    <t>The Supreme Court from Taft to Burger = originally published as The Supreme Court from Taft to Warren / Alpheus Thomas Mason.</t>
  </si>
  <si>
    <t>Baton Rouge : Louisiana State University Press, c1979, 1980 printing.</t>
  </si>
  <si>
    <t>3d ed., rev. and enl.</t>
  </si>
  <si>
    <t>lau</t>
  </si>
  <si>
    <t>2000-12-08</t>
  </si>
  <si>
    <t>4495025291:eng</t>
  </si>
  <si>
    <t>4004528</t>
  </si>
  <si>
    <t>991001790309702656</t>
  </si>
  <si>
    <t>2264898310002656</t>
  </si>
  <si>
    <t>9780807104682</t>
  </si>
  <si>
    <t>32285001089084</t>
  </si>
  <si>
    <t>893891842</t>
  </si>
  <si>
    <t>KF8750 .C625 1994</t>
  </si>
  <si>
    <t>0                      KF 8750000C  625         1994</t>
  </si>
  <si>
    <t>On appeal : courts, lawyering, and judging / Frank M. Coffin ; illustrations by Douglas M. Coffin.</t>
  </si>
  <si>
    <t>Coffin, Frank M. (Frank Morey), 1919-2009.</t>
  </si>
  <si>
    <t>New York : W.W. Norton, c1994.</t>
  </si>
  <si>
    <t>2002-09-11</t>
  </si>
  <si>
    <t>1995-02-03</t>
  </si>
  <si>
    <t>356326892:eng</t>
  </si>
  <si>
    <t>28378505</t>
  </si>
  <si>
    <t>991001659229702656</t>
  </si>
  <si>
    <t>2263167750002656</t>
  </si>
  <si>
    <t>9780393035827</t>
  </si>
  <si>
    <t>32285001997013</t>
  </si>
  <si>
    <t>893803786</t>
  </si>
  <si>
    <t>KF8752 5th .B27 1988</t>
  </si>
  <si>
    <t>0                      KF 8752000                                                           5th .B27 1988</t>
  </si>
  <si>
    <t>A court divided : the Fifth Circuit Court of Appeals and the politics of judicial reform / Deborah J. Barrow, Thomas G. Walker.</t>
  </si>
  <si>
    <t>Barrow, Deborah J., 1952-</t>
  </si>
  <si>
    <t>New Haven : Yale University Press, c1988.</t>
  </si>
  <si>
    <t>2010-01-20</t>
  </si>
  <si>
    <t>836783881:eng</t>
  </si>
  <si>
    <t>17508990</t>
  </si>
  <si>
    <t>991001685839702656</t>
  </si>
  <si>
    <t>2265709600002656</t>
  </si>
  <si>
    <t>9780300041651</t>
  </si>
  <si>
    <t>32285001179877</t>
  </si>
  <si>
    <t>893778984</t>
  </si>
  <si>
    <t>KF8757 .U23</t>
  </si>
  <si>
    <t>0                      KF 8757000U  23</t>
  </si>
  <si>
    <t>The Vice-Admiralty Courts and the American Revolution.</t>
  </si>
  <si>
    <t>Ubbelohde, Carl.</t>
  </si>
  <si>
    <t>Chapel Hill, Published for the Institute of Early American History and Culture, Williamsburg, Va., by the University of North Carolina Press, 1960.</t>
  </si>
  <si>
    <t>2003-03-08</t>
  </si>
  <si>
    <t>1591365:eng</t>
  </si>
  <si>
    <t>497103</t>
  </si>
  <si>
    <t>991002867019702656</t>
  </si>
  <si>
    <t>2271839280002656</t>
  </si>
  <si>
    <t>32285002553740</t>
  </si>
  <si>
    <t>893348022</t>
  </si>
  <si>
    <t>KF8775.A75 V53 1985</t>
  </si>
  <si>
    <t>0                      KF 8775000A  75                 V  53          1985</t>
  </si>
  <si>
    <t>Views from the bench : the judiciary and constitutional politics / collected and edited by Mark W. Cannon and David M. O'Brien ; with introductions by David M. O'Brien ; foreword by Warren E. Burger.</t>
  </si>
  <si>
    <t>Chatham, N.J. : Chatham House Publishers, c1985.</t>
  </si>
  <si>
    <t>Chatham House series on change in American politics</t>
  </si>
  <si>
    <t>367038162:eng</t>
  </si>
  <si>
    <t>12104923</t>
  </si>
  <si>
    <t>991000641449702656</t>
  </si>
  <si>
    <t>2260021860002656</t>
  </si>
  <si>
    <t>9780934540339</t>
  </si>
  <si>
    <t>32285001179885</t>
  </si>
  <si>
    <t>893696010</t>
  </si>
  <si>
    <t>KF8775.Z9 B66 1998</t>
  </si>
  <si>
    <t>0                      KF 8775000Z  9                  B  66          1998</t>
  </si>
  <si>
    <t>Out of order : arrogance, corruption, and incompetence on the bench / Max Boot ; foreword by Robert H. Bork.</t>
  </si>
  <si>
    <t>Boot, Max, 1968-</t>
  </si>
  <si>
    <t>New York : Basic Books, c1998.</t>
  </si>
  <si>
    <t>1998-08-20</t>
  </si>
  <si>
    <t>138822805:eng</t>
  </si>
  <si>
    <t>38157332</t>
  </si>
  <si>
    <t>991001677169702656</t>
  </si>
  <si>
    <t>2265930600002656</t>
  </si>
  <si>
    <t>9780465054329</t>
  </si>
  <si>
    <t>32285003460499</t>
  </si>
  <si>
    <t>893879074</t>
  </si>
  <si>
    <t>KF8785 .D8 1980</t>
  </si>
  <si>
    <t>0                      KF 8785000D  8           1980</t>
  </si>
  <si>
    <t>From ballot to bench : judicial elections and the quest for accountability / by Philip L. Dubois.</t>
  </si>
  <si>
    <t>Dubois, Philip L.</t>
  </si>
  <si>
    <t>Austin : University of Texas Press, c1980.</t>
  </si>
  <si>
    <t>2008-04-12</t>
  </si>
  <si>
    <t>1992-03-17</t>
  </si>
  <si>
    <t>861534628:eng</t>
  </si>
  <si>
    <t>6143966</t>
  </si>
  <si>
    <t>991004937229702656</t>
  </si>
  <si>
    <t>2260071580002656</t>
  </si>
  <si>
    <t>9780292720282</t>
  </si>
  <si>
    <t>32285001022226</t>
  </si>
  <si>
    <t>893688387</t>
  </si>
  <si>
    <t>KF886 .B75 1997</t>
  </si>
  <si>
    <t>0                      KF 0886000B  75          1997</t>
  </si>
  <si>
    <t>Internet legal forms for business / J. Dianne Brinson and Mark F. Radcliffe.</t>
  </si>
  <si>
    <t>Brinson, J. Dianne.</t>
  </si>
  <si>
    <t>Menlo Park, Ca. : Ladera Press, c1997.</t>
  </si>
  <si>
    <t>2006-01-03</t>
  </si>
  <si>
    <t>661759:eng</t>
  </si>
  <si>
    <t>37715536</t>
  </si>
  <si>
    <t>991002861529702656</t>
  </si>
  <si>
    <t>2263322830002656</t>
  </si>
  <si>
    <t>9780963917348</t>
  </si>
  <si>
    <t>32285003487112</t>
  </si>
  <si>
    <t>893440609</t>
  </si>
  <si>
    <t>KF888 .B817 1984</t>
  </si>
  <si>
    <t>0                      KF 0888000B  817         1984</t>
  </si>
  <si>
    <t>Business law : principles and cases / Daniel V. Davidson ... [et al.].</t>
  </si>
  <si>
    <t>Boston, Mass. : Kent Pub. Co., c1984.</t>
  </si>
  <si>
    <t>1990-04-09</t>
  </si>
  <si>
    <t>1465569974:eng</t>
  </si>
  <si>
    <t>10122056</t>
  </si>
  <si>
    <t>991000316249702656</t>
  </si>
  <si>
    <t>2267340570002656</t>
  </si>
  <si>
    <t>9780534033156</t>
  </si>
  <si>
    <t>32285000112861</t>
  </si>
  <si>
    <t>893255332</t>
  </si>
  <si>
    <t>KF889 .E77 1983</t>
  </si>
  <si>
    <t>0                      KF 0889000E  77          1983</t>
  </si>
  <si>
    <t>Essentials of business law / Len Young Smith ... [et al.].</t>
  </si>
  <si>
    <t>St. Paul : West Pub. Co., c1983.</t>
  </si>
  <si>
    <t>1995-03-13</t>
  </si>
  <si>
    <t>5430534:eng</t>
  </si>
  <si>
    <t>8806068</t>
  </si>
  <si>
    <t>991000076089702656</t>
  </si>
  <si>
    <t>2267266350002656</t>
  </si>
  <si>
    <t>9780314696809</t>
  </si>
  <si>
    <t>32285001173912</t>
  </si>
  <si>
    <t>893314652</t>
  </si>
  <si>
    <t>KF889.L3 G7</t>
  </si>
  <si>
    <t>0                      KF 0889000L  3                  G  7</t>
  </si>
  <si>
    <t>Law for laymen, by Harold Dudley Greeley.</t>
  </si>
  <si>
    <t>Greeley, Harold Dudley, 1882-</t>
  </si>
  <si>
    <t>New York, American institute publishing co., inc., 1932.</t>
  </si>
  <si>
    <t>1932</t>
  </si>
  <si>
    <t>4080065070:eng</t>
  </si>
  <si>
    <t>560714</t>
  </si>
  <si>
    <t>991002991179702656</t>
  </si>
  <si>
    <t>2256922440002656</t>
  </si>
  <si>
    <t>32285002550118</t>
  </si>
  <si>
    <t>893623004</t>
  </si>
  <si>
    <t>KF8922 .M37 1980</t>
  </si>
  <si>
    <t>0                      KF 8922000M  37          1980</t>
  </si>
  <si>
    <t>Law and psychology in conflict / by James Marshall.</t>
  </si>
  <si>
    <t>Marshall, James, 1896-1986.</t>
  </si>
  <si>
    <t>Indianapolis : Bobbs-Merrill Co., c1980.</t>
  </si>
  <si>
    <t>1992-12-15</t>
  </si>
  <si>
    <t>57471866:eng</t>
  </si>
  <si>
    <t>5897833</t>
  </si>
  <si>
    <t>991004897579702656</t>
  </si>
  <si>
    <t>2266874760002656</t>
  </si>
  <si>
    <t>9780672837005</t>
  </si>
  <si>
    <t>32285001442226</t>
  </si>
  <si>
    <t>893789205</t>
  </si>
  <si>
    <t>KF8922 .P784 1985</t>
  </si>
  <si>
    <t>0                      KF 8922000P  784         1985</t>
  </si>
  <si>
    <t>Psychology, psychiatry, and the law : a clinical and forensic handbook / edited by Charles Patrick Ewing</t>
  </si>
  <si>
    <t>Sarasota, Fla. : Professional Resource Exchange, c1985.</t>
  </si>
  <si>
    <t>1990-05-10</t>
  </si>
  <si>
    <t>892073129:eng</t>
  </si>
  <si>
    <t>12152900</t>
  </si>
  <si>
    <t>991000648759702656</t>
  </si>
  <si>
    <t>2266937000002656</t>
  </si>
  <si>
    <t>9780943158112</t>
  </si>
  <si>
    <t>32285000136365</t>
  </si>
  <si>
    <t>893865549</t>
  </si>
  <si>
    <t>KF8935.Z9 M65 1975</t>
  </si>
  <si>
    <t>0                      KF 8935000Z  9                  M  65          1975</t>
  </si>
  <si>
    <t>Some problems of proof under the Anglo-American system of litigation / Edmund Morris Morgan.</t>
  </si>
  <si>
    <t>Morgan, Edmund M., Jr. (Edmund Morris), 1878-1966.</t>
  </si>
  <si>
    <t>Westport, Conn. : Greenwood Press, 1975, c1956.</t>
  </si>
  <si>
    <t>2405301:eng</t>
  </si>
  <si>
    <t>1958190</t>
  </si>
  <si>
    <t>991003951249702656</t>
  </si>
  <si>
    <t>2262965620002656</t>
  </si>
  <si>
    <t>9780837185170</t>
  </si>
  <si>
    <t>32285002553807</t>
  </si>
  <si>
    <t>893331027</t>
  </si>
  <si>
    <t>KF8959 .P7</t>
  </si>
  <si>
    <t>0                      KF 8959000P  7</t>
  </si>
  <si>
    <t>Shield laws : a report on freedom of the press, protection of news sources, and the obligation to testify / [prepared by Virginia G. Cook under the direction of George A. Bell]</t>
  </si>
  <si>
    <t>Council of State Governments.</t>
  </si>
  <si>
    <t>Lexington, Ky. : Council of State Governments, [1973]</t>
  </si>
  <si>
    <t>kyu</t>
  </si>
  <si>
    <t>RM ; 518</t>
  </si>
  <si>
    <t>2009-12-10</t>
  </si>
  <si>
    <t>1995-01-20</t>
  </si>
  <si>
    <t>27913563:eng</t>
  </si>
  <si>
    <t>863254</t>
  </si>
  <si>
    <t>991003331809702656</t>
  </si>
  <si>
    <t>2264233890002656</t>
  </si>
  <si>
    <t>32285001987204</t>
  </si>
  <si>
    <t>893227960</t>
  </si>
  <si>
    <t>KF8961 .B76 1993</t>
  </si>
  <si>
    <t>0                      KF 8961000B  76          1993</t>
  </si>
  <si>
    <t>Law for the expert witness / by Daniel A. Bronstein.</t>
  </si>
  <si>
    <t>Bronstein, Daniel A.</t>
  </si>
  <si>
    <t>Boca Raton : Lewis Publishers, c1993.</t>
  </si>
  <si>
    <t>2006-12-11</t>
  </si>
  <si>
    <t>2000-03-13</t>
  </si>
  <si>
    <t>4916761987:eng</t>
  </si>
  <si>
    <t>27186758</t>
  </si>
  <si>
    <t>991002122469702656</t>
  </si>
  <si>
    <t>2270485070002656</t>
  </si>
  <si>
    <t>9780873719063</t>
  </si>
  <si>
    <t>32285003668760</t>
  </si>
  <si>
    <t>893609497</t>
  </si>
  <si>
    <t>KF8961 .S27 1983</t>
  </si>
  <si>
    <t>0                      KF 8961000S  27          1983</t>
  </si>
  <si>
    <t>The use of scientific evidence in litigation / Michael J. Saks, Richard Van Duizend.</t>
  </si>
  <si>
    <t>Saks, Michael J.</t>
  </si>
  <si>
    <t>[Williamsburg, VA] : National Center for State Courts, c1983.</t>
  </si>
  <si>
    <t>2007-12-04</t>
  </si>
  <si>
    <t>16343814:eng</t>
  </si>
  <si>
    <t>9557500</t>
  </si>
  <si>
    <t>991000215089702656</t>
  </si>
  <si>
    <t>2266822680002656</t>
  </si>
  <si>
    <t>9780896560680</t>
  </si>
  <si>
    <t>32285001179984</t>
  </si>
  <si>
    <t>893243083</t>
  </si>
  <si>
    <t>KF8965 .B37 1984</t>
  </si>
  <si>
    <t>0                      KF 8965000B  37          1984</t>
  </si>
  <si>
    <t>The psychologist as expert witness / Theodore H. Blau.</t>
  </si>
  <si>
    <t>Blau, Theodore H.</t>
  </si>
  <si>
    <t>New York : Wiley, c1984.</t>
  </si>
  <si>
    <t>Wiley series on health psychology/behavioral medicine</t>
  </si>
  <si>
    <t>2009-09-23</t>
  </si>
  <si>
    <t>1992-07-29</t>
  </si>
  <si>
    <t>2866928:eng</t>
  </si>
  <si>
    <t>10751822</t>
  </si>
  <si>
    <t>991000423759702656</t>
  </si>
  <si>
    <t>2266250030002656</t>
  </si>
  <si>
    <t>9780471871293</t>
  </si>
  <si>
    <t>32285001208486</t>
  </si>
  <si>
    <t>893528036</t>
  </si>
  <si>
    <t>KF8965 .S93 1968</t>
  </si>
  <si>
    <t>0                      KF 8965000S  93          1968</t>
  </si>
  <si>
    <t>Law, liberty, and psychiatry : an inquiry into the social uses of mental health practices.</t>
  </si>
  <si>
    <t>Szasz, Thomas, 1920-2012.</t>
  </si>
  <si>
    <t>New York : Macmillan, [1963]</t>
  </si>
  <si>
    <t>2009-08-26</t>
  </si>
  <si>
    <t>1992-12-16</t>
  </si>
  <si>
    <t>1495370:eng</t>
  </si>
  <si>
    <t>346217</t>
  </si>
  <si>
    <t>991002429199702656</t>
  </si>
  <si>
    <t>2272052030002656</t>
  </si>
  <si>
    <t>32285001442218</t>
  </si>
  <si>
    <t>893879914</t>
  </si>
  <si>
    <t>KF8972 .A735 1994</t>
  </si>
  <si>
    <t>0                      KF 8972000A  735         1994</t>
  </si>
  <si>
    <t>The jury : trial and error in the American courtroom / Stephen J. Adler.</t>
  </si>
  <si>
    <t>Adler, Stephen J.</t>
  </si>
  <si>
    <t>New York : Times Books, c1994.</t>
  </si>
  <si>
    <t>2005-04-24</t>
  </si>
  <si>
    <t>1996-01-08</t>
  </si>
  <si>
    <t>32199167:eng</t>
  </si>
  <si>
    <t>30030190</t>
  </si>
  <si>
    <t>991001662089702656</t>
  </si>
  <si>
    <t>2269208750002656</t>
  </si>
  <si>
    <t>9780812923636</t>
  </si>
  <si>
    <t>32285002115656</t>
  </si>
  <si>
    <t>893432996</t>
  </si>
  <si>
    <t>KF8972 .G85 1988</t>
  </si>
  <si>
    <t>0                      KF 8972000G  85          1988</t>
  </si>
  <si>
    <t>The jury in America / John Guinther. And, The civil juror : a research project sponsored by the Roscoe Pound Foundation / Bettyruth Walter.</t>
  </si>
  <si>
    <t>Guinther, John.</t>
  </si>
  <si>
    <t>New York, N.Y. : Facts on File Publications, c1988.</t>
  </si>
  <si>
    <t>2008-04-25</t>
  </si>
  <si>
    <t>1992-06-25</t>
  </si>
  <si>
    <t>13909169:eng</t>
  </si>
  <si>
    <t>16985783</t>
  </si>
  <si>
    <t>991001681019702656</t>
  </si>
  <si>
    <t>2271984930002656</t>
  </si>
  <si>
    <t>9780816017720</t>
  </si>
  <si>
    <t>32285000238823</t>
  </si>
  <si>
    <t>893226025</t>
  </si>
  <si>
    <t>KF8972 .H3 1983</t>
  </si>
  <si>
    <t>0                      KF 8972000H  3           1983</t>
  </si>
  <si>
    <t>Inside the jury / Reid Hastie, Steven D. Penrod, Nancy Pennington.</t>
  </si>
  <si>
    <t>Hastie, Reid.</t>
  </si>
  <si>
    <t>Cambridge, Mass. : Harvard University Press, 1983.</t>
  </si>
  <si>
    <t>2007-11-30</t>
  </si>
  <si>
    <t>12191204:eng</t>
  </si>
  <si>
    <t>9645647</t>
  </si>
  <si>
    <t>991000233519702656</t>
  </si>
  <si>
    <t>2269608350002656</t>
  </si>
  <si>
    <t>9780674455252</t>
  </si>
  <si>
    <t>32285000152701</t>
  </si>
  <si>
    <t>893224854</t>
  </si>
  <si>
    <t>KF8972 .M6</t>
  </si>
  <si>
    <t>0                      KF 8972000M  6</t>
  </si>
  <si>
    <t>The jury, tool of kings, palladium of liberty / [by] Lloyd E. Moore.</t>
  </si>
  <si>
    <t>Moore, Lloyd E.</t>
  </si>
  <si>
    <t>Cincinnati : W. H. Anderson Co., [1973]</t>
  </si>
  <si>
    <t>2010-04-20</t>
  </si>
  <si>
    <t>1990-07-17</t>
  </si>
  <si>
    <t>1668108:eng</t>
  </si>
  <si>
    <t>814685</t>
  </si>
  <si>
    <t>991003293049702656</t>
  </si>
  <si>
    <t>2270230130002656</t>
  </si>
  <si>
    <t>32285000232438</t>
  </si>
  <si>
    <t>893240058</t>
  </si>
  <si>
    <t>KF8972.T7 M3</t>
  </si>
  <si>
    <t>0                      KF 8972000T  7                  M  3</t>
  </si>
  <si>
    <t>Trial by jury : a complete guide to the jury system.</t>
  </si>
  <si>
    <t>McCart, Samuel W., 1889-1966</t>
  </si>
  <si>
    <t>Philadelphia : Chilton Books, a division of Chilton Co., [1964]</t>
  </si>
  <si>
    <t>2009-10-21</t>
  </si>
  <si>
    <t>1656270:eng</t>
  </si>
  <si>
    <t>711168</t>
  </si>
  <si>
    <t>991003178099702656</t>
  </si>
  <si>
    <t>2263996920002656</t>
  </si>
  <si>
    <t>32285000232446</t>
  </si>
  <si>
    <t>893717387</t>
  </si>
  <si>
    <t>KF9218 .L47 1983</t>
  </si>
  <si>
    <t>0                      KF 9218000L  47          1983</t>
  </si>
  <si>
    <t>Rights on trial : the Supreme Court and the criminal law / Paul Lermack.</t>
  </si>
  <si>
    <t>Lermack, Paul.</t>
  </si>
  <si>
    <t>Port Washington, N.Y. : Associated Faculty Press, 1983.</t>
  </si>
  <si>
    <t>National university publications</t>
  </si>
  <si>
    <t>2009-03-23</t>
  </si>
  <si>
    <t>949365503:eng</t>
  </si>
  <si>
    <t>9282647</t>
  </si>
  <si>
    <t>991000164809702656</t>
  </si>
  <si>
    <t>2260058530002656</t>
  </si>
  <si>
    <t>9780804693028</t>
  </si>
  <si>
    <t>32285001179992</t>
  </si>
  <si>
    <t>893320876</t>
  </si>
  <si>
    <t>KF9219.3 .Y68</t>
  </si>
  <si>
    <t>0                      KF 9219300Y  68</t>
  </si>
  <si>
    <t>Criminal law : codes and cases / [by] R. Bryce Young.</t>
  </si>
  <si>
    <t>Young, Rudolph Bryce, 1933-</t>
  </si>
  <si>
    <t>New York : McGraw-Hill, [1972]</t>
  </si>
  <si>
    <t>2010-02-05</t>
  </si>
  <si>
    <t>1995-03-23</t>
  </si>
  <si>
    <t>1522927:eng</t>
  </si>
  <si>
    <t>389958</t>
  </si>
  <si>
    <t>991002657439702656</t>
  </si>
  <si>
    <t>2256522110002656</t>
  </si>
  <si>
    <t>9780070723405</t>
  </si>
  <si>
    <t>32285002013315</t>
  </si>
  <si>
    <t>893904008</t>
  </si>
  <si>
    <t>KF9223 .C69 1985</t>
  </si>
  <si>
    <t>0                      KF 9223000C  69          1985</t>
  </si>
  <si>
    <t>Courts and criminal justice : emerging issues / edited by Susette M. Talarico.</t>
  </si>
  <si>
    <t>Beverly Hills, Calif. : Sage Publications, c1985.</t>
  </si>
  <si>
    <t>Perspectives in criminal justice ; 9</t>
  </si>
  <si>
    <t>2000-12-02</t>
  </si>
  <si>
    <t>1992-07-27</t>
  </si>
  <si>
    <t>836698091:eng</t>
  </si>
  <si>
    <t>11599080</t>
  </si>
  <si>
    <t>991000561999702656</t>
  </si>
  <si>
    <t>2261491810002656</t>
  </si>
  <si>
    <t>9780803924390</t>
  </si>
  <si>
    <t>32285001230647</t>
  </si>
  <si>
    <t>893784340</t>
  </si>
  <si>
    <t>KF9223 .F75 1993</t>
  </si>
  <si>
    <t>0                      KF 9223000F  75          1993</t>
  </si>
  <si>
    <t>Crime and punishment in American history / Lawrence M. Friedman.</t>
  </si>
  <si>
    <t>Friedman, Lawrence M. (Lawrence Meir), 1930-</t>
  </si>
  <si>
    <t>New York : BasicBooks, c1993.</t>
  </si>
  <si>
    <t>1995-05-22</t>
  </si>
  <si>
    <t>339873:eng</t>
  </si>
  <si>
    <t>27174158</t>
  </si>
  <si>
    <t>991001656519702656</t>
  </si>
  <si>
    <t>2270228880002656</t>
  </si>
  <si>
    <t>9780465014613</t>
  </si>
  <si>
    <t>32285002046307</t>
  </si>
  <si>
    <t>893522720</t>
  </si>
  <si>
    <t>KF9223 .K3</t>
  </si>
  <si>
    <t>0                      KF 9223000K  3</t>
  </si>
  <si>
    <t>Anglo-American criminal justice, by Delmar Karlen in collaboration with Geoffrey Sawer and Edward M. Wise.</t>
  </si>
  <si>
    <t>Karlen, Delmar.</t>
  </si>
  <si>
    <t>New York, Oxford University Press, 1967.</t>
  </si>
  <si>
    <t>1311141:eng</t>
  </si>
  <si>
    <t>2140184</t>
  </si>
  <si>
    <t>991004027399702656</t>
  </si>
  <si>
    <t>2258797730002656</t>
  </si>
  <si>
    <t>32285002553930</t>
  </si>
  <si>
    <t>893429573</t>
  </si>
  <si>
    <t>KF9223 .W43 1976</t>
  </si>
  <si>
    <t>0                      KF 9223000W  43          1976</t>
  </si>
  <si>
    <t>Criminal justice : introduction and guidelines = a revision of Law enforcement and criminal justice : an introduction / Paul B. Weston, Kenneth M. Wells.</t>
  </si>
  <si>
    <t>Weston, Paul B.</t>
  </si>
  <si>
    <t>Pacific Palisades, Calif. : Goodyear Pub. Co., c1976.</t>
  </si>
  <si>
    <t>2003-12-03</t>
  </si>
  <si>
    <t>1052307538:eng</t>
  </si>
  <si>
    <t>1529009</t>
  </si>
  <si>
    <t>991003802969702656</t>
  </si>
  <si>
    <t>2259716670002656</t>
  </si>
  <si>
    <t>9780876201695</t>
  </si>
  <si>
    <t>32285001093821</t>
  </si>
  <si>
    <t>893349165</t>
  </si>
  <si>
    <t>KF9223.5 .F44</t>
  </si>
  <si>
    <t>0                      KF 9223500F  44</t>
  </si>
  <si>
    <t>The press in the jury box [by] Howard Felsher and Michael Rosen.</t>
  </si>
  <si>
    <t>Felsher, Howard.</t>
  </si>
  <si>
    <t>New York, Macmillan [c1966]</t>
  </si>
  <si>
    <t>1455140:eng</t>
  </si>
  <si>
    <t>507190</t>
  </si>
  <si>
    <t>991002883719702656</t>
  </si>
  <si>
    <t>2260642200002656</t>
  </si>
  <si>
    <t>32285002553971</t>
  </si>
  <si>
    <t>893409672</t>
  </si>
  <si>
    <t>KF9223.5 .G44 1983</t>
  </si>
  <si>
    <t>0                      KF 9223500G  44          1983</t>
  </si>
  <si>
    <t>News of crime : courts and press in conflict / J. Edward Gerald.</t>
  </si>
  <si>
    <t>Gerald, J. Edward.</t>
  </si>
  <si>
    <t>Westport, Conn. : Greenwood Press, 1983.</t>
  </si>
  <si>
    <t>Contributions to the study of mass media and communications, 0732-4456 ; no. 1</t>
  </si>
  <si>
    <t>2003-04-25</t>
  </si>
  <si>
    <t>836622093:eng</t>
  </si>
  <si>
    <t>9645669</t>
  </si>
  <si>
    <t>991000233639702656</t>
  </si>
  <si>
    <t>2269565770002656</t>
  </si>
  <si>
    <t>9780313238765</t>
  </si>
  <si>
    <t>32285001745941</t>
  </si>
  <si>
    <t>893339406</t>
  </si>
  <si>
    <t>KF9223.5.A75 S5</t>
  </si>
  <si>
    <t>0                      KF 9223500A  75                 S  5</t>
  </si>
  <si>
    <t>Free press and fair trial : some dimensions of the problem / [by] Fred S. Siebert, Walter Wilcox [and] George Hough, III. Edited by Chilton R. Bush.</t>
  </si>
  <si>
    <t>Siebert, Fred S. (Fred Seaton), 1901-1982.</t>
  </si>
  <si>
    <t>Athens : University of Georgia Press, [c1970]</t>
  </si>
  <si>
    <t>gau</t>
  </si>
  <si>
    <t>1991-12-23</t>
  </si>
  <si>
    <t>346218713:eng</t>
  </si>
  <si>
    <t>226128</t>
  </si>
  <si>
    <t>991001380289702656</t>
  </si>
  <si>
    <t>2263130680002656</t>
  </si>
  <si>
    <t>32285000901347</t>
  </si>
  <si>
    <t>893621297</t>
  </si>
  <si>
    <t>KF9223.5.J8 L6</t>
  </si>
  <si>
    <t>0                      KF 9223500J  8                  L  6</t>
  </si>
  <si>
    <t>Justice and the press / by John Lofton.</t>
  </si>
  <si>
    <t>Lofton, John.</t>
  </si>
  <si>
    <t>1994-10-17</t>
  </si>
  <si>
    <t>1455111:eng</t>
  </si>
  <si>
    <t>507182</t>
  </si>
  <si>
    <t>991001647409702656</t>
  </si>
  <si>
    <t>2260660000002656</t>
  </si>
  <si>
    <t>32285001961837</t>
  </si>
  <si>
    <t>893256371</t>
  </si>
  <si>
    <t>KF9223.A75 C64</t>
  </si>
  <si>
    <t>0                      KF 9223000A  75                 C  64</t>
  </si>
  <si>
    <t>Criminal justice: law and politics. [Compiled by] George F. Cole.</t>
  </si>
  <si>
    <t>Cole, George F., 1935-2015 compiler.</t>
  </si>
  <si>
    <t>North Scituate, Mass., Duxbury Press [1972]</t>
  </si>
  <si>
    <t>1999-02-13</t>
  </si>
  <si>
    <t>941819706:eng</t>
  </si>
  <si>
    <t>481415</t>
  </si>
  <si>
    <t>991002839779702656</t>
  </si>
  <si>
    <t>2269553360002656</t>
  </si>
  <si>
    <t>9780878720361</t>
  </si>
  <si>
    <t>32285000097682</t>
  </si>
  <si>
    <t>893530548</t>
  </si>
  <si>
    <t>KF9223.Z9 S2</t>
  </si>
  <si>
    <t>0                      KF 9223000Z  9                  S  2</t>
  </si>
  <si>
    <t>Dilemmas in criminology / [by] Leonard Savitz.</t>
  </si>
  <si>
    <t>Savitz, Leonard D.</t>
  </si>
  <si>
    <t>New York : McGraw-Hill, [1967]</t>
  </si>
  <si>
    <t>McGraw-Hill social problems series</t>
  </si>
  <si>
    <t>1993-08-18</t>
  </si>
  <si>
    <t>1992-05-07</t>
  </si>
  <si>
    <t>570310:eng</t>
  </si>
  <si>
    <t>244909</t>
  </si>
  <si>
    <t>991001920699702656</t>
  </si>
  <si>
    <t>2270102780002656</t>
  </si>
  <si>
    <t>32285001093813</t>
  </si>
  <si>
    <t>893534755</t>
  </si>
  <si>
    <t>KF9225 .B47</t>
  </si>
  <si>
    <t>0                      KF 9225000B  47</t>
  </si>
  <si>
    <t>The concept of cruel and unusual punishment / Larry Charles Berkson.</t>
  </si>
  <si>
    <t>Berkson, Larry Charles.</t>
  </si>
  <si>
    <t>Lexington, Mass. : Lexington Books, [1975]</t>
  </si>
  <si>
    <t>1990-03-19</t>
  </si>
  <si>
    <t>2561707:eng</t>
  </si>
  <si>
    <t>1850245</t>
  </si>
  <si>
    <t>991003910419702656</t>
  </si>
  <si>
    <t>2262506120002656</t>
  </si>
  <si>
    <t>9780669000634</t>
  </si>
  <si>
    <t>32285000088079</t>
  </si>
  <si>
    <t>893228668</t>
  </si>
  <si>
    <t>KF9227 .D42 1964a</t>
  </si>
  <si>
    <t>0                      KF 9227000D  42          1964a</t>
  </si>
  <si>
    <t>The death penalty in America : an anthology.</t>
  </si>
  <si>
    <t>Bedau, Hugo Adam editor.</t>
  </si>
  <si>
    <t>Garden City, N.Y. : Anchor Books, 1964.</t>
  </si>
  <si>
    <t>2010-02-21</t>
  </si>
  <si>
    <t>1382438:eng</t>
  </si>
  <si>
    <t>265532</t>
  </si>
  <si>
    <t>991002095659702656</t>
  </si>
  <si>
    <t>2267818900002656</t>
  </si>
  <si>
    <t>32285000848621</t>
  </si>
  <si>
    <t>893716043</t>
  </si>
  <si>
    <t>KF9227.C2 M4</t>
  </si>
  <si>
    <t>0                      KF 9227000C  2                  M  4</t>
  </si>
  <si>
    <t>Cruel and unusual : the Supreme Court and capital punishment.</t>
  </si>
  <si>
    <t>Meltsner, Michael, 1937-</t>
  </si>
  <si>
    <t>New York : Random House, [1973]</t>
  </si>
  <si>
    <t>2009-03-31</t>
  </si>
  <si>
    <t>1990-05-09</t>
  </si>
  <si>
    <t>462181:eng</t>
  </si>
  <si>
    <t>618361</t>
  </si>
  <si>
    <t>991003061329702656</t>
  </si>
  <si>
    <t>2272205810002656</t>
  </si>
  <si>
    <t>9780394472317</t>
  </si>
  <si>
    <t>32285000138676</t>
  </si>
  <si>
    <t>893717275</t>
  </si>
  <si>
    <t>KF9227.C2 N35 1987</t>
  </si>
  <si>
    <t>0                      KF 9227000C  2                  N  35          1987</t>
  </si>
  <si>
    <t>The arbitrariness of the death penalty / Barry Nakell and Kenneth A. Hardy.</t>
  </si>
  <si>
    <t>Nakell, Barry.</t>
  </si>
  <si>
    <t>Philadelphia : Temple University Press, 1987.</t>
  </si>
  <si>
    <t>2010-03-24</t>
  </si>
  <si>
    <t>7524591:eng</t>
  </si>
  <si>
    <t>13581878</t>
  </si>
  <si>
    <t>991000850129702656</t>
  </si>
  <si>
    <t>2259515400002656</t>
  </si>
  <si>
    <t>9780877224433</t>
  </si>
  <si>
    <t>32285000102656</t>
  </si>
  <si>
    <t>893522070</t>
  </si>
  <si>
    <t>KF9240 .F56</t>
  </si>
  <si>
    <t>0                      KF 9240000F  56</t>
  </si>
  <si>
    <t>Mental disabilities and criminal responsibility / Herbert Fingarette, Ann Fingarette Hasse.</t>
  </si>
  <si>
    <t>Fingarette, Herbert.</t>
  </si>
  <si>
    <t>Berkeley : University of California Press, c1979.</t>
  </si>
  <si>
    <t>2003-03-07</t>
  </si>
  <si>
    <t>1990-04-26</t>
  </si>
  <si>
    <t>2004-06-23</t>
  </si>
  <si>
    <t>501727:eng</t>
  </si>
  <si>
    <t>5107099</t>
  </si>
  <si>
    <t>991001805529702656</t>
  </si>
  <si>
    <t>2271434480002656</t>
  </si>
  <si>
    <t>9780520036307</t>
  </si>
  <si>
    <t>32285000134592</t>
  </si>
  <si>
    <t>893879201</t>
  </si>
  <si>
    <t>KF9242 .A72 1983</t>
  </si>
  <si>
    <t>0                      KF 9242000A  72          1983</t>
  </si>
  <si>
    <t>The mind of the accused : a psychiatrist in the courtroom / David Abrahamsen.</t>
  </si>
  <si>
    <t>Abrahamsen, David, 1903-2002.</t>
  </si>
  <si>
    <t>New York : Simon and Schuster, c1983.</t>
  </si>
  <si>
    <t>2001-10-30</t>
  </si>
  <si>
    <t>941663625:eng</t>
  </si>
  <si>
    <t>9783918</t>
  </si>
  <si>
    <t>991000257189702656</t>
  </si>
  <si>
    <t>2266876550002656</t>
  </si>
  <si>
    <t>9780671470531</t>
  </si>
  <si>
    <t>32285001230704</t>
  </si>
  <si>
    <t>893502367</t>
  </si>
  <si>
    <t>KF9242 .G69 1988</t>
  </si>
  <si>
    <t>0                      KF 9242000G  69          1988</t>
  </si>
  <si>
    <t>Competency to stand trial evaluations : a manual for practice / Thomas Grisso.</t>
  </si>
  <si>
    <t>Grisso, Thomas.</t>
  </si>
  <si>
    <t>Sarasota, FL : Professional Resource Exchange, 1988.</t>
  </si>
  <si>
    <t>2007-03-28</t>
  </si>
  <si>
    <t>1991-01-03</t>
  </si>
  <si>
    <t>1992-06-04</t>
  </si>
  <si>
    <t>21595524:eng</t>
  </si>
  <si>
    <t>19378828</t>
  </si>
  <si>
    <t>991001640999702656</t>
  </si>
  <si>
    <t>2270077100002656</t>
  </si>
  <si>
    <t>9780943158518</t>
  </si>
  <si>
    <t>32285000406818</t>
  </si>
  <si>
    <t>893351943</t>
  </si>
  <si>
    <t>KF9242 .H47 1983</t>
  </si>
  <si>
    <t>0                      KF 9242000H  47          1983</t>
  </si>
  <si>
    <t>The insanity defense : philosophical, historical, and legal perspectives / by Donald H.J. Hermann.</t>
  </si>
  <si>
    <t>Hermann, Donald H. J.</t>
  </si>
  <si>
    <t>Springfield, Ill. : Thomas, c1983.</t>
  </si>
  <si>
    <t>2006-11-14</t>
  </si>
  <si>
    <t>427657886:eng</t>
  </si>
  <si>
    <t>8907439</t>
  </si>
  <si>
    <t>991000092549702656</t>
  </si>
  <si>
    <t>2262880720002656</t>
  </si>
  <si>
    <t>9780398047962</t>
  </si>
  <si>
    <t>32285001068245</t>
  </si>
  <si>
    <t>893790226</t>
  </si>
  <si>
    <t>KF9242 .L48 1984</t>
  </si>
  <si>
    <t>0                      KF 9242000L  48          1984</t>
  </si>
  <si>
    <t>Insanity &amp; incompetence : case studies in forensic psychology / Albert Levitt, David Lester.</t>
  </si>
  <si>
    <t>Levitt, Albert.</t>
  </si>
  <si>
    <t>Cincinnati, Ohio : Pilgrimage, c1984.</t>
  </si>
  <si>
    <t>Criminal justice studies</t>
  </si>
  <si>
    <t>2009-04-21</t>
  </si>
  <si>
    <t>1990-03-02</t>
  </si>
  <si>
    <t>997923081:eng</t>
  </si>
  <si>
    <t>10251619</t>
  </si>
  <si>
    <t>991000339719702656</t>
  </si>
  <si>
    <t>2264457980002656</t>
  </si>
  <si>
    <t>9780932930576</t>
  </si>
  <si>
    <t>32285000075597</t>
  </si>
  <si>
    <t>893714502</t>
  </si>
  <si>
    <t>KF9242 .M28 1985</t>
  </si>
  <si>
    <t>0                      KF 9242000M  28          1985</t>
  </si>
  <si>
    <t>Crime and madness : the origins and evolution of the insanity defense / Thomas Maeder.</t>
  </si>
  <si>
    <t>Maeder, Thomas.</t>
  </si>
  <si>
    <t>New York : Harper &amp; Row, c1985.</t>
  </si>
  <si>
    <t>1992-03-31</t>
  </si>
  <si>
    <t>1995-09-27</t>
  </si>
  <si>
    <t>429820652:eng</t>
  </si>
  <si>
    <t>11842551</t>
  </si>
  <si>
    <t>991001630039702656</t>
  </si>
  <si>
    <t>2264630260002656</t>
  </si>
  <si>
    <t>9780060154356</t>
  </si>
  <si>
    <t>32285001031185</t>
  </si>
  <si>
    <t>893244255</t>
  </si>
  <si>
    <t>KF9345.N44 L5</t>
  </si>
  <si>
    <t>0                      KF 9345000N  44                 L  5</t>
  </si>
  <si>
    <t>Libel in news of congressional investigating committees / by Harold L. Nelson.</t>
  </si>
  <si>
    <t>Minneapolis : University of Minnesota Press, c1961.</t>
  </si>
  <si>
    <t>2004-09-13</t>
  </si>
  <si>
    <t>1381197:eng</t>
  </si>
  <si>
    <t>264998</t>
  </si>
  <si>
    <t>991001628569702656</t>
  </si>
  <si>
    <t>2268077080002656</t>
  </si>
  <si>
    <t>32285002554029</t>
  </si>
  <si>
    <t>893891684</t>
  </si>
  <si>
    <t>KF9390 .B37 1985</t>
  </si>
  <si>
    <t>0                      KF 9390000B  37          1985</t>
  </si>
  <si>
    <t>Protesters on trial : criminal justice in the Southern civil rights and Vietnam antiwar movements / Steven E. Barkan.</t>
  </si>
  <si>
    <t>Barkan, Steven E., 1951-</t>
  </si>
  <si>
    <t>New Brunswick, N.J. : Rutgers University Press, c1985.</t>
  </si>
  <si>
    <t>Crime, law, and deviance series</t>
  </si>
  <si>
    <t>141336830:eng</t>
  </si>
  <si>
    <t>11755697</t>
  </si>
  <si>
    <t>991000584209702656</t>
  </si>
  <si>
    <t>2270734330002656</t>
  </si>
  <si>
    <t>9780813511085</t>
  </si>
  <si>
    <t>32285001230779</t>
  </si>
  <si>
    <t>893695966</t>
  </si>
  <si>
    <t>KF9392 .C43</t>
  </si>
  <si>
    <t>0                      KF 9392000C  43</t>
  </si>
  <si>
    <t>The American law of treason : revolutionary and early national origins / Bradley Cahpin.</t>
  </si>
  <si>
    <t>Chapin, Bradley.</t>
  </si>
  <si>
    <t>Seattle : University of Washington Press, c1964.</t>
  </si>
  <si>
    <t>University of Washington publications in history</t>
  </si>
  <si>
    <t>1403473:eng</t>
  </si>
  <si>
    <t>272691</t>
  </si>
  <si>
    <t>991001629179702656</t>
  </si>
  <si>
    <t>2262450650002656</t>
  </si>
  <si>
    <t>32285003162277</t>
  </si>
  <si>
    <t>893879001</t>
  </si>
  <si>
    <t>KF9444 .L48</t>
  </si>
  <si>
    <t>0                      KF 9444000L  48</t>
  </si>
  <si>
    <t>Literature, obscenity, &amp; law / by Felice Flanery Lewis.</t>
  </si>
  <si>
    <t>Lewis, Felice Flanery.</t>
  </si>
  <si>
    <t>Carbondale : Southern Illinois University Press, c1976.</t>
  </si>
  <si>
    <t>1992-11-24</t>
  </si>
  <si>
    <t>1993-01-12</t>
  </si>
  <si>
    <t>466965:eng</t>
  </si>
  <si>
    <t>1959650</t>
  </si>
  <si>
    <t>991001740089702656</t>
  </si>
  <si>
    <t>2266132530002656</t>
  </si>
  <si>
    <t>9780809307494</t>
  </si>
  <si>
    <t>32285001408730</t>
  </si>
  <si>
    <t>893797784</t>
  </si>
  <si>
    <t>KF9444 .R4</t>
  </si>
  <si>
    <t>0                      KF 9444000R  4</t>
  </si>
  <si>
    <t>The end of obscenity : the trials of Lady Chatterley, Tropic of Cancer, and Fanny Hill.</t>
  </si>
  <si>
    <t>Rembar, Charles.</t>
  </si>
  <si>
    <t>New York : Random House, [c1968]</t>
  </si>
  <si>
    <t>1994-07-21</t>
  </si>
  <si>
    <t>1225832:eng</t>
  </si>
  <si>
    <t>232256</t>
  </si>
  <si>
    <t>991001527579702656</t>
  </si>
  <si>
    <t>2258540700002656</t>
  </si>
  <si>
    <t>32285001937118</t>
  </si>
  <si>
    <t>893866296</t>
  </si>
  <si>
    <t>KF9444 .S3</t>
  </si>
  <si>
    <t>0                      KF 9444000S  3</t>
  </si>
  <si>
    <t>The law of obscenity / Frederick F. Schauer.</t>
  </si>
  <si>
    <t>Schauer, Frederick F.</t>
  </si>
  <si>
    <t>Washington : Bureau of National Affairs, 1976.</t>
  </si>
  <si>
    <t>4746982:eng</t>
  </si>
  <si>
    <t>2372658</t>
  </si>
  <si>
    <t>991001761009702656</t>
  </si>
  <si>
    <t>2255332450002656</t>
  </si>
  <si>
    <t>9780871792549</t>
  </si>
  <si>
    <t>32285001096576</t>
  </si>
  <si>
    <t>893408331</t>
  </si>
  <si>
    <t>KF9444 .S85</t>
  </si>
  <si>
    <t>0                      KF 9444000S  85</t>
  </si>
  <si>
    <t>Obscenity : the Court, the Congress and the President's Commission / Lane V. Sunderland.</t>
  </si>
  <si>
    <t>Sunderland, Lane V.</t>
  </si>
  <si>
    <t>Washington : American Enterprise Institute for Public Policy Research, 1975, c1974.</t>
  </si>
  <si>
    <t>Domestic affairs studies ; 27</t>
  </si>
  <si>
    <t>290944294:eng</t>
  </si>
  <si>
    <t>1256108</t>
  </si>
  <si>
    <t>991003652319702656</t>
  </si>
  <si>
    <t>2258195370002656</t>
  </si>
  <si>
    <t>9780844731490</t>
  </si>
  <si>
    <t>32285002554060</t>
  </si>
  <si>
    <t>893810095</t>
  </si>
  <si>
    <t>KF946.A65 C66 1997</t>
  </si>
  <si>
    <t>0                      KF 0946000A  65                 C  66          1997</t>
  </si>
  <si>
    <t>Complete book of equipment leasing agreements, forms, worksheets &amp; checklists / Richard M. Contino.</t>
  </si>
  <si>
    <t>Contino, Richard M., 1941-</t>
  </si>
  <si>
    <t>New York : American Management Assoc., c1997.</t>
  </si>
  <si>
    <t>2004-10-12</t>
  </si>
  <si>
    <t>1997-06-03</t>
  </si>
  <si>
    <t>621138:eng</t>
  </si>
  <si>
    <t>36121801</t>
  </si>
  <si>
    <t>991002752539702656</t>
  </si>
  <si>
    <t>2262186670002656</t>
  </si>
  <si>
    <t>9780814403389</t>
  </si>
  <si>
    <t>32285002613825</t>
  </si>
  <si>
    <t>893622679</t>
  </si>
  <si>
    <t>KF9619 .W34</t>
  </si>
  <si>
    <t>0                      KF 9619000W  34</t>
  </si>
  <si>
    <t>Denial of justice : criminal process in the United States / Lloyd L. Weinreb.</t>
  </si>
  <si>
    <t>New York : Free Press, c1977.</t>
  </si>
  <si>
    <t>2005-04-11</t>
  </si>
  <si>
    <t>1990-12-28</t>
  </si>
  <si>
    <t>2004-11-18</t>
  </si>
  <si>
    <t>400881:eng</t>
  </si>
  <si>
    <t>2598067</t>
  </si>
  <si>
    <t>991001655549702656</t>
  </si>
  <si>
    <t>2265995440002656</t>
  </si>
  <si>
    <t>9780029349007</t>
  </si>
  <si>
    <t>32285000426261</t>
  </si>
  <si>
    <t>893256385</t>
  </si>
  <si>
    <t>KF9619.8.P65 K55 1999</t>
  </si>
  <si>
    <t>0                      KF 9619800P  65                 K  55          1999</t>
  </si>
  <si>
    <t>Legal guide for police : constitutional issues / John C. Klotter.</t>
  </si>
  <si>
    <t>Klotter, John C.</t>
  </si>
  <si>
    <t>Cincinnati, OH : Anderson Pub. Co., c1999.</t>
  </si>
  <si>
    <t>2004-04-26</t>
  </si>
  <si>
    <t>1999-01-28</t>
  </si>
  <si>
    <t>793883605:eng</t>
  </si>
  <si>
    <t>39307421</t>
  </si>
  <si>
    <t>991002949889702656</t>
  </si>
  <si>
    <t>2255517340002656</t>
  </si>
  <si>
    <t>9780870845345</t>
  </si>
  <si>
    <t>32285003517017</t>
  </si>
  <si>
    <t>893511397</t>
  </si>
  <si>
    <t>KF9625 .B35 1983</t>
  </si>
  <si>
    <t>0                      KF 9625000B  35          1983</t>
  </si>
  <si>
    <t>Miranda : crime, law, and politics / Liva Baker.</t>
  </si>
  <si>
    <t>Baker, Liva.</t>
  </si>
  <si>
    <t>New York : Atheneum, 1983.</t>
  </si>
  <si>
    <t>2005-03-29</t>
  </si>
  <si>
    <t>437750:eng</t>
  </si>
  <si>
    <t>9081250</t>
  </si>
  <si>
    <t>991000123079702656</t>
  </si>
  <si>
    <t>2255817810002656</t>
  </si>
  <si>
    <t>9780689112409</t>
  </si>
  <si>
    <t>32285000916311</t>
  </si>
  <si>
    <t>893406949</t>
  </si>
  <si>
    <t>KF9625 .F35 1958</t>
  </si>
  <si>
    <t>0                      KF 9625000F  35          1958</t>
  </si>
  <si>
    <t>The defendant's rights / David Fellman.</t>
  </si>
  <si>
    <t>Fellman, David, 1907-2003.</t>
  </si>
  <si>
    <t>New York : Rinehart, c1958.</t>
  </si>
  <si>
    <t>1958</t>
  </si>
  <si>
    <t>2002-10-10</t>
  </si>
  <si>
    <t>3855355916:eng</t>
  </si>
  <si>
    <t>1227493</t>
  </si>
  <si>
    <t>991003633449702656</t>
  </si>
  <si>
    <t>2268334410002656</t>
  </si>
  <si>
    <t>32285000133545</t>
  </si>
  <si>
    <t>893874982</t>
  </si>
  <si>
    <t>KF9625.A75 N3</t>
  </si>
  <si>
    <t>0                      KF 9625000A  75                 N  3</t>
  </si>
  <si>
    <t>The rights of the accused in law and action / Stuart S. Nagel, editor.</t>
  </si>
  <si>
    <t>Nagel, Stuart S., 1934- compiler.</t>
  </si>
  <si>
    <t>Beverly Hills, [Calif.] : Sage Publications, [1972]</t>
  </si>
  <si>
    <t>Sage criminal justice system annuals ; v. 1</t>
  </si>
  <si>
    <t>1993-01-13</t>
  </si>
  <si>
    <t>350273125:eng</t>
  </si>
  <si>
    <t>589116</t>
  </si>
  <si>
    <t>991001658899702656</t>
  </si>
  <si>
    <t>2259287260002656</t>
  </si>
  <si>
    <t>9780803901315</t>
  </si>
  <si>
    <t>32285000426279</t>
  </si>
  <si>
    <t>893709435</t>
  </si>
  <si>
    <t>KF9630.Z9 R6 1987</t>
  </si>
  <si>
    <t>0                      KF 9630000Z  9                  R  6           1987</t>
  </si>
  <si>
    <t>Search and seizure in the public schools / Lawrence F. Rossow.</t>
  </si>
  <si>
    <t>Topeka, Kan. : NOLPE, c1987.</t>
  </si>
  <si>
    <t>2005-05-23</t>
  </si>
  <si>
    <t>1086167:eng</t>
  </si>
  <si>
    <t>15494756</t>
  </si>
  <si>
    <t>991001030089702656</t>
  </si>
  <si>
    <t>2256513430002656</t>
  </si>
  <si>
    <t>32285001745966</t>
  </si>
  <si>
    <t>893351752</t>
  </si>
  <si>
    <t>KF9640 .E54</t>
  </si>
  <si>
    <t>0                      KF 9640000E  54</t>
  </si>
  <si>
    <t>Counsel for the United States : U.S. attorneys in the political and legal systems / James Eisenstein.</t>
  </si>
  <si>
    <t>Eisenstein, James.</t>
  </si>
  <si>
    <t>Baltimore : Johns Hopkins University Press, c1978.</t>
  </si>
  <si>
    <t>1809457206:eng</t>
  </si>
  <si>
    <t>3204537</t>
  </si>
  <si>
    <t>991004375289702656</t>
  </si>
  <si>
    <t>2269436330002656</t>
  </si>
  <si>
    <t>9780801819889</t>
  </si>
  <si>
    <t>32285000406917</t>
  </si>
  <si>
    <t>893526029</t>
  </si>
  <si>
    <t>KF9640.A75 P76</t>
  </si>
  <si>
    <t>0                      KF 9640000A  75                 P  76</t>
  </si>
  <si>
    <t>The Prosecutor / William F. McDonald, editor ; foreword by Thomas F. Eagleton.</t>
  </si>
  <si>
    <t>Beverly Hills : Sage Publications, c1979.</t>
  </si>
  <si>
    <t>Sage criminal justice system annuals ; v. 11</t>
  </si>
  <si>
    <t>2004-04-21</t>
  </si>
  <si>
    <t>1990-05-03</t>
  </si>
  <si>
    <t>1991-07-30</t>
  </si>
  <si>
    <t>355892970:eng</t>
  </si>
  <si>
    <t>4907858</t>
  </si>
  <si>
    <t>991001801269702656</t>
  </si>
  <si>
    <t>2258716750002656</t>
  </si>
  <si>
    <t>9780803908154</t>
  </si>
  <si>
    <t>32285000148675</t>
  </si>
  <si>
    <t>893534682</t>
  </si>
  <si>
    <t>KF9654 .M38 1984</t>
  </si>
  <si>
    <t>0                      KF 9654000M  38          1984</t>
  </si>
  <si>
    <t>Inside plea bargaining : the language of negotiation / Douglas W. Maynard.</t>
  </si>
  <si>
    <t>Maynard, Douglas W., 1946-</t>
  </si>
  <si>
    <t>New York : Plenum Press, c1984.</t>
  </si>
  <si>
    <t>2010-05-04</t>
  </si>
  <si>
    <t>836665905:eng</t>
  </si>
  <si>
    <t>10777310</t>
  </si>
  <si>
    <t>991000429069702656</t>
  </si>
  <si>
    <t>2265303190002656</t>
  </si>
  <si>
    <t>9780306415777</t>
  </si>
  <si>
    <t>32285001230803</t>
  </si>
  <si>
    <t>893790493</t>
  </si>
  <si>
    <t>KF9654 .R66</t>
  </si>
  <si>
    <t>0                      KF 9654000R  66</t>
  </si>
  <si>
    <t>Justice by consent : plea bargains in the American courthouse / Arthur Rosett, Donald R. Cressey.</t>
  </si>
  <si>
    <t>Rosett, Arthur I. (Arthur Irwin), 1934-2011.</t>
  </si>
  <si>
    <t>Philadelphia : Lippincott, c1976.</t>
  </si>
  <si>
    <t>1992-11-04</t>
  </si>
  <si>
    <t>1993-06-07</t>
  </si>
  <si>
    <t>909792501:eng</t>
  </si>
  <si>
    <t>1958480</t>
  </si>
  <si>
    <t>991001740019702656</t>
  </si>
  <si>
    <t>2263058050002656</t>
  </si>
  <si>
    <t>9780397473410</t>
  </si>
  <si>
    <t>32285001381358</t>
  </si>
  <si>
    <t>893238307</t>
  </si>
  <si>
    <t>KF9655 .W43</t>
  </si>
  <si>
    <t>0                      KF 9655000W  43</t>
  </si>
  <si>
    <t>Commonwealth vs. Sacco and Vanzetti / edited by Robert P. Weeks.</t>
  </si>
  <si>
    <t>Englewood Cliffs, N.J. : Prentice-Hall, c1958.</t>
  </si>
  <si>
    <t>901274004:eng</t>
  </si>
  <si>
    <t>344989</t>
  </si>
  <si>
    <t>991002426279702656</t>
  </si>
  <si>
    <t>2269960680002656</t>
  </si>
  <si>
    <t>32285002554185</t>
  </si>
  <si>
    <t>893341421</t>
  </si>
  <si>
    <t>KF9668 .L4 1999</t>
  </si>
  <si>
    <t>0                      KF 9668000L  4           1999</t>
  </si>
  <si>
    <t>Origins of the Fifth Amendment : the right against self-incrimination / Leonard W. Levy.</t>
  </si>
  <si>
    <t>Chicago, Ill : Ivan R. Dee, 1999.</t>
  </si>
  <si>
    <t>1st Ivan R. Dee paperback ed.</t>
  </si>
  <si>
    <t>214279587:eng</t>
  </si>
  <si>
    <t>41431753</t>
  </si>
  <si>
    <t>991003345679702656</t>
  </si>
  <si>
    <t>2272023550002656</t>
  </si>
  <si>
    <t>9781566632706</t>
  </si>
  <si>
    <t>32285004269972</t>
  </si>
  <si>
    <t>893793551</t>
  </si>
  <si>
    <t>KF9670 .L37</t>
  </si>
  <si>
    <t>0                      KF 9670000L  37</t>
  </si>
  <si>
    <t>Eavesdropping on trial / [by] Edith J. Lapidus.</t>
  </si>
  <si>
    <t>Lapidus, Edith J.</t>
  </si>
  <si>
    <t>Rochelle Park, N.J. : Hayden Book Co., [1973, c1974]</t>
  </si>
  <si>
    <t>2002-05-03</t>
  </si>
  <si>
    <t>1994-03-11</t>
  </si>
  <si>
    <t>1713066:eng</t>
  </si>
  <si>
    <t>723040</t>
  </si>
  <si>
    <t>991003198469702656</t>
  </si>
  <si>
    <t>2256237130002656</t>
  </si>
  <si>
    <t>32285001853026</t>
  </si>
  <si>
    <t>893610807</t>
  </si>
  <si>
    <t>KF9672 .L65 1991</t>
  </si>
  <si>
    <t>0                      KF 9672000L  65          1991</t>
  </si>
  <si>
    <t>Witness for the defense : the accused, the eyewitness, and the expert who puts memory on trial / Elizabeth Loftus and Katherine Ketcham.</t>
  </si>
  <si>
    <t>Loftus, Elizabeth F., 1944-</t>
  </si>
  <si>
    <t>New York : St. Martin's Press, 1991.</t>
  </si>
  <si>
    <t>2004-03-11</t>
  </si>
  <si>
    <t>14422924:eng</t>
  </si>
  <si>
    <t>22489732</t>
  </si>
  <si>
    <t>991001646729702656</t>
  </si>
  <si>
    <t>2271702790002656</t>
  </si>
  <si>
    <t>9780312055370</t>
  </si>
  <si>
    <t>32285000663053</t>
  </si>
  <si>
    <t>893866361</t>
  </si>
  <si>
    <t>KF9672 .P465 1991</t>
  </si>
  <si>
    <t>0                      KF 9672000P  465         1991</t>
  </si>
  <si>
    <t>The child witness : legal issues and dilemmas / Nancy Walker Perry, Lawrence S. Wrightsman.</t>
  </si>
  <si>
    <t>Perry, Nancy W.</t>
  </si>
  <si>
    <t>Newbury Park, Calif. : Sage Publications, c1991.</t>
  </si>
  <si>
    <t>2004-09-21</t>
  </si>
  <si>
    <t>2010-04-28</t>
  </si>
  <si>
    <t>1991-08-06</t>
  </si>
  <si>
    <t>226800139:eng</t>
  </si>
  <si>
    <t>23143910</t>
  </si>
  <si>
    <t>991001648199702656</t>
  </si>
  <si>
    <t>2265709030002656</t>
  </si>
  <si>
    <t>9780803937710</t>
  </si>
  <si>
    <t>32285000664911</t>
  </si>
  <si>
    <t>893509780</t>
  </si>
  <si>
    <t>KF9672 .P47 1989</t>
  </si>
  <si>
    <t>0                      KF 9672000P  47          1989</t>
  </si>
  <si>
    <t>Perspectives on children's testimony / S.J. Ceci, D.F. Ross, M.P. Toglia, editors.</t>
  </si>
  <si>
    <t>New York : Springer-Verlag, c1989.</t>
  </si>
  <si>
    <t>1991-06-14</t>
  </si>
  <si>
    <t>349913655:eng</t>
  </si>
  <si>
    <t>18520237</t>
  </si>
  <si>
    <t>991001359649702656</t>
  </si>
  <si>
    <t>2268565090002656</t>
  </si>
  <si>
    <t>9780387968643</t>
  </si>
  <si>
    <t>32285000656792</t>
  </si>
  <si>
    <t>893439072</t>
  </si>
  <si>
    <t>KF9672 .W34</t>
  </si>
  <si>
    <t>0                      KF 9672000W  34</t>
  </si>
  <si>
    <t>Eye-witness identification in criminal cases / by Patrick M. Wall ; with a foreword by Stephen P. Kennedy.</t>
  </si>
  <si>
    <t>Wall, Patrick M., 1934-</t>
  </si>
  <si>
    <t>Springfield, Ill. : C.C. Thomas, [1965]</t>
  </si>
  <si>
    <t>2005-10-27</t>
  </si>
  <si>
    <t>1992-12-10</t>
  </si>
  <si>
    <t>1683428:eng</t>
  </si>
  <si>
    <t>774320</t>
  </si>
  <si>
    <t>991003249399702656</t>
  </si>
  <si>
    <t>2262774630002656</t>
  </si>
  <si>
    <t>32285001440162</t>
  </si>
  <si>
    <t>893441070</t>
  </si>
  <si>
    <t>KF9680 .J87</t>
  </si>
  <si>
    <t>0                      KF 9680000J  87</t>
  </si>
  <si>
    <t>The jury system in America : a critical overview / Rita James Simon, editor. --</t>
  </si>
  <si>
    <t>Simon, Rita J. (Rita James), 1931-2013, compiler.</t>
  </si>
  <si>
    <t>Beverly Hills ; London : Sage Publications, 1975.</t>
  </si>
  <si>
    <t>Sage criminal justice system annuals ; v. 4</t>
  </si>
  <si>
    <t>889989873:eng</t>
  </si>
  <si>
    <t>1818890</t>
  </si>
  <si>
    <t>991003886559702656</t>
  </si>
  <si>
    <t>2271118860002656</t>
  </si>
  <si>
    <t>9780803903821</t>
  </si>
  <si>
    <t>32285001230852</t>
  </si>
  <si>
    <t>893624046</t>
  </si>
  <si>
    <t>KF9680 .V35</t>
  </si>
  <si>
    <t>0                      KF 9680000V  35</t>
  </si>
  <si>
    <t>Jury selection procedures : our uncertain commitment to representative panels/ Jon M. Van Dyke.</t>
  </si>
  <si>
    <t>Van Dyke, Jon M.</t>
  </si>
  <si>
    <t>Cambridge, Mass. : Ballinger Pub. Co., c1977.</t>
  </si>
  <si>
    <t>1992-01-08</t>
  </si>
  <si>
    <t>889465362:eng</t>
  </si>
  <si>
    <t>2493349</t>
  </si>
  <si>
    <t>991004138719702656</t>
  </si>
  <si>
    <t>2256440540002656</t>
  </si>
  <si>
    <t>9780884102373</t>
  </si>
  <si>
    <t>32285000884352</t>
  </si>
  <si>
    <t>893446053</t>
  </si>
  <si>
    <t>KF9685 .S75 1998</t>
  </si>
  <si>
    <t>0                      KF 9685000S  75          1998</t>
  </si>
  <si>
    <t>Fear of judging : sentencing guidelines in the federal courts / Kate Stith and José A. Cabranes.</t>
  </si>
  <si>
    <t>Stith, Kate.</t>
  </si>
  <si>
    <t>Chicago : University of Chicago Press, 1998.</t>
  </si>
  <si>
    <t>2009-03-29</t>
  </si>
  <si>
    <t>2010-11-09</t>
  </si>
  <si>
    <t>2001-02-27</t>
  </si>
  <si>
    <t>365996559:eng</t>
  </si>
  <si>
    <t>38430738</t>
  </si>
  <si>
    <t>991001677579702656</t>
  </si>
  <si>
    <t>2257293230002656</t>
  </si>
  <si>
    <t>9780226774855</t>
  </si>
  <si>
    <t>32285004297908</t>
  </si>
  <si>
    <t>893797733</t>
  </si>
  <si>
    <t>KF9750 .V66 1979</t>
  </si>
  <si>
    <t>0                      KF 9750000V  66          1979</t>
  </si>
  <si>
    <t>The question of parole : retention, reform, or abolition? / Andrew von Hirsch, Kathleen J. Hanrahan ; introd. by Sheldon L. Messinger.</t>
  </si>
  <si>
    <t>Von Hirsch, Andrew.</t>
  </si>
  <si>
    <t>Cambridge, Mass. : Ballinger Pub. Co., c1979.</t>
  </si>
  <si>
    <t>2004-11-20</t>
  </si>
  <si>
    <t>197584695:eng</t>
  </si>
  <si>
    <t>4495047</t>
  </si>
  <si>
    <t>991004654999702656</t>
  </si>
  <si>
    <t>2268062750002656</t>
  </si>
  <si>
    <t>9780884107965</t>
  </si>
  <si>
    <t>32285001230894</t>
  </si>
  <si>
    <t>893810627</t>
  </si>
  <si>
    <t>KFC1155.Z9 W7</t>
  </si>
  <si>
    <t>0                      KFC1155000Z  9                  W  7</t>
  </si>
  <si>
    <t>The police officer and criminal justice [by] R. Gene Wright [and] John A. Marlo.</t>
  </si>
  <si>
    <t>Wright, R. Gene (Robert Gene), 1930-</t>
  </si>
  <si>
    <t>New York, McGraw-Hill [1970]</t>
  </si>
  <si>
    <t>KFC</t>
  </si>
  <si>
    <t>1225834:eng</t>
  </si>
  <si>
    <t>62958</t>
  </si>
  <si>
    <t>991000187989702656</t>
  </si>
  <si>
    <t>2254793630002656</t>
  </si>
  <si>
    <t>32285002554276</t>
  </si>
  <si>
    <t>893601559</t>
  </si>
  <si>
    <t>KFI1799.C62 C725 1987</t>
  </si>
  <si>
    <t>0                      KFI1799000C  62                 C  725         1987</t>
  </si>
  <si>
    <t>The public defender : the practice of law in the shadows of repute / Lisa J. McIntyre.</t>
  </si>
  <si>
    <t>McIntyre, Lisa J.</t>
  </si>
  <si>
    <t>Chicago : University of Chicago Press, c1987.</t>
  </si>
  <si>
    <t>Studies in crime and justice</t>
  </si>
  <si>
    <t>KFI</t>
  </si>
  <si>
    <t>1993-01-18</t>
  </si>
  <si>
    <t>143865221:eng</t>
  </si>
  <si>
    <t>15224497</t>
  </si>
  <si>
    <t>991001635719702656</t>
  </si>
  <si>
    <t>2268082390002656</t>
  </si>
  <si>
    <t>9780226559612</t>
  </si>
  <si>
    <t>32285001231009</t>
  </si>
  <si>
    <t>893721066</t>
  </si>
  <si>
    <t>KFM2962 .P69</t>
  </si>
  <si>
    <t>0                      KFM2962000P  69</t>
  </si>
  <si>
    <t>Crime and punishment in early Massachusetts, 1620-1692 : a documentary history.</t>
  </si>
  <si>
    <t>Powers, Edwin.</t>
  </si>
  <si>
    <t>KFM</t>
  </si>
  <si>
    <t>1993-04-01</t>
  </si>
  <si>
    <t>1465855:eng</t>
  </si>
  <si>
    <t>413349</t>
  </si>
  <si>
    <t>991002723209702656</t>
  </si>
  <si>
    <t>2268271030002656</t>
  </si>
  <si>
    <t>32285001596591</t>
  </si>
  <si>
    <t>893523969</t>
  </si>
  <si>
    <t>KFM2999.E8 K66</t>
  </si>
  <si>
    <t>0                      KFM2999000E  8                  K  66</t>
  </si>
  <si>
    <t>Law and society in Puritan Massachusetts : Essex County, 1629-1692 / by David Thomas Konig.</t>
  </si>
  <si>
    <t>Konig, David Thomas, 1947-</t>
  </si>
  <si>
    <t>Chapel Hill : University of North Carolina Press, c1979.</t>
  </si>
  <si>
    <t>Studies in legal history</t>
  </si>
  <si>
    <t>1994-08-04</t>
  </si>
  <si>
    <t>465243:eng</t>
  </si>
  <si>
    <t>4492771</t>
  </si>
  <si>
    <t>991001793369702656</t>
  </si>
  <si>
    <t>2263362890002656</t>
  </si>
  <si>
    <t>9780807813362</t>
  </si>
  <si>
    <t>32285001231074</t>
  </si>
  <si>
    <t>893596739</t>
  </si>
  <si>
    <t>KFN2280  .I5 (LAW)</t>
  </si>
  <si>
    <t>0                      KFN2280000I  5                                                       (LAW)</t>
  </si>
  <si>
    <t>In the matter of Karen Quinlan.</t>
  </si>
  <si>
    <t>Arlington, Va. : University Publications of America, c1975-1976.</t>
  </si>
  <si>
    <t>KFN</t>
  </si>
  <si>
    <t>1991-05-30</t>
  </si>
  <si>
    <t>8909734732:eng</t>
  </si>
  <si>
    <t>52721676</t>
  </si>
  <si>
    <t>991001761109702656</t>
  </si>
  <si>
    <t>2271844780002656</t>
  </si>
  <si>
    <t>9780890931004</t>
  </si>
  <si>
    <t>32285000102805</t>
  </si>
  <si>
    <t>893497343</t>
  </si>
  <si>
    <t>1994-03-24</t>
  </si>
  <si>
    <t>1990-10-04</t>
  </si>
  <si>
    <t>32285000332659</t>
  </si>
  <si>
    <t>893503664</t>
  </si>
  <si>
    <t>KBD T55</t>
  </si>
  <si>
    <t>8KBD T55</t>
  </si>
  <si>
    <t>Textbook of Roman law / J. A. C. Thomas.</t>
  </si>
  <si>
    <t>Thomas, J. A. C. (Joseph Anthony Charles), 1923-1981.</t>
  </si>
  <si>
    <t>Amsterdam ; New York : North-Holland Pub. Co., 1976.</t>
  </si>
  <si>
    <t>KJA</t>
  </si>
  <si>
    <t>4606337:eng</t>
  </si>
  <si>
    <t>2284098</t>
  </si>
  <si>
    <t>991001759629702656</t>
  </si>
  <si>
    <t>2266571320002656</t>
  </si>
  <si>
    <t>9780720405132</t>
  </si>
  <si>
    <t>32285001171866</t>
  </si>
  <si>
    <t>893615357</t>
  </si>
  <si>
    <t>KJA147 .S78 1986</t>
  </si>
  <si>
    <t>0                      KJA0147000S  78          1986</t>
  </si>
  <si>
    <t>Studies in Roman law in memory of A. Arthur Schiller / edited by Roger S. Bagnall and William V. Harris.</t>
  </si>
  <si>
    <t>Leiden : E.J. Brill, 1986.</t>
  </si>
  <si>
    <t>Columbia studies in the classical tradition ; v. 13</t>
  </si>
  <si>
    <t>2005-01-13</t>
  </si>
  <si>
    <t>1992-07-30</t>
  </si>
  <si>
    <t>8084333:eng</t>
  </si>
  <si>
    <t>14258081</t>
  </si>
  <si>
    <t>991000929919702656</t>
  </si>
  <si>
    <t>2272063000002656</t>
  </si>
  <si>
    <t>9789004075689</t>
  </si>
  <si>
    <t>32285001231298</t>
  </si>
  <si>
    <t>893340014</t>
  </si>
  <si>
    <t>KJA1570 .U38 1988</t>
  </si>
  <si>
    <t>0                      KJA1570000U  38          1988</t>
  </si>
  <si>
    <t>Law and jurisdiction in the Middle Ages / Walter Ullmann ; edited by George Garnett.</t>
  </si>
  <si>
    <t>Ullmann, Walter, 1910-1983.</t>
  </si>
  <si>
    <t>London : Variorum Reprints, 1988.</t>
  </si>
  <si>
    <t>Variorum reprint. CS ; 283</t>
  </si>
  <si>
    <t>2007-04-28</t>
  </si>
  <si>
    <t>1991-12-15</t>
  </si>
  <si>
    <t>9020781542:eng</t>
  </si>
  <si>
    <t>24432058</t>
  </si>
  <si>
    <t>991001935099702656</t>
  </si>
  <si>
    <t>2266505850002656</t>
  </si>
  <si>
    <t>9780860782315</t>
  </si>
  <si>
    <t>32285000819499</t>
  </si>
  <si>
    <t>893529348</t>
  </si>
  <si>
    <t>KJA2192 .G37 1970</t>
  </si>
  <si>
    <t>0                      KJA2192000G  37          1970</t>
  </si>
  <si>
    <t>Social status and legal privilege in the Roman Empire.</t>
  </si>
  <si>
    <t>Garnsey, Peter.</t>
  </si>
  <si>
    <t>Oxford : Clarendon, 1970.</t>
  </si>
  <si>
    <t>2008-12-08</t>
  </si>
  <si>
    <t>1995-10-06</t>
  </si>
  <si>
    <t>1182283:eng</t>
  </si>
  <si>
    <t>154280</t>
  </si>
  <si>
    <t>991000891529702656</t>
  </si>
  <si>
    <t>2255095700002656</t>
  </si>
  <si>
    <t>9780198251941</t>
  </si>
  <si>
    <t>32285002068434</t>
  </si>
  <si>
    <t>893419863</t>
  </si>
  <si>
    <t>KJA2198 .B83 1969</t>
  </si>
  <si>
    <t>0                      KJA2198000B  83          1969</t>
  </si>
  <si>
    <t>The Roman law of slavery : the condition of the slave in private law from Augustus to Justinian.</t>
  </si>
  <si>
    <t>Buckland, W. W. (William Warwick), 1859-1946.</t>
  </si>
  <si>
    <t>New York, AMS Press [1969]</t>
  </si>
  <si>
    <t>1997-10-02</t>
  </si>
  <si>
    <t>1181639:eng</t>
  </si>
  <si>
    <t>54375</t>
  </si>
  <si>
    <t>991000131599702656</t>
  </si>
  <si>
    <t>2258222110002656</t>
  </si>
  <si>
    <t>32285003252474</t>
  </si>
  <si>
    <t>893896638</t>
  </si>
  <si>
    <t>KJA2229 .G37 1998</t>
  </si>
  <si>
    <t>0                      KJA2229000G  37          1998</t>
  </si>
  <si>
    <t>Family and familia in Roman law and life / Jane F. Gardner.</t>
  </si>
  <si>
    <t>Gardner, Jane F.</t>
  </si>
  <si>
    <t>Oxford : Clarendon Press ; New York : Oxford University Press, 1998.</t>
  </si>
  <si>
    <t>1999-03-16</t>
  </si>
  <si>
    <t>598277:eng</t>
  </si>
  <si>
    <t>38048679</t>
  </si>
  <si>
    <t>991002887589702656</t>
  </si>
  <si>
    <t>2257735950002656</t>
  </si>
  <si>
    <t>9780198152170</t>
  </si>
  <si>
    <t>32285003532883</t>
  </si>
  <si>
    <t>893874139</t>
  </si>
  <si>
    <t>KJA2233 .G78 1999</t>
  </si>
  <si>
    <t>0                      KJA2233000G  78          1999</t>
  </si>
  <si>
    <t>Law and family in late antiquity : the Emperor Constantine's marriage legislation / Judith Evans Grubbs.</t>
  </si>
  <si>
    <t>Grubbs, Judith Evans.</t>
  </si>
  <si>
    <t>Oxford ; New York : Oxford University Press, 1999.</t>
  </si>
  <si>
    <t>2003-10-09</t>
  </si>
  <si>
    <t>806818513:eng</t>
  </si>
  <si>
    <t>42038700</t>
  </si>
  <si>
    <t>991004133879702656</t>
  </si>
  <si>
    <t>2266936970002656</t>
  </si>
  <si>
    <t>9780198208228</t>
  </si>
  <si>
    <t>32285004787692</t>
  </si>
  <si>
    <t>893349645</t>
  </si>
  <si>
    <t>KJA2233 .T74 1993</t>
  </si>
  <si>
    <t>0                      KJA2233000T  74          1993</t>
  </si>
  <si>
    <t>Roman marriage : Iusti Coniuges from the time of Cicero to the time of Ulpian / Susan Treggiari.</t>
  </si>
  <si>
    <t>Treggiari, Susan.</t>
  </si>
  <si>
    <t>Oxford : Clarendon, 1993, c1991.</t>
  </si>
  <si>
    <t>1994-12-28</t>
  </si>
  <si>
    <t>791983277:eng</t>
  </si>
  <si>
    <t>28334961</t>
  </si>
  <si>
    <t>991005417119702656</t>
  </si>
  <si>
    <t>2260209660002656</t>
  </si>
  <si>
    <t>9780198148906</t>
  </si>
  <si>
    <t>32285001979755</t>
  </si>
  <si>
    <t>893796195</t>
  </si>
  <si>
    <t>KJA3340 .R63 1995</t>
  </si>
  <si>
    <t>0                      KJA3340000R  63          1995</t>
  </si>
  <si>
    <t>The criminal law of ancient Rome / O.F. Robinson.</t>
  </si>
  <si>
    <t>Robinson, O. F.</t>
  </si>
  <si>
    <t>Baltimore, Md. : Johns Hopkins University Press, 1995.</t>
  </si>
  <si>
    <t>37571183:eng</t>
  </si>
  <si>
    <t>32970780</t>
  </si>
  <si>
    <t>991004414139702656</t>
  </si>
  <si>
    <t>2269258600002656</t>
  </si>
  <si>
    <t>9780801853180</t>
  </si>
  <si>
    <t>32285005012637</t>
  </si>
  <si>
    <t>893904847</t>
  </si>
  <si>
    <t>KJA3340 .S77</t>
  </si>
  <si>
    <t>0                      KJA3340000S  77</t>
  </si>
  <si>
    <t>Problems of the Roman criminal law.</t>
  </si>
  <si>
    <t>Strachan-Davidson, J. L. (James Leigh), 1843-1916.</t>
  </si>
  <si>
    <t>Oxford : Clarendon press, 1912.</t>
  </si>
  <si>
    <t>1912</t>
  </si>
  <si>
    <t>2006-04-03</t>
  </si>
  <si>
    <t>1993-02-26</t>
  </si>
  <si>
    <t>10569532432:eng</t>
  </si>
  <si>
    <t>38170451</t>
  </si>
  <si>
    <t>991003323439702656</t>
  </si>
  <si>
    <t>2264294930002656</t>
  </si>
  <si>
    <t>32285001540326</t>
  </si>
  <si>
    <t>893410170</t>
  </si>
  <si>
    <t>32285001540334</t>
  </si>
  <si>
    <t>893422454</t>
  </si>
  <si>
    <t>KJE947 .W57 1991</t>
  </si>
  <si>
    <t>0                      KJE0947000W  57          1991</t>
  </si>
  <si>
    <t>After 1992 : the United States of Europe / Ernest Wistrich.</t>
  </si>
  <si>
    <t>Wistrich, Ernest.</t>
  </si>
  <si>
    <t>London ; New York : Routledge, 1991.</t>
  </si>
  <si>
    <t>KJE</t>
  </si>
  <si>
    <t>2010-10-19</t>
  </si>
  <si>
    <t>2003-05-28</t>
  </si>
  <si>
    <t>155040616:eng</t>
  </si>
  <si>
    <t>25788383</t>
  </si>
  <si>
    <t>991001649549702656</t>
  </si>
  <si>
    <t>2255126780002656</t>
  </si>
  <si>
    <t>9780415044516</t>
  </si>
  <si>
    <t>32285000624493</t>
  </si>
  <si>
    <t>893516364</t>
  </si>
  <si>
    <t>KJV233 .D27 1972</t>
  </si>
  <si>
    <t>0                      KJV0233000D  27          1972</t>
  </si>
  <si>
    <t>French law : its structure, sources, and methodology / translated by Michael Kindred.</t>
  </si>
  <si>
    <t>David, René, 1906-1990.</t>
  </si>
  <si>
    <t>Baton Rouge, Louisiana State University Press, 1972.</t>
  </si>
  <si>
    <t>KJV</t>
  </si>
  <si>
    <t>2009-04-01</t>
  </si>
  <si>
    <t>1999-07-19</t>
  </si>
  <si>
    <t>8448330:eng</t>
  </si>
  <si>
    <t>492020</t>
  </si>
  <si>
    <t>991002859219702656</t>
  </si>
  <si>
    <t>2255388350002656</t>
  </si>
  <si>
    <t>9780807102480</t>
  </si>
  <si>
    <t>32285003578365</t>
  </si>
  <si>
    <t>893704607</t>
  </si>
  <si>
    <t>KK301.B57 F53 1989</t>
  </si>
  <si>
    <t>0                      KK 0301000B  57                 F  53          1989</t>
  </si>
  <si>
    <t>Protestantism and primogeniture in early modern Germany / Paula Sutter Fichtner.</t>
  </si>
  <si>
    <t>Fichtner, Paula S.</t>
  </si>
  <si>
    <t>New Haven : Yale University Press, c1989.</t>
  </si>
  <si>
    <t xml:space="preserve">KK </t>
  </si>
  <si>
    <t>2006-09-17</t>
  </si>
  <si>
    <t>1990-06-27</t>
  </si>
  <si>
    <t>21356786:eng</t>
  </si>
  <si>
    <t>19265093</t>
  </si>
  <si>
    <t>991001442869702656</t>
  </si>
  <si>
    <t>2265158570002656</t>
  </si>
  <si>
    <t>9780300044256</t>
  </si>
  <si>
    <t>32285000205731</t>
  </si>
  <si>
    <t>893509626</t>
  </si>
  <si>
    <t>KKL0 .B47</t>
  </si>
  <si>
    <t>0                      KKL0000000B  47</t>
  </si>
  <si>
    <t>The limits of enlightenment : Joseph II and the law / Paul P. Bernard.</t>
  </si>
  <si>
    <t>Bernard, Paul P.</t>
  </si>
  <si>
    <t>Urbana : University of Illinois Press, c1979.</t>
  </si>
  <si>
    <t>Studies in social security and retirement policy</t>
  </si>
  <si>
    <t>KKL</t>
  </si>
  <si>
    <t>2006-04-22</t>
  </si>
  <si>
    <t>889434200:eng</t>
  </si>
  <si>
    <t>4857752</t>
  </si>
  <si>
    <t>991004736229702656</t>
  </si>
  <si>
    <t>2266671380002656</t>
  </si>
  <si>
    <t>9780252007354</t>
  </si>
  <si>
    <t>32285001231496</t>
  </si>
  <si>
    <t>893260110</t>
  </si>
  <si>
    <t>KL4712.A3 E5 1996</t>
  </si>
  <si>
    <t>0                      KL 4712000A  3                  E  5           1996</t>
  </si>
  <si>
    <t>Hittite diplomatic texts / by Gary Beckman ; edited by Harry A. Hoffner, Jr.</t>
  </si>
  <si>
    <t>Beckman, Gary M.</t>
  </si>
  <si>
    <t>Atlanta, Ga. : Scholars Press, c1996.</t>
  </si>
  <si>
    <t>Writings from the ancient world ; v. 7</t>
  </si>
  <si>
    <t xml:space="preserve">KL </t>
  </si>
  <si>
    <t>1998-03-03</t>
  </si>
  <si>
    <t>14468132:eng</t>
  </si>
  <si>
    <t>32970196</t>
  </si>
  <si>
    <t>991002537589702656</t>
  </si>
  <si>
    <t>2268863050002656</t>
  </si>
  <si>
    <t>9780788501531</t>
  </si>
  <si>
    <t>32285003356267</t>
  </si>
  <si>
    <t>893427698</t>
  </si>
  <si>
    <t>KLA2688.A31738 A7 1972</t>
  </si>
  <si>
    <t>0                      KLA2688000A  31738              A  7           1972</t>
  </si>
  <si>
    <t>The spiritual regulation of Peter the Great / translated and edited by Alexander V. Muller.</t>
  </si>
  <si>
    <t>Russia.</t>
  </si>
  <si>
    <t>Publications on Russia and Eastern Europe of the Institute for Comparative and Foreign Area Studies ; no. 3</t>
  </si>
  <si>
    <t>KLA</t>
  </si>
  <si>
    <t>2003-12-04</t>
  </si>
  <si>
    <t>1999-10-26</t>
  </si>
  <si>
    <t>1443574:eng</t>
  </si>
  <si>
    <t>333673</t>
  </si>
  <si>
    <t>991002394319702656</t>
  </si>
  <si>
    <t>2258019950002656</t>
  </si>
  <si>
    <t>9780295952376</t>
  </si>
  <si>
    <t>32285003613824</t>
  </si>
  <si>
    <t>893251161</t>
  </si>
  <si>
    <t>KMK110.A38 L34 1997</t>
  </si>
  <si>
    <t>0                      KMK0110000A  38                 L  34          1997</t>
  </si>
  <si>
    <t>Judgment in Jerusalem : chief justice Simon Agranat and the Zionist century / Pnina Lahav.</t>
  </si>
  <si>
    <t>Lahav, Pnina, 1945-</t>
  </si>
  <si>
    <t>Berkeley, Calif. : University of California Press, c1997.</t>
  </si>
  <si>
    <t>KMK</t>
  </si>
  <si>
    <t>2008-05-22</t>
  </si>
  <si>
    <t>554528:eng</t>
  </si>
  <si>
    <t>36123644</t>
  </si>
  <si>
    <t>991005225969702656</t>
  </si>
  <si>
    <t>2261491170002656</t>
  </si>
  <si>
    <t>9780520205956</t>
  </si>
  <si>
    <t>32285005440275</t>
  </si>
  <si>
    <t>893688801</t>
  </si>
  <si>
    <t>KNN1155 .A958 1995</t>
  </si>
  <si>
    <t>0                      KNN1155000A  958         1995</t>
  </si>
  <si>
    <t>To steal a book is an elegant offense : intellectual property law in Chinese civilization / William P. Alford.</t>
  </si>
  <si>
    <t>Alford, William P.</t>
  </si>
  <si>
    <t>Stanford, Calif. : Stanford University Press, 1995.</t>
  </si>
  <si>
    <t>Studies in East Asian law</t>
  </si>
  <si>
    <t>KNN</t>
  </si>
  <si>
    <t>2003-03-04</t>
  </si>
  <si>
    <t>1996-09-03</t>
  </si>
  <si>
    <t>889917329:eng</t>
  </si>
  <si>
    <t>30318594</t>
  </si>
  <si>
    <t>991002327809702656</t>
  </si>
  <si>
    <t>2265334220002656</t>
  </si>
  <si>
    <t>9780804722704</t>
  </si>
  <si>
    <t>32285002293883</t>
  </si>
  <si>
    <t>893615989</t>
  </si>
  <si>
    <t>KNX3202 .L28 2000</t>
  </si>
  <si>
    <t>0                      KNX3202000L  28          2000</t>
  </si>
  <si>
    <t>Law and investment in Japan : cases and materials / Yukio Yanagida ... et al.].</t>
  </si>
  <si>
    <t>Yanagida, Yukio.</t>
  </si>
  <si>
    <t>Cambridge, Mass. : East Asian Legal Studies Program, Harvard Law School : Distributed by Harvard University Press, 2000.</t>
  </si>
  <si>
    <t>2000</t>
  </si>
  <si>
    <t>KNX</t>
  </si>
  <si>
    <t>2004-10-13</t>
  </si>
  <si>
    <t>837036896:eng</t>
  </si>
  <si>
    <t>46515081</t>
  </si>
  <si>
    <t>991004346119702656</t>
  </si>
  <si>
    <t>2267986130002656</t>
  </si>
  <si>
    <t>9780674005099</t>
  </si>
  <si>
    <t>32285005004170</t>
  </si>
  <si>
    <t>893532290</t>
  </si>
  <si>
    <t>32285005004188</t>
  </si>
  <si>
    <t>893532291</t>
  </si>
  <si>
    <t>KQP0 .H46</t>
  </si>
  <si>
    <t>0                      KQP0000000H  46</t>
  </si>
  <si>
    <t>Foreign enterprise in Japan: laws and policies.</t>
  </si>
  <si>
    <t>Henderson, Dan Fenno, 1921-2001.</t>
  </si>
  <si>
    <t>Chapel Hill, University of North Carolina Press [1973]</t>
  </si>
  <si>
    <t>Studies in foreign investment and economic development</t>
  </si>
  <si>
    <t>KQP</t>
  </si>
  <si>
    <t>2008-01-14</t>
  </si>
  <si>
    <t>1671712:eng</t>
  </si>
  <si>
    <t>570582</t>
  </si>
  <si>
    <t>991003003449702656</t>
  </si>
  <si>
    <t>2269734750002656</t>
  </si>
  <si>
    <t>9780807812105</t>
  </si>
  <si>
    <t>32285001231736</t>
  </si>
  <si>
    <t>893323632</t>
  </si>
  <si>
    <t>KTL1572 .S33 1973</t>
  </si>
  <si>
    <t>0                      KTL1572000S  33          1973</t>
  </si>
  <si>
    <t>Justice in South Africa / by Albie Sachs.</t>
  </si>
  <si>
    <t>Sachs, Albie, 1935-</t>
  </si>
  <si>
    <t>Berkeley : University of California Press, [1973]</t>
  </si>
  <si>
    <t>Perspectives on Southern Africa ; 12</t>
  </si>
  <si>
    <t>KTL</t>
  </si>
  <si>
    <t>2009-05-05</t>
  </si>
  <si>
    <t>500773:eng</t>
  </si>
  <si>
    <t>799478</t>
  </si>
  <si>
    <t>991003274799702656</t>
  </si>
  <si>
    <t>2266894430002656</t>
  </si>
  <si>
    <t>9780520024175</t>
  </si>
  <si>
    <t>32285003578548</t>
  </si>
  <si>
    <t>893434832</t>
  </si>
  <si>
    <t>KTL2465 .A93 1995</t>
  </si>
  <si>
    <t>0                      KTL2465000A  93          1995</t>
  </si>
  <si>
    <t>Politics by other means : law in the struggle against apartheid, 1980-1994 / Richard L. Abel ; with a foreword by Nelson Mandela.</t>
  </si>
  <si>
    <t>Abel, Richard L.</t>
  </si>
  <si>
    <t>New York : Routledge, 1995.</t>
  </si>
  <si>
    <t>After the law</t>
  </si>
  <si>
    <t>2003-06-17</t>
  </si>
  <si>
    <t>1995-10-19</t>
  </si>
  <si>
    <t>33265747:eng</t>
  </si>
  <si>
    <t>30892440</t>
  </si>
  <si>
    <t>991002373539702656</t>
  </si>
  <si>
    <t>2270128910002656</t>
  </si>
  <si>
    <t>9780415908160</t>
  </si>
  <si>
    <t>32285002068848</t>
  </si>
  <si>
    <t>893716368</t>
  </si>
  <si>
    <t>KTL3060 .N6 1990</t>
  </si>
  <si>
    <t>0                      KTL3060000N  6           1990</t>
  </si>
  <si>
    <t>No place to rest : forced removals and the law in South Africa / edited by Christina Murray and Catherine O'Regan.</t>
  </si>
  <si>
    <t>Cape Town : Oxford University Press in association with the Labour Law Unit, University of Cape Town, 1990.</t>
  </si>
  <si>
    <t xml:space="preserve">sa </t>
  </si>
  <si>
    <t>Contemporary South African debates</t>
  </si>
  <si>
    <t>2010-05-28</t>
  </si>
  <si>
    <t>1992-06-30</t>
  </si>
  <si>
    <t>837072167:eng</t>
  </si>
  <si>
    <t>22399071</t>
  </si>
  <si>
    <t>991001774309702656</t>
  </si>
  <si>
    <t>2270493760002656</t>
  </si>
  <si>
    <t>9780195705805</t>
  </si>
  <si>
    <t>32285001156727</t>
  </si>
  <si>
    <t>893256501</t>
  </si>
  <si>
    <t>KZ1203.A12 P76 1996</t>
  </si>
  <si>
    <t>0                      KZ 1203000A  12                 P  76          1996</t>
  </si>
  <si>
    <t>The prosecution of international crimes / edited by Roger S. Clark and Madeleine Sann.</t>
  </si>
  <si>
    <t>New Brunswick, U.S.A. : Transaction Publishers, c1996.</t>
  </si>
  <si>
    <t xml:space="preserve">KZ </t>
  </si>
  <si>
    <t>2003-10-16</t>
  </si>
  <si>
    <t>365709493:eng</t>
  </si>
  <si>
    <t>34193065</t>
  </si>
  <si>
    <t>991002610729702656</t>
  </si>
  <si>
    <t>2260381070002656</t>
  </si>
  <si>
    <t>9781560002697</t>
  </si>
  <si>
    <t>32285003494019</t>
  </si>
  <si>
    <t>893773804</t>
  </si>
  <si>
    <t>KZ1293 .M46 1992</t>
  </si>
  <si>
    <t>0                      KZ 1293000M  46          1992</t>
  </si>
  <si>
    <t>The law of treaties between states and international organizations / P.K. Menon.</t>
  </si>
  <si>
    <t>Menon, P. K.</t>
  </si>
  <si>
    <t>Lewiston, N.Y. : Edwin Mellen Press, c1992.</t>
  </si>
  <si>
    <t>2004-10-14</t>
  </si>
  <si>
    <t>20620899:eng</t>
  </si>
  <si>
    <t>26096185</t>
  </si>
  <si>
    <t>991004348079702656</t>
  </si>
  <si>
    <t>2268208950002656</t>
  </si>
  <si>
    <t>9780773495906</t>
  </si>
  <si>
    <t>32285005004436</t>
  </si>
  <si>
    <t>893599740</t>
  </si>
  <si>
    <t>KZ238.A2 A54</t>
  </si>
  <si>
    <t>0                      KZ 0238000A  2                  A  54</t>
  </si>
  <si>
    <t>American international law cases.</t>
  </si>
  <si>
    <t>Dobbs Ferry, N.Y., Oceana Publications, 1971-c1986.</t>
  </si>
  <si>
    <t>2002-01-21</t>
  </si>
  <si>
    <t>1992-09-10</t>
  </si>
  <si>
    <t>10677877278:eng</t>
  </si>
  <si>
    <t>210049</t>
  </si>
  <si>
    <t>991001789789702656</t>
  </si>
  <si>
    <t>2261961420002656</t>
  </si>
  <si>
    <t>9780379200751</t>
  </si>
  <si>
    <t>32285000957281</t>
  </si>
  <si>
    <t>893885556</t>
  </si>
  <si>
    <t>KZ3405.I24 A34 1999</t>
  </si>
  <si>
    <t>0                      KZ 3405000I  24                 A  34          1999</t>
  </si>
  <si>
    <t>Fundamentals of international law / Jude Ibegbu.</t>
  </si>
  <si>
    <t>Ibegbu, Jude, 1954-</t>
  </si>
  <si>
    <t>Lewiston, N.Y. : Edwin Mellen Press, c1999.</t>
  </si>
  <si>
    <t>2005-05-10</t>
  </si>
  <si>
    <t>9282707:eng</t>
  </si>
  <si>
    <t>40682247</t>
  </si>
  <si>
    <t>991004348049702656</t>
  </si>
  <si>
    <t>2264462230002656</t>
  </si>
  <si>
    <t>9780773481756</t>
  </si>
  <si>
    <t>32285005034839</t>
  </si>
  <si>
    <t>893618557</t>
  </si>
  <si>
    <t>KZ4993 .U55 1997</t>
  </si>
  <si>
    <t>0                      KZ 4993000U  55          1997</t>
  </si>
  <si>
    <t>The United Nations and international law / edited by Christopher C. Joyner.</t>
  </si>
  <si>
    <t>[Washington, D.C.] : American Society of International Law ; Cambridge [England] : Cambridge University Press, 1997.</t>
  </si>
  <si>
    <t>2003-11-24</t>
  </si>
  <si>
    <t>1998-08-31</t>
  </si>
  <si>
    <t>365960281:eng</t>
  </si>
  <si>
    <t>35638622</t>
  </si>
  <si>
    <t>991002717649702656</t>
  </si>
  <si>
    <t>2270318580002656</t>
  </si>
  <si>
    <t>9780521586597</t>
  </si>
  <si>
    <t>32285003463626</t>
  </si>
  <si>
    <t>893347836</t>
  </si>
  <si>
    <t>KZ5645 .T6 1998</t>
  </si>
  <si>
    <t>0                      KZ 5645000T  6           1998</t>
  </si>
  <si>
    <t>To walk without fear : the global movement to ban landmines / edited by Maxwell A. Cameron, Robert J. Lawson, and Brian W. Tomlin.</t>
  </si>
  <si>
    <t>Toronto ; New York : Oxford University Press, 1998.</t>
  </si>
  <si>
    <t>2007-11-26</t>
  </si>
  <si>
    <t>2000-09-13</t>
  </si>
  <si>
    <t>836979625:eng</t>
  </si>
  <si>
    <t>39662622</t>
  </si>
  <si>
    <t>991003237249702656</t>
  </si>
  <si>
    <t>2261852050002656</t>
  </si>
  <si>
    <t>9780195414141</t>
  </si>
  <si>
    <t>32285003761821</t>
  </si>
  <si>
    <t>893422328</t>
  </si>
  <si>
    <t>KZ6045 .K58 1998</t>
  </si>
  <si>
    <t>0                      KZ 6045000K  58          1998</t>
  </si>
  <si>
    <t>The multiple realities of international mediation / Marieke Kleiboer.</t>
  </si>
  <si>
    <t>Kleiboer, Marieke, 1967-</t>
  </si>
  <si>
    <t>Boulder, Colo. : Lynne Rienner Publishers, 1998.</t>
  </si>
  <si>
    <t>2010-03-22</t>
  </si>
  <si>
    <t>1998-04-23</t>
  </si>
  <si>
    <t>666173:eng</t>
  </si>
  <si>
    <t>37442982</t>
  </si>
  <si>
    <t>991002842029702656</t>
  </si>
  <si>
    <t>2261865520002656</t>
  </si>
  <si>
    <t>9781555877699</t>
  </si>
  <si>
    <t>32285003376802</t>
  </si>
  <si>
    <t>893517826</t>
  </si>
  <si>
    <t>KZ6376 .D36 1999</t>
  </si>
  <si>
    <t>0                      KZ 6376000D  36          1999</t>
  </si>
  <si>
    <t>Coercive inducement and the containment of international crises / Donald C.F. Daniel and Bradd C. Hayes with Chantal de Jonge Oudraat.</t>
  </si>
  <si>
    <t>Daniel, Donald C. (Donald Charles), 1944-</t>
  </si>
  <si>
    <t>Washington, D.C. : United States Institute of Peace Press, 1999.</t>
  </si>
  <si>
    <t>2003-02-23</t>
  </si>
  <si>
    <t>2002-01-09</t>
  </si>
  <si>
    <t>23408930:eng</t>
  </si>
  <si>
    <t>40251720</t>
  </si>
  <si>
    <t>991003688769702656</t>
  </si>
  <si>
    <t>2257038980002656</t>
  </si>
  <si>
    <t>9781878379849</t>
  </si>
  <si>
    <t>32285004446844</t>
  </si>
  <si>
    <t>893900260</t>
  </si>
  <si>
    <t>KZ6376 .S27 1999</t>
  </si>
  <si>
    <t>0                      KZ 6376000S  27          1999</t>
  </si>
  <si>
    <t>The United Nations and the development of collective security : the delegation by the UN Security Council of its chapter VII powers / Danesh Sarooshi.</t>
  </si>
  <si>
    <t>Sarooshi, Dan.</t>
  </si>
  <si>
    <t>Oxford : Clarendon Press ; New York : Oxford University Press, c1999.</t>
  </si>
  <si>
    <t>Oxford monographs in international law</t>
  </si>
  <si>
    <t>2004-03-01</t>
  </si>
  <si>
    <t>2005-09-14</t>
  </si>
  <si>
    <t>4922114553:eng</t>
  </si>
  <si>
    <t>39800725</t>
  </si>
  <si>
    <t>991001678509702656</t>
  </si>
  <si>
    <t>2270257150002656</t>
  </si>
  <si>
    <t>9780198268635</t>
  </si>
  <si>
    <t>32285004891551</t>
  </si>
  <si>
    <t>893872711</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</si>
  <si>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</si>
  <si>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</si>
  <si>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</si>
  <si>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</si>
  <si>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</si>
  <si>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</si>
  <si>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</si>
  <si>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</si>
  <si>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</si>
  <si>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</si>
  <si>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</si>
  <si>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</si>
  <si>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</si>
  <si>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</si>
  <si>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</si>
  <si>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</si>
  <si>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</si>
  <si>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</si>
  <si>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</si>
  <si>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</si>
  <si>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</si>
  <si>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</si>
  <si>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</si>
  <si>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</si>
  <si>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</si>
  <si>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</si>
  <si>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</si>
  <si>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Nebraska Holdings - Same Edition</t>
  </si>
  <si>
    <t>All Comparator Library Holdings - Same Edition</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</si>
  <si>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</si>
  <si>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</si>
  <si>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</si>
  <si>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</si>
  <si>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</si>
  <si>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</si>
  <si>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</si>
  <si>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</si>
  <si>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</si>
  <si>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</si>
  <si>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</si>
  <si>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</si>
  <si>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</si>
  <si>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</si>
  <si>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</si>
  <si>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</si>
  <si>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</si>
  <si>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</si>
  <si>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</si>
  <si>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</si>
  <si>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</si>
  <si>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</si>
  <si>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</si>
  <si>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</si>
  <si>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</si>
  <si>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Keep in Collection?</t>
  </si>
  <si>
    <t>US Holdings</t>
  </si>
  <si>
    <t>Nebraska Holdings</t>
  </si>
  <si>
    <t>All Comparator Library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</si>
</sst>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u/>
      <sz val="11"/>
      <color rgb="FF0000FF"/>
      <name val="Calibri"/>
      <family val="2"/>
      <scheme val="minor"/>
    </font>
    <font>
      <sz val="8"/>
      <color rgb="FF000000"/>
      <name val="Segoe UI"/>
      <family val="2"/>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xf numFmtId="3" fontId="0" fillId="0" borderId="0" xfId="0" applyNumberFormat="1" applyFill="1" applyAlignment="1">
      <alignment horizontal="center"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xdr:row>
          <xdr:rowOff>9525</xdr:rowOff>
        </xdr:from>
        <xdr:to>
          <xdr:col>3</xdr:col>
          <xdr:colOff>95250</xdr:colOff>
          <xdr:row>1</xdr:row>
          <xdr:rowOff>485775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258B5D57-C89B-439F-980C-09B8DA7530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oneCellAnchor>
        <xdr:from>
          <xdr:col>0</xdr:col>
          <xdr:colOff>276225</xdr:colOff>
          <xdr:row>2</xdr:row>
          <xdr:rowOff>9525</xdr:rowOff>
        </xdr:from>
        <xdr:ext cx="800100" cy="476250"/>
        <xdr:sp macro="" textlink="">
          <xdr:nvSpPr>
            <xdr:cNvPr id="1026" name="Check Box 2" hidden="1">
              <a:extLst>
                <a:ext uri="{63B3BB69-23CF-44E3-9099-C40C66FF867C}">
                  <a14:compatExt spid="_x0000_s1026"/>
                </a:ext>
                <a:ext uri="{FF2B5EF4-FFF2-40B4-BE49-F238E27FC236}">
                  <a16:creationId xmlns:a16="http://schemas.microsoft.com/office/drawing/2014/main" id="{16463A68-6848-44F8-A87C-0465118D7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xdr:row>
          <xdr:rowOff>9525</xdr:rowOff>
        </xdr:from>
        <xdr:ext cx="800100" cy="476250"/>
        <xdr:sp macro="" textlink="">
          <xdr:nvSpPr>
            <xdr:cNvPr id="1027" name="Check Box 3" hidden="1">
              <a:extLst>
                <a:ext uri="{63B3BB69-23CF-44E3-9099-C40C66FF867C}">
                  <a14:compatExt spid="_x0000_s1027"/>
                </a:ext>
                <a:ext uri="{FF2B5EF4-FFF2-40B4-BE49-F238E27FC236}">
                  <a16:creationId xmlns:a16="http://schemas.microsoft.com/office/drawing/2014/main" id="{7322EB41-0FF9-45ED-B847-C2F0B20C76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xdr:row>
          <xdr:rowOff>9525</xdr:rowOff>
        </xdr:from>
        <xdr:ext cx="800100" cy="476250"/>
        <xdr:sp macro="" textlink="">
          <xdr:nvSpPr>
            <xdr:cNvPr id="1028" name="Check Box 4" hidden="1">
              <a:extLst>
                <a:ext uri="{63B3BB69-23CF-44E3-9099-C40C66FF867C}">
                  <a14:compatExt spid="_x0000_s1028"/>
                </a:ext>
                <a:ext uri="{FF2B5EF4-FFF2-40B4-BE49-F238E27FC236}">
                  <a16:creationId xmlns:a16="http://schemas.microsoft.com/office/drawing/2014/main" id="{79529106-F902-485C-8D93-A107AF7BFB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xdr:row>
          <xdr:rowOff>9525</xdr:rowOff>
        </xdr:from>
        <xdr:ext cx="800100" cy="476250"/>
        <xdr:sp macro="" textlink="">
          <xdr:nvSpPr>
            <xdr:cNvPr id="1029" name="Check Box 5" hidden="1">
              <a:extLst>
                <a:ext uri="{63B3BB69-23CF-44E3-9099-C40C66FF867C}">
                  <a14:compatExt spid="_x0000_s1029"/>
                </a:ext>
                <a:ext uri="{FF2B5EF4-FFF2-40B4-BE49-F238E27FC236}">
                  <a16:creationId xmlns:a16="http://schemas.microsoft.com/office/drawing/2014/main" id="{87CCBE83-BDB3-45D8-B524-990460A61A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xdr:row>
          <xdr:rowOff>9525</xdr:rowOff>
        </xdr:from>
        <xdr:ext cx="800100" cy="476250"/>
        <xdr:sp macro="" textlink="">
          <xdr:nvSpPr>
            <xdr:cNvPr id="1030" name="Check Box 6" hidden="1">
              <a:extLst>
                <a:ext uri="{63B3BB69-23CF-44E3-9099-C40C66FF867C}">
                  <a14:compatExt spid="_x0000_s1030"/>
                </a:ext>
                <a:ext uri="{FF2B5EF4-FFF2-40B4-BE49-F238E27FC236}">
                  <a16:creationId xmlns:a16="http://schemas.microsoft.com/office/drawing/2014/main" id="{9F4EF6E9-BF29-4855-8015-6FBBD91826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xdr:row>
          <xdr:rowOff>9525</xdr:rowOff>
        </xdr:from>
        <xdr:ext cx="800100" cy="476250"/>
        <xdr:sp macro="" textlink="">
          <xdr:nvSpPr>
            <xdr:cNvPr id="1031" name="Check Box 7" hidden="1">
              <a:extLst>
                <a:ext uri="{63B3BB69-23CF-44E3-9099-C40C66FF867C}">
                  <a14:compatExt spid="_x0000_s1031"/>
                </a:ext>
                <a:ext uri="{FF2B5EF4-FFF2-40B4-BE49-F238E27FC236}">
                  <a16:creationId xmlns:a16="http://schemas.microsoft.com/office/drawing/2014/main" id="{BCA81759-9922-4BD0-993E-C0D594A3D4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xdr:row>
          <xdr:rowOff>9525</xdr:rowOff>
        </xdr:from>
        <xdr:ext cx="800100" cy="476250"/>
        <xdr:sp macro="" textlink="">
          <xdr:nvSpPr>
            <xdr:cNvPr id="1032" name="Check Box 8" hidden="1">
              <a:extLst>
                <a:ext uri="{63B3BB69-23CF-44E3-9099-C40C66FF867C}">
                  <a14:compatExt spid="_x0000_s1032"/>
                </a:ext>
                <a:ext uri="{FF2B5EF4-FFF2-40B4-BE49-F238E27FC236}">
                  <a16:creationId xmlns:a16="http://schemas.microsoft.com/office/drawing/2014/main" id="{07C20C0C-ACDA-432E-B9B3-C76ADFF030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xdr:row>
          <xdr:rowOff>9525</xdr:rowOff>
        </xdr:from>
        <xdr:ext cx="800100" cy="476250"/>
        <xdr:sp macro="" textlink="">
          <xdr:nvSpPr>
            <xdr:cNvPr id="1033" name="Check Box 9" hidden="1">
              <a:extLst>
                <a:ext uri="{63B3BB69-23CF-44E3-9099-C40C66FF867C}">
                  <a14:compatExt spid="_x0000_s1033"/>
                </a:ext>
                <a:ext uri="{FF2B5EF4-FFF2-40B4-BE49-F238E27FC236}">
                  <a16:creationId xmlns:a16="http://schemas.microsoft.com/office/drawing/2014/main" id="{5A884DB3-E29B-4675-824F-D73C00DD67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xdr:row>
          <xdr:rowOff>9525</xdr:rowOff>
        </xdr:from>
        <xdr:ext cx="800100" cy="476250"/>
        <xdr:sp macro="" textlink="">
          <xdr:nvSpPr>
            <xdr:cNvPr id="1034" name="Check Box 10" hidden="1">
              <a:extLst>
                <a:ext uri="{63B3BB69-23CF-44E3-9099-C40C66FF867C}">
                  <a14:compatExt spid="_x0000_s1034"/>
                </a:ext>
                <a:ext uri="{FF2B5EF4-FFF2-40B4-BE49-F238E27FC236}">
                  <a16:creationId xmlns:a16="http://schemas.microsoft.com/office/drawing/2014/main" id="{3BBAD21A-B8F4-4067-AB1E-4DA9706356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xdr:row>
          <xdr:rowOff>9525</xdr:rowOff>
        </xdr:from>
        <xdr:ext cx="800100" cy="476250"/>
        <xdr:sp macro="" textlink="">
          <xdr:nvSpPr>
            <xdr:cNvPr id="1035" name="Check Box 11" hidden="1">
              <a:extLst>
                <a:ext uri="{63B3BB69-23CF-44E3-9099-C40C66FF867C}">
                  <a14:compatExt spid="_x0000_s1035"/>
                </a:ext>
                <a:ext uri="{FF2B5EF4-FFF2-40B4-BE49-F238E27FC236}">
                  <a16:creationId xmlns:a16="http://schemas.microsoft.com/office/drawing/2014/main" id="{DB71F9CB-6BF2-44AE-A539-22916EA9EEC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xdr:row>
          <xdr:rowOff>9525</xdr:rowOff>
        </xdr:from>
        <xdr:ext cx="800100" cy="476250"/>
        <xdr:sp macro="" textlink="">
          <xdr:nvSpPr>
            <xdr:cNvPr id="1036" name="Check Box 12" hidden="1">
              <a:extLst>
                <a:ext uri="{63B3BB69-23CF-44E3-9099-C40C66FF867C}">
                  <a14:compatExt spid="_x0000_s1036"/>
                </a:ext>
                <a:ext uri="{FF2B5EF4-FFF2-40B4-BE49-F238E27FC236}">
                  <a16:creationId xmlns:a16="http://schemas.microsoft.com/office/drawing/2014/main" id="{61846767-7303-45F0-A8F2-39D2596F63D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xdr:row>
          <xdr:rowOff>9525</xdr:rowOff>
        </xdr:from>
        <xdr:ext cx="800100" cy="476250"/>
        <xdr:sp macro="" textlink="">
          <xdr:nvSpPr>
            <xdr:cNvPr id="1037" name="Check Box 13" hidden="1">
              <a:extLst>
                <a:ext uri="{63B3BB69-23CF-44E3-9099-C40C66FF867C}">
                  <a14:compatExt spid="_x0000_s1037"/>
                </a:ext>
                <a:ext uri="{FF2B5EF4-FFF2-40B4-BE49-F238E27FC236}">
                  <a16:creationId xmlns:a16="http://schemas.microsoft.com/office/drawing/2014/main" id="{173D7922-BBC1-4F56-ACFC-36319BE9B3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xdr:row>
          <xdr:rowOff>9525</xdr:rowOff>
        </xdr:from>
        <xdr:ext cx="800100" cy="476250"/>
        <xdr:sp macro="" textlink="">
          <xdr:nvSpPr>
            <xdr:cNvPr id="1038" name="Check Box 14" hidden="1">
              <a:extLst>
                <a:ext uri="{63B3BB69-23CF-44E3-9099-C40C66FF867C}">
                  <a14:compatExt spid="_x0000_s1038"/>
                </a:ext>
                <a:ext uri="{FF2B5EF4-FFF2-40B4-BE49-F238E27FC236}">
                  <a16:creationId xmlns:a16="http://schemas.microsoft.com/office/drawing/2014/main" id="{A78D7703-BE59-4A23-B76F-DE5C27C5B4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xdr:row>
          <xdr:rowOff>9525</xdr:rowOff>
        </xdr:from>
        <xdr:ext cx="800100" cy="476250"/>
        <xdr:sp macro="" textlink="">
          <xdr:nvSpPr>
            <xdr:cNvPr id="1039" name="Check Box 15" hidden="1">
              <a:extLst>
                <a:ext uri="{63B3BB69-23CF-44E3-9099-C40C66FF867C}">
                  <a14:compatExt spid="_x0000_s1039"/>
                </a:ext>
                <a:ext uri="{FF2B5EF4-FFF2-40B4-BE49-F238E27FC236}">
                  <a16:creationId xmlns:a16="http://schemas.microsoft.com/office/drawing/2014/main" id="{F7D26579-068C-4EA2-A7C0-8E05DB83EB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xdr:row>
          <xdr:rowOff>9525</xdr:rowOff>
        </xdr:from>
        <xdr:ext cx="800100" cy="476250"/>
        <xdr:sp macro="" textlink="">
          <xdr:nvSpPr>
            <xdr:cNvPr id="1040" name="Check Box 16" hidden="1">
              <a:extLst>
                <a:ext uri="{63B3BB69-23CF-44E3-9099-C40C66FF867C}">
                  <a14:compatExt spid="_x0000_s1040"/>
                </a:ext>
                <a:ext uri="{FF2B5EF4-FFF2-40B4-BE49-F238E27FC236}">
                  <a16:creationId xmlns:a16="http://schemas.microsoft.com/office/drawing/2014/main" id="{C7D7715D-1942-4E44-861C-4E024B16D9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xdr:row>
          <xdr:rowOff>9525</xdr:rowOff>
        </xdr:from>
        <xdr:ext cx="800100" cy="476250"/>
        <xdr:sp macro="" textlink="">
          <xdr:nvSpPr>
            <xdr:cNvPr id="1041" name="Check Box 17" hidden="1">
              <a:extLst>
                <a:ext uri="{63B3BB69-23CF-44E3-9099-C40C66FF867C}">
                  <a14:compatExt spid="_x0000_s1041"/>
                </a:ext>
                <a:ext uri="{FF2B5EF4-FFF2-40B4-BE49-F238E27FC236}">
                  <a16:creationId xmlns:a16="http://schemas.microsoft.com/office/drawing/2014/main" id="{42958E2A-60A6-45B2-9BA4-E04AAD193A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xdr:row>
          <xdr:rowOff>9525</xdr:rowOff>
        </xdr:from>
        <xdr:ext cx="800100" cy="476250"/>
        <xdr:sp macro="" textlink="">
          <xdr:nvSpPr>
            <xdr:cNvPr id="1042" name="Check Box 18" hidden="1">
              <a:extLst>
                <a:ext uri="{63B3BB69-23CF-44E3-9099-C40C66FF867C}">
                  <a14:compatExt spid="_x0000_s1042"/>
                </a:ext>
                <a:ext uri="{FF2B5EF4-FFF2-40B4-BE49-F238E27FC236}">
                  <a16:creationId xmlns:a16="http://schemas.microsoft.com/office/drawing/2014/main" id="{024ADE19-07B4-422F-9FCD-0D55DF6E25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xdr:row>
          <xdr:rowOff>9525</xdr:rowOff>
        </xdr:from>
        <xdr:ext cx="800100" cy="476250"/>
        <xdr:sp macro="" textlink="">
          <xdr:nvSpPr>
            <xdr:cNvPr id="1043" name="Check Box 19" hidden="1">
              <a:extLst>
                <a:ext uri="{63B3BB69-23CF-44E3-9099-C40C66FF867C}">
                  <a14:compatExt spid="_x0000_s1043"/>
                </a:ext>
                <a:ext uri="{FF2B5EF4-FFF2-40B4-BE49-F238E27FC236}">
                  <a16:creationId xmlns:a16="http://schemas.microsoft.com/office/drawing/2014/main" id="{A840A9C9-4434-497B-AB28-160ED2C31D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xdr:row>
          <xdr:rowOff>9525</xdr:rowOff>
        </xdr:from>
        <xdr:ext cx="800100" cy="476250"/>
        <xdr:sp macro="" textlink="">
          <xdr:nvSpPr>
            <xdr:cNvPr id="1044" name="Check Box 20" hidden="1">
              <a:extLst>
                <a:ext uri="{63B3BB69-23CF-44E3-9099-C40C66FF867C}">
                  <a14:compatExt spid="_x0000_s1044"/>
                </a:ext>
                <a:ext uri="{FF2B5EF4-FFF2-40B4-BE49-F238E27FC236}">
                  <a16:creationId xmlns:a16="http://schemas.microsoft.com/office/drawing/2014/main" id="{4E41528E-0A5B-41DF-B4C5-341DDD5066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xdr:row>
          <xdr:rowOff>9525</xdr:rowOff>
        </xdr:from>
        <xdr:ext cx="800100" cy="476250"/>
        <xdr:sp macro="" textlink="">
          <xdr:nvSpPr>
            <xdr:cNvPr id="1045" name="Check Box 21" hidden="1">
              <a:extLst>
                <a:ext uri="{63B3BB69-23CF-44E3-9099-C40C66FF867C}">
                  <a14:compatExt spid="_x0000_s1045"/>
                </a:ext>
                <a:ext uri="{FF2B5EF4-FFF2-40B4-BE49-F238E27FC236}">
                  <a16:creationId xmlns:a16="http://schemas.microsoft.com/office/drawing/2014/main" id="{043117B3-9DC5-4709-AE9F-8C567744C6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xdr:row>
          <xdr:rowOff>9525</xdr:rowOff>
        </xdr:from>
        <xdr:ext cx="800100" cy="476250"/>
        <xdr:sp macro="" textlink="">
          <xdr:nvSpPr>
            <xdr:cNvPr id="1046" name="Check Box 22" hidden="1">
              <a:extLst>
                <a:ext uri="{63B3BB69-23CF-44E3-9099-C40C66FF867C}">
                  <a14:compatExt spid="_x0000_s1046"/>
                </a:ext>
                <a:ext uri="{FF2B5EF4-FFF2-40B4-BE49-F238E27FC236}">
                  <a16:creationId xmlns:a16="http://schemas.microsoft.com/office/drawing/2014/main" id="{CD0AD921-5644-4433-8ACD-FA73B40AFB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xdr:row>
          <xdr:rowOff>9525</xdr:rowOff>
        </xdr:from>
        <xdr:ext cx="800100" cy="476250"/>
        <xdr:sp macro="" textlink="">
          <xdr:nvSpPr>
            <xdr:cNvPr id="1047" name="Check Box 23" hidden="1">
              <a:extLst>
                <a:ext uri="{63B3BB69-23CF-44E3-9099-C40C66FF867C}">
                  <a14:compatExt spid="_x0000_s1047"/>
                </a:ext>
                <a:ext uri="{FF2B5EF4-FFF2-40B4-BE49-F238E27FC236}">
                  <a16:creationId xmlns:a16="http://schemas.microsoft.com/office/drawing/2014/main" id="{3313D3FA-D270-42C9-81A3-F8C858E449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xdr:row>
          <xdr:rowOff>9525</xdr:rowOff>
        </xdr:from>
        <xdr:ext cx="800100" cy="476250"/>
        <xdr:sp macro="" textlink="">
          <xdr:nvSpPr>
            <xdr:cNvPr id="1048" name="Check Box 24" hidden="1">
              <a:extLst>
                <a:ext uri="{63B3BB69-23CF-44E3-9099-C40C66FF867C}">
                  <a14:compatExt spid="_x0000_s1048"/>
                </a:ext>
                <a:ext uri="{FF2B5EF4-FFF2-40B4-BE49-F238E27FC236}">
                  <a16:creationId xmlns:a16="http://schemas.microsoft.com/office/drawing/2014/main" id="{A6974AFA-A97A-48DA-BC1E-1120F1D358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xdr:row>
          <xdr:rowOff>9525</xdr:rowOff>
        </xdr:from>
        <xdr:ext cx="800100" cy="476250"/>
        <xdr:sp macro="" textlink="">
          <xdr:nvSpPr>
            <xdr:cNvPr id="1049" name="Check Box 25" hidden="1">
              <a:extLst>
                <a:ext uri="{63B3BB69-23CF-44E3-9099-C40C66FF867C}">
                  <a14:compatExt spid="_x0000_s1049"/>
                </a:ext>
                <a:ext uri="{FF2B5EF4-FFF2-40B4-BE49-F238E27FC236}">
                  <a16:creationId xmlns:a16="http://schemas.microsoft.com/office/drawing/2014/main" id="{1155A9A4-E2AE-4FCF-8A8A-B4314B0CF3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xdr:row>
          <xdr:rowOff>9525</xdr:rowOff>
        </xdr:from>
        <xdr:ext cx="800100" cy="476250"/>
        <xdr:sp macro="" textlink="">
          <xdr:nvSpPr>
            <xdr:cNvPr id="1050" name="Check Box 26" hidden="1">
              <a:extLst>
                <a:ext uri="{63B3BB69-23CF-44E3-9099-C40C66FF867C}">
                  <a14:compatExt spid="_x0000_s1050"/>
                </a:ext>
                <a:ext uri="{FF2B5EF4-FFF2-40B4-BE49-F238E27FC236}">
                  <a16:creationId xmlns:a16="http://schemas.microsoft.com/office/drawing/2014/main" id="{6C6D53E8-876F-4714-8BE3-A93FC7B7CD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xdr:row>
          <xdr:rowOff>9525</xdr:rowOff>
        </xdr:from>
        <xdr:ext cx="800100" cy="476250"/>
        <xdr:sp macro="" textlink="">
          <xdr:nvSpPr>
            <xdr:cNvPr id="1051" name="Check Box 27" hidden="1">
              <a:extLst>
                <a:ext uri="{63B3BB69-23CF-44E3-9099-C40C66FF867C}">
                  <a14:compatExt spid="_x0000_s1051"/>
                </a:ext>
                <a:ext uri="{FF2B5EF4-FFF2-40B4-BE49-F238E27FC236}">
                  <a16:creationId xmlns:a16="http://schemas.microsoft.com/office/drawing/2014/main" id="{6CE957E1-775C-4052-8138-EE448260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xdr:row>
          <xdr:rowOff>9525</xdr:rowOff>
        </xdr:from>
        <xdr:ext cx="800100" cy="476250"/>
        <xdr:sp macro="" textlink="">
          <xdr:nvSpPr>
            <xdr:cNvPr id="1052" name="Check Box 28" hidden="1">
              <a:extLst>
                <a:ext uri="{63B3BB69-23CF-44E3-9099-C40C66FF867C}">
                  <a14:compatExt spid="_x0000_s1052"/>
                </a:ext>
                <a:ext uri="{FF2B5EF4-FFF2-40B4-BE49-F238E27FC236}">
                  <a16:creationId xmlns:a16="http://schemas.microsoft.com/office/drawing/2014/main" id="{C398C56C-BA6B-4B93-A7A5-17986FBF30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xdr:row>
          <xdr:rowOff>9525</xdr:rowOff>
        </xdr:from>
        <xdr:ext cx="800100" cy="476250"/>
        <xdr:sp macro="" textlink="">
          <xdr:nvSpPr>
            <xdr:cNvPr id="1053" name="Check Box 29" hidden="1">
              <a:extLst>
                <a:ext uri="{63B3BB69-23CF-44E3-9099-C40C66FF867C}">
                  <a14:compatExt spid="_x0000_s1053"/>
                </a:ext>
                <a:ext uri="{FF2B5EF4-FFF2-40B4-BE49-F238E27FC236}">
                  <a16:creationId xmlns:a16="http://schemas.microsoft.com/office/drawing/2014/main" id="{7098BB1D-C4E0-475C-B0E6-042791FCC3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xdr:row>
          <xdr:rowOff>9525</xdr:rowOff>
        </xdr:from>
        <xdr:ext cx="800100" cy="476250"/>
        <xdr:sp macro="" textlink="">
          <xdr:nvSpPr>
            <xdr:cNvPr id="1054" name="Check Box 30" hidden="1">
              <a:extLst>
                <a:ext uri="{63B3BB69-23CF-44E3-9099-C40C66FF867C}">
                  <a14:compatExt spid="_x0000_s1054"/>
                </a:ext>
                <a:ext uri="{FF2B5EF4-FFF2-40B4-BE49-F238E27FC236}">
                  <a16:creationId xmlns:a16="http://schemas.microsoft.com/office/drawing/2014/main" id="{C058F481-E75C-4782-99B0-9C70D23EA2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xdr:row>
          <xdr:rowOff>9525</xdr:rowOff>
        </xdr:from>
        <xdr:ext cx="800100" cy="476250"/>
        <xdr:sp macro="" textlink="">
          <xdr:nvSpPr>
            <xdr:cNvPr id="1055" name="Check Box 31" hidden="1">
              <a:extLst>
                <a:ext uri="{63B3BB69-23CF-44E3-9099-C40C66FF867C}">
                  <a14:compatExt spid="_x0000_s1055"/>
                </a:ext>
                <a:ext uri="{FF2B5EF4-FFF2-40B4-BE49-F238E27FC236}">
                  <a16:creationId xmlns:a16="http://schemas.microsoft.com/office/drawing/2014/main" id="{8F82104E-7F08-43E5-988B-8A3C31B7DA0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xdr:row>
          <xdr:rowOff>9525</xdr:rowOff>
        </xdr:from>
        <xdr:ext cx="800100" cy="476250"/>
        <xdr:sp macro="" textlink="">
          <xdr:nvSpPr>
            <xdr:cNvPr id="1056" name="Check Box 32" hidden="1">
              <a:extLst>
                <a:ext uri="{63B3BB69-23CF-44E3-9099-C40C66FF867C}">
                  <a14:compatExt spid="_x0000_s1056"/>
                </a:ext>
                <a:ext uri="{FF2B5EF4-FFF2-40B4-BE49-F238E27FC236}">
                  <a16:creationId xmlns:a16="http://schemas.microsoft.com/office/drawing/2014/main" id="{C38FFAA0-A44E-4851-AE8E-2EDB4D6064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xdr:row>
          <xdr:rowOff>9525</xdr:rowOff>
        </xdr:from>
        <xdr:ext cx="800100" cy="476250"/>
        <xdr:sp macro="" textlink="">
          <xdr:nvSpPr>
            <xdr:cNvPr id="1057" name="Check Box 33" hidden="1">
              <a:extLst>
                <a:ext uri="{63B3BB69-23CF-44E3-9099-C40C66FF867C}">
                  <a14:compatExt spid="_x0000_s1057"/>
                </a:ext>
                <a:ext uri="{FF2B5EF4-FFF2-40B4-BE49-F238E27FC236}">
                  <a16:creationId xmlns:a16="http://schemas.microsoft.com/office/drawing/2014/main" id="{8181BDD7-FFD2-4F02-ACD4-1857AF4678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xdr:row>
          <xdr:rowOff>9525</xdr:rowOff>
        </xdr:from>
        <xdr:ext cx="800100" cy="476250"/>
        <xdr:sp macro="" textlink="">
          <xdr:nvSpPr>
            <xdr:cNvPr id="1058" name="Check Box 34" hidden="1">
              <a:extLst>
                <a:ext uri="{63B3BB69-23CF-44E3-9099-C40C66FF867C}">
                  <a14:compatExt spid="_x0000_s1058"/>
                </a:ext>
                <a:ext uri="{FF2B5EF4-FFF2-40B4-BE49-F238E27FC236}">
                  <a16:creationId xmlns:a16="http://schemas.microsoft.com/office/drawing/2014/main" id="{BECB4AA8-54CF-4BDF-9214-435F63F15A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xdr:row>
          <xdr:rowOff>9525</xdr:rowOff>
        </xdr:from>
        <xdr:ext cx="800100" cy="476250"/>
        <xdr:sp macro="" textlink="">
          <xdr:nvSpPr>
            <xdr:cNvPr id="1059" name="Check Box 35" hidden="1">
              <a:extLst>
                <a:ext uri="{63B3BB69-23CF-44E3-9099-C40C66FF867C}">
                  <a14:compatExt spid="_x0000_s1059"/>
                </a:ext>
                <a:ext uri="{FF2B5EF4-FFF2-40B4-BE49-F238E27FC236}">
                  <a16:creationId xmlns:a16="http://schemas.microsoft.com/office/drawing/2014/main" id="{5DC00B01-A697-4503-B9A7-EA9712C544C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xdr:row>
          <xdr:rowOff>9525</xdr:rowOff>
        </xdr:from>
        <xdr:ext cx="800100" cy="476250"/>
        <xdr:sp macro="" textlink="">
          <xdr:nvSpPr>
            <xdr:cNvPr id="1060" name="Check Box 36" hidden="1">
              <a:extLst>
                <a:ext uri="{63B3BB69-23CF-44E3-9099-C40C66FF867C}">
                  <a14:compatExt spid="_x0000_s1060"/>
                </a:ext>
                <a:ext uri="{FF2B5EF4-FFF2-40B4-BE49-F238E27FC236}">
                  <a16:creationId xmlns:a16="http://schemas.microsoft.com/office/drawing/2014/main" id="{7F10AF16-9C06-4919-8004-9A7A4DD876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xdr:row>
          <xdr:rowOff>9525</xdr:rowOff>
        </xdr:from>
        <xdr:ext cx="800100" cy="476250"/>
        <xdr:sp macro="" textlink="">
          <xdr:nvSpPr>
            <xdr:cNvPr id="1061" name="Check Box 37" hidden="1">
              <a:extLst>
                <a:ext uri="{63B3BB69-23CF-44E3-9099-C40C66FF867C}">
                  <a14:compatExt spid="_x0000_s1061"/>
                </a:ext>
                <a:ext uri="{FF2B5EF4-FFF2-40B4-BE49-F238E27FC236}">
                  <a16:creationId xmlns:a16="http://schemas.microsoft.com/office/drawing/2014/main" id="{8578673C-8575-477E-BED7-D20BC204C9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xdr:row>
          <xdr:rowOff>9525</xdr:rowOff>
        </xdr:from>
        <xdr:ext cx="800100" cy="476250"/>
        <xdr:sp macro="" textlink="">
          <xdr:nvSpPr>
            <xdr:cNvPr id="1062" name="Check Box 38" hidden="1">
              <a:extLst>
                <a:ext uri="{63B3BB69-23CF-44E3-9099-C40C66FF867C}">
                  <a14:compatExt spid="_x0000_s1062"/>
                </a:ext>
                <a:ext uri="{FF2B5EF4-FFF2-40B4-BE49-F238E27FC236}">
                  <a16:creationId xmlns:a16="http://schemas.microsoft.com/office/drawing/2014/main" id="{F5B09ADF-AD48-4ADF-8088-32A27CD2D8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xdr:row>
          <xdr:rowOff>9525</xdr:rowOff>
        </xdr:from>
        <xdr:ext cx="800100" cy="476250"/>
        <xdr:sp macro="" textlink="">
          <xdr:nvSpPr>
            <xdr:cNvPr id="1063" name="Check Box 39" hidden="1">
              <a:extLst>
                <a:ext uri="{63B3BB69-23CF-44E3-9099-C40C66FF867C}">
                  <a14:compatExt spid="_x0000_s1063"/>
                </a:ext>
                <a:ext uri="{FF2B5EF4-FFF2-40B4-BE49-F238E27FC236}">
                  <a16:creationId xmlns:a16="http://schemas.microsoft.com/office/drawing/2014/main" id="{D5179024-01E6-435F-A2D6-19EE9B2AFA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xdr:row>
          <xdr:rowOff>9525</xdr:rowOff>
        </xdr:from>
        <xdr:ext cx="800100" cy="476250"/>
        <xdr:sp macro="" textlink="">
          <xdr:nvSpPr>
            <xdr:cNvPr id="1064" name="Check Box 40" hidden="1">
              <a:extLst>
                <a:ext uri="{63B3BB69-23CF-44E3-9099-C40C66FF867C}">
                  <a14:compatExt spid="_x0000_s1064"/>
                </a:ext>
                <a:ext uri="{FF2B5EF4-FFF2-40B4-BE49-F238E27FC236}">
                  <a16:creationId xmlns:a16="http://schemas.microsoft.com/office/drawing/2014/main" id="{E5A721CB-8542-4BA8-B136-A68F7C06DD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xdr:row>
          <xdr:rowOff>9525</xdr:rowOff>
        </xdr:from>
        <xdr:ext cx="800100" cy="476250"/>
        <xdr:sp macro="" textlink="">
          <xdr:nvSpPr>
            <xdr:cNvPr id="1065" name="Check Box 41" hidden="1">
              <a:extLst>
                <a:ext uri="{63B3BB69-23CF-44E3-9099-C40C66FF867C}">
                  <a14:compatExt spid="_x0000_s1065"/>
                </a:ext>
                <a:ext uri="{FF2B5EF4-FFF2-40B4-BE49-F238E27FC236}">
                  <a16:creationId xmlns:a16="http://schemas.microsoft.com/office/drawing/2014/main" id="{03900CB2-F272-4A78-9BD7-243C978874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xdr:row>
          <xdr:rowOff>9525</xdr:rowOff>
        </xdr:from>
        <xdr:ext cx="800100" cy="476250"/>
        <xdr:sp macro="" textlink="">
          <xdr:nvSpPr>
            <xdr:cNvPr id="1066" name="Check Box 42" hidden="1">
              <a:extLst>
                <a:ext uri="{63B3BB69-23CF-44E3-9099-C40C66FF867C}">
                  <a14:compatExt spid="_x0000_s1066"/>
                </a:ext>
                <a:ext uri="{FF2B5EF4-FFF2-40B4-BE49-F238E27FC236}">
                  <a16:creationId xmlns:a16="http://schemas.microsoft.com/office/drawing/2014/main" id="{0A786D71-9FAD-4338-BAE8-9EFB8BA897A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xdr:row>
          <xdr:rowOff>9525</xdr:rowOff>
        </xdr:from>
        <xdr:ext cx="800100" cy="476250"/>
        <xdr:sp macro="" textlink="">
          <xdr:nvSpPr>
            <xdr:cNvPr id="1067" name="Check Box 43" hidden="1">
              <a:extLst>
                <a:ext uri="{63B3BB69-23CF-44E3-9099-C40C66FF867C}">
                  <a14:compatExt spid="_x0000_s1067"/>
                </a:ext>
                <a:ext uri="{FF2B5EF4-FFF2-40B4-BE49-F238E27FC236}">
                  <a16:creationId xmlns:a16="http://schemas.microsoft.com/office/drawing/2014/main" id="{580138F3-890D-49C0-9641-F3806301DD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xdr:row>
          <xdr:rowOff>9525</xdr:rowOff>
        </xdr:from>
        <xdr:ext cx="800100" cy="476250"/>
        <xdr:sp macro="" textlink="">
          <xdr:nvSpPr>
            <xdr:cNvPr id="1068" name="Check Box 44" hidden="1">
              <a:extLst>
                <a:ext uri="{63B3BB69-23CF-44E3-9099-C40C66FF867C}">
                  <a14:compatExt spid="_x0000_s1068"/>
                </a:ext>
                <a:ext uri="{FF2B5EF4-FFF2-40B4-BE49-F238E27FC236}">
                  <a16:creationId xmlns:a16="http://schemas.microsoft.com/office/drawing/2014/main" id="{70997B67-5E3A-4346-862A-42A53535F5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xdr:row>
          <xdr:rowOff>9525</xdr:rowOff>
        </xdr:from>
        <xdr:ext cx="800100" cy="476250"/>
        <xdr:sp macro="" textlink="">
          <xdr:nvSpPr>
            <xdr:cNvPr id="1069" name="Check Box 45" hidden="1">
              <a:extLst>
                <a:ext uri="{63B3BB69-23CF-44E3-9099-C40C66FF867C}">
                  <a14:compatExt spid="_x0000_s1069"/>
                </a:ext>
                <a:ext uri="{FF2B5EF4-FFF2-40B4-BE49-F238E27FC236}">
                  <a16:creationId xmlns:a16="http://schemas.microsoft.com/office/drawing/2014/main" id="{82F06B7E-71DB-480F-A1B2-A84DA109EBF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xdr:row>
          <xdr:rowOff>9525</xdr:rowOff>
        </xdr:from>
        <xdr:ext cx="800100" cy="476250"/>
        <xdr:sp macro="" textlink="">
          <xdr:nvSpPr>
            <xdr:cNvPr id="1070" name="Check Box 46" hidden="1">
              <a:extLst>
                <a:ext uri="{63B3BB69-23CF-44E3-9099-C40C66FF867C}">
                  <a14:compatExt spid="_x0000_s1070"/>
                </a:ext>
                <a:ext uri="{FF2B5EF4-FFF2-40B4-BE49-F238E27FC236}">
                  <a16:creationId xmlns:a16="http://schemas.microsoft.com/office/drawing/2014/main" id="{CE6762CB-6388-49E4-A235-ADBF3CD680A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47</xdr:row>
          <xdr:rowOff>9525</xdr:rowOff>
        </xdr:from>
        <xdr:ext cx="800100" cy="476250"/>
        <xdr:sp macro="" textlink="">
          <xdr:nvSpPr>
            <xdr:cNvPr id="1071" name="Check Box 47" hidden="1">
              <a:extLst>
                <a:ext uri="{63B3BB69-23CF-44E3-9099-C40C66FF867C}">
                  <a14:compatExt spid="_x0000_s1071"/>
                </a:ext>
                <a:ext uri="{FF2B5EF4-FFF2-40B4-BE49-F238E27FC236}">
                  <a16:creationId xmlns:a16="http://schemas.microsoft.com/office/drawing/2014/main" id="{BBA5C772-5F66-4910-AAB9-048FE7E1901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48</xdr:row>
          <xdr:rowOff>9525</xdr:rowOff>
        </xdr:from>
        <xdr:ext cx="800100" cy="476250"/>
        <xdr:sp macro="" textlink="">
          <xdr:nvSpPr>
            <xdr:cNvPr id="1072" name="Check Box 48" hidden="1">
              <a:extLst>
                <a:ext uri="{63B3BB69-23CF-44E3-9099-C40C66FF867C}">
                  <a14:compatExt spid="_x0000_s1072"/>
                </a:ext>
                <a:ext uri="{FF2B5EF4-FFF2-40B4-BE49-F238E27FC236}">
                  <a16:creationId xmlns:a16="http://schemas.microsoft.com/office/drawing/2014/main" id="{D80700D9-0EBF-439A-A51A-564E1DD524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49</xdr:row>
          <xdr:rowOff>9525</xdr:rowOff>
        </xdr:from>
        <xdr:ext cx="800100" cy="476250"/>
        <xdr:sp macro="" textlink="">
          <xdr:nvSpPr>
            <xdr:cNvPr id="1073" name="Check Box 49" hidden="1">
              <a:extLst>
                <a:ext uri="{63B3BB69-23CF-44E3-9099-C40C66FF867C}">
                  <a14:compatExt spid="_x0000_s1073"/>
                </a:ext>
                <a:ext uri="{FF2B5EF4-FFF2-40B4-BE49-F238E27FC236}">
                  <a16:creationId xmlns:a16="http://schemas.microsoft.com/office/drawing/2014/main" id="{23B418E8-4096-47BC-93C1-90B0FA2E22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50</xdr:row>
          <xdr:rowOff>9525</xdr:rowOff>
        </xdr:from>
        <xdr:ext cx="800100" cy="476250"/>
        <xdr:sp macro="" textlink="">
          <xdr:nvSpPr>
            <xdr:cNvPr id="1074" name="Check Box 50" hidden="1">
              <a:extLst>
                <a:ext uri="{63B3BB69-23CF-44E3-9099-C40C66FF867C}">
                  <a14:compatExt spid="_x0000_s1074"/>
                </a:ext>
                <a:ext uri="{FF2B5EF4-FFF2-40B4-BE49-F238E27FC236}">
                  <a16:creationId xmlns:a16="http://schemas.microsoft.com/office/drawing/2014/main" id="{6AB15800-AD21-4195-A2F4-E2332DDF4C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51</xdr:row>
          <xdr:rowOff>9525</xdr:rowOff>
        </xdr:from>
        <xdr:ext cx="800100" cy="476250"/>
        <xdr:sp macro="" textlink="">
          <xdr:nvSpPr>
            <xdr:cNvPr id="1075" name="Check Box 51" hidden="1">
              <a:extLst>
                <a:ext uri="{63B3BB69-23CF-44E3-9099-C40C66FF867C}">
                  <a14:compatExt spid="_x0000_s1075"/>
                </a:ext>
                <a:ext uri="{FF2B5EF4-FFF2-40B4-BE49-F238E27FC236}">
                  <a16:creationId xmlns:a16="http://schemas.microsoft.com/office/drawing/2014/main" id="{077123E0-5594-4534-B709-92ED7A3590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52</xdr:row>
          <xdr:rowOff>9525</xdr:rowOff>
        </xdr:from>
        <xdr:ext cx="800100" cy="476250"/>
        <xdr:sp macro="" textlink="">
          <xdr:nvSpPr>
            <xdr:cNvPr id="1076" name="Check Box 52" hidden="1">
              <a:extLst>
                <a:ext uri="{63B3BB69-23CF-44E3-9099-C40C66FF867C}">
                  <a14:compatExt spid="_x0000_s1076"/>
                </a:ext>
                <a:ext uri="{FF2B5EF4-FFF2-40B4-BE49-F238E27FC236}">
                  <a16:creationId xmlns:a16="http://schemas.microsoft.com/office/drawing/2014/main" id="{2418E150-38F7-452D-A2C7-E8934B51C4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53</xdr:row>
          <xdr:rowOff>9525</xdr:rowOff>
        </xdr:from>
        <xdr:ext cx="800100" cy="476250"/>
        <xdr:sp macro="" textlink="">
          <xdr:nvSpPr>
            <xdr:cNvPr id="1077" name="Check Box 53" hidden="1">
              <a:extLst>
                <a:ext uri="{63B3BB69-23CF-44E3-9099-C40C66FF867C}">
                  <a14:compatExt spid="_x0000_s1077"/>
                </a:ext>
                <a:ext uri="{FF2B5EF4-FFF2-40B4-BE49-F238E27FC236}">
                  <a16:creationId xmlns:a16="http://schemas.microsoft.com/office/drawing/2014/main" id="{C306B76D-417F-4F87-994B-CFED43A88A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54</xdr:row>
          <xdr:rowOff>9525</xdr:rowOff>
        </xdr:from>
        <xdr:ext cx="800100" cy="476250"/>
        <xdr:sp macro="" textlink="">
          <xdr:nvSpPr>
            <xdr:cNvPr id="1078" name="Check Box 54" hidden="1">
              <a:extLst>
                <a:ext uri="{63B3BB69-23CF-44E3-9099-C40C66FF867C}">
                  <a14:compatExt spid="_x0000_s1078"/>
                </a:ext>
                <a:ext uri="{FF2B5EF4-FFF2-40B4-BE49-F238E27FC236}">
                  <a16:creationId xmlns:a16="http://schemas.microsoft.com/office/drawing/2014/main" id="{916946F3-0BE3-4A27-B625-87850F0A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55</xdr:row>
          <xdr:rowOff>9525</xdr:rowOff>
        </xdr:from>
        <xdr:ext cx="800100" cy="476250"/>
        <xdr:sp macro="" textlink="">
          <xdr:nvSpPr>
            <xdr:cNvPr id="1079" name="Check Box 55" hidden="1">
              <a:extLst>
                <a:ext uri="{63B3BB69-23CF-44E3-9099-C40C66FF867C}">
                  <a14:compatExt spid="_x0000_s1079"/>
                </a:ext>
                <a:ext uri="{FF2B5EF4-FFF2-40B4-BE49-F238E27FC236}">
                  <a16:creationId xmlns:a16="http://schemas.microsoft.com/office/drawing/2014/main" id="{E8752106-5F26-4307-A337-B8F30D06AF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56</xdr:row>
          <xdr:rowOff>9525</xdr:rowOff>
        </xdr:from>
        <xdr:ext cx="800100" cy="476250"/>
        <xdr:sp macro="" textlink="">
          <xdr:nvSpPr>
            <xdr:cNvPr id="1080" name="Check Box 56" hidden="1">
              <a:extLst>
                <a:ext uri="{63B3BB69-23CF-44E3-9099-C40C66FF867C}">
                  <a14:compatExt spid="_x0000_s1080"/>
                </a:ext>
                <a:ext uri="{FF2B5EF4-FFF2-40B4-BE49-F238E27FC236}">
                  <a16:creationId xmlns:a16="http://schemas.microsoft.com/office/drawing/2014/main" id="{0D51DE04-20AB-4281-ABE3-383B6D3F76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57</xdr:row>
          <xdr:rowOff>9525</xdr:rowOff>
        </xdr:from>
        <xdr:ext cx="800100" cy="476250"/>
        <xdr:sp macro="" textlink="">
          <xdr:nvSpPr>
            <xdr:cNvPr id="1081" name="Check Box 57" hidden="1">
              <a:extLst>
                <a:ext uri="{63B3BB69-23CF-44E3-9099-C40C66FF867C}">
                  <a14:compatExt spid="_x0000_s1081"/>
                </a:ext>
                <a:ext uri="{FF2B5EF4-FFF2-40B4-BE49-F238E27FC236}">
                  <a16:creationId xmlns:a16="http://schemas.microsoft.com/office/drawing/2014/main" id="{7537A27D-2086-43C9-A052-A06FF0ED7B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58</xdr:row>
          <xdr:rowOff>9525</xdr:rowOff>
        </xdr:from>
        <xdr:ext cx="800100" cy="476250"/>
        <xdr:sp macro="" textlink="">
          <xdr:nvSpPr>
            <xdr:cNvPr id="1082" name="Check Box 58" hidden="1">
              <a:extLst>
                <a:ext uri="{63B3BB69-23CF-44E3-9099-C40C66FF867C}">
                  <a14:compatExt spid="_x0000_s1082"/>
                </a:ext>
                <a:ext uri="{FF2B5EF4-FFF2-40B4-BE49-F238E27FC236}">
                  <a16:creationId xmlns:a16="http://schemas.microsoft.com/office/drawing/2014/main" id="{66AD8619-D672-4CB9-AF02-D89A722EA6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59</xdr:row>
          <xdr:rowOff>9525</xdr:rowOff>
        </xdr:from>
        <xdr:ext cx="800100" cy="476250"/>
        <xdr:sp macro="" textlink="">
          <xdr:nvSpPr>
            <xdr:cNvPr id="1083" name="Check Box 59" hidden="1">
              <a:extLst>
                <a:ext uri="{63B3BB69-23CF-44E3-9099-C40C66FF867C}">
                  <a14:compatExt spid="_x0000_s1083"/>
                </a:ext>
                <a:ext uri="{FF2B5EF4-FFF2-40B4-BE49-F238E27FC236}">
                  <a16:creationId xmlns:a16="http://schemas.microsoft.com/office/drawing/2014/main" id="{A9467FA4-6360-4828-B3CC-92F9444F57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60</xdr:row>
          <xdr:rowOff>9525</xdr:rowOff>
        </xdr:from>
        <xdr:ext cx="800100" cy="476250"/>
        <xdr:sp macro="" textlink="">
          <xdr:nvSpPr>
            <xdr:cNvPr id="1084" name="Check Box 60" hidden="1">
              <a:extLst>
                <a:ext uri="{63B3BB69-23CF-44E3-9099-C40C66FF867C}">
                  <a14:compatExt spid="_x0000_s1084"/>
                </a:ext>
                <a:ext uri="{FF2B5EF4-FFF2-40B4-BE49-F238E27FC236}">
                  <a16:creationId xmlns:a16="http://schemas.microsoft.com/office/drawing/2014/main" id="{63DBEB27-76F0-49DF-9DEB-858357D67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61</xdr:row>
          <xdr:rowOff>9525</xdr:rowOff>
        </xdr:from>
        <xdr:ext cx="800100" cy="476250"/>
        <xdr:sp macro="" textlink="">
          <xdr:nvSpPr>
            <xdr:cNvPr id="1085" name="Check Box 61" hidden="1">
              <a:extLst>
                <a:ext uri="{63B3BB69-23CF-44E3-9099-C40C66FF867C}">
                  <a14:compatExt spid="_x0000_s1085"/>
                </a:ext>
                <a:ext uri="{FF2B5EF4-FFF2-40B4-BE49-F238E27FC236}">
                  <a16:creationId xmlns:a16="http://schemas.microsoft.com/office/drawing/2014/main" id="{2329E88B-858E-49F8-BE57-AEC91A6E27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62</xdr:row>
          <xdr:rowOff>9525</xdr:rowOff>
        </xdr:from>
        <xdr:ext cx="800100" cy="476250"/>
        <xdr:sp macro="" textlink="">
          <xdr:nvSpPr>
            <xdr:cNvPr id="1086" name="Check Box 62" hidden="1">
              <a:extLst>
                <a:ext uri="{63B3BB69-23CF-44E3-9099-C40C66FF867C}">
                  <a14:compatExt spid="_x0000_s1086"/>
                </a:ext>
                <a:ext uri="{FF2B5EF4-FFF2-40B4-BE49-F238E27FC236}">
                  <a16:creationId xmlns:a16="http://schemas.microsoft.com/office/drawing/2014/main" id="{8DB49435-E74E-4B16-A592-E8F5EF7D20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63</xdr:row>
          <xdr:rowOff>9525</xdr:rowOff>
        </xdr:from>
        <xdr:ext cx="800100" cy="476250"/>
        <xdr:sp macro="" textlink="">
          <xdr:nvSpPr>
            <xdr:cNvPr id="1087" name="Check Box 63" hidden="1">
              <a:extLst>
                <a:ext uri="{63B3BB69-23CF-44E3-9099-C40C66FF867C}">
                  <a14:compatExt spid="_x0000_s1087"/>
                </a:ext>
                <a:ext uri="{FF2B5EF4-FFF2-40B4-BE49-F238E27FC236}">
                  <a16:creationId xmlns:a16="http://schemas.microsoft.com/office/drawing/2014/main" id="{F7DBD803-1C84-454A-9BE6-E7473BA1BC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64</xdr:row>
          <xdr:rowOff>9525</xdr:rowOff>
        </xdr:from>
        <xdr:ext cx="800100" cy="476250"/>
        <xdr:sp macro="" textlink="">
          <xdr:nvSpPr>
            <xdr:cNvPr id="1088" name="Check Box 64" hidden="1">
              <a:extLst>
                <a:ext uri="{63B3BB69-23CF-44E3-9099-C40C66FF867C}">
                  <a14:compatExt spid="_x0000_s1088"/>
                </a:ext>
                <a:ext uri="{FF2B5EF4-FFF2-40B4-BE49-F238E27FC236}">
                  <a16:creationId xmlns:a16="http://schemas.microsoft.com/office/drawing/2014/main" id="{2CCF7636-B254-4AB5-A80B-216AAF6F44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65</xdr:row>
          <xdr:rowOff>9525</xdr:rowOff>
        </xdr:from>
        <xdr:ext cx="800100" cy="476250"/>
        <xdr:sp macro="" textlink="">
          <xdr:nvSpPr>
            <xdr:cNvPr id="1089" name="Check Box 65" hidden="1">
              <a:extLst>
                <a:ext uri="{63B3BB69-23CF-44E3-9099-C40C66FF867C}">
                  <a14:compatExt spid="_x0000_s1089"/>
                </a:ext>
                <a:ext uri="{FF2B5EF4-FFF2-40B4-BE49-F238E27FC236}">
                  <a16:creationId xmlns:a16="http://schemas.microsoft.com/office/drawing/2014/main" id="{FCE2CDE6-1CFA-4008-A7AC-83A5A6D27B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66</xdr:row>
          <xdr:rowOff>9525</xdr:rowOff>
        </xdr:from>
        <xdr:ext cx="800100" cy="476250"/>
        <xdr:sp macro="" textlink="">
          <xdr:nvSpPr>
            <xdr:cNvPr id="1090" name="Check Box 66" hidden="1">
              <a:extLst>
                <a:ext uri="{63B3BB69-23CF-44E3-9099-C40C66FF867C}">
                  <a14:compatExt spid="_x0000_s1090"/>
                </a:ext>
                <a:ext uri="{FF2B5EF4-FFF2-40B4-BE49-F238E27FC236}">
                  <a16:creationId xmlns:a16="http://schemas.microsoft.com/office/drawing/2014/main" id="{0109B898-DEE4-4F29-B476-D3DF1B150A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67</xdr:row>
          <xdr:rowOff>9525</xdr:rowOff>
        </xdr:from>
        <xdr:ext cx="800100" cy="476250"/>
        <xdr:sp macro="" textlink="">
          <xdr:nvSpPr>
            <xdr:cNvPr id="1091" name="Check Box 67" hidden="1">
              <a:extLst>
                <a:ext uri="{63B3BB69-23CF-44E3-9099-C40C66FF867C}">
                  <a14:compatExt spid="_x0000_s1091"/>
                </a:ext>
                <a:ext uri="{FF2B5EF4-FFF2-40B4-BE49-F238E27FC236}">
                  <a16:creationId xmlns:a16="http://schemas.microsoft.com/office/drawing/2014/main" id="{78B2195A-F1EF-4397-A2A1-B20DFB37F8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68</xdr:row>
          <xdr:rowOff>9525</xdr:rowOff>
        </xdr:from>
        <xdr:ext cx="800100" cy="476250"/>
        <xdr:sp macro="" textlink="">
          <xdr:nvSpPr>
            <xdr:cNvPr id="1092" name="Check Box 68" hidden="1">
              <a:extLst>
                <a:ext uri="{63B3BB69-23CF-44E3-9099-C40C66FF867C}">
                  <a14:compatExt spid="_x0000_s1092"/>
                </a:ext>
                <a:ext uri="{FF2B5EF4-FFF2-40B4-BE49-F238E27FC236}">
                  <a16:creationId xmlns:a16="http://schemas.microsoft.com/office/drawing/2014/main" id="{F614B1BC-1861-49ED-AD27-3D94AE63D2D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69</xdr:row>
          <xdr:rowOff>9525</xdr:rowOff>
        </xdr:from>
        <xdr:ext cx="800100" cy="476250"/>
        <xdr:sp macro="" textlink="">
          <xdr:nvSpPr>
            <xdr:cNvPr id="1093" name="Check Box 69" hidden="1">
              <a:extLst>
                <a:ext uri="{63B3BB69-23CF-44E3-9099-C40C66FF867C}">
                  <a14:compatExt spid="_x0000_s1093"/>
                </a:ext>
                <a:ext uri="{FF2B5EF4-FFF2-40B4-BE49-F238E27FC236}">
                  <a16:creationId xmlns:a16="http://schemas.microsoft.com/office/drawing/2014/main" id="{CFF5EF5F-C533-4C21-9A3C-EE95454EB4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70</xdr:row>
          <xdr:rowOff>9525</xdr:rowOff>
        </xdr:from>
        <xdr:ext cx="800100" cy="476250"/>
        <xdr:sp macro="" textlink="">
          <xdr:nvSpPr>
            <xdr:cNvPr id="1094" name="Check Box 70" hidden="1">
              <a:extLst>
                <a:ext uri="{63B3BB69-23CF-44E3-9099-C40C66FF867C}">
                  <a14:compatExt spid="_x0000_s1094"/>
                </a:ext>
                <a:ext uri="{FF2B5EF4-FFF2-40B4-BE49-F238E27FC236}">
                  <a16:creationId xmlns:a16="http://schemas.microsoft.com/office/drawing/2014/main" id="{D925198F-66C9-4802-9758-C09F270C17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71</xdr:row>
          <xdr:rowOff>9525</xdr:rowOff>
        </xdr:from>
        <xdr:ext cx="800100" cy="476250"/>
        <xdr:sp macro="" textlink="">
          <xdr:nvSpPr>
            <xdr:cNvPr id="1095" name="Check Box 71" hidden="1">
              <a:extLst>
                <a:ext uri="{63B3BB69-23CF-44E3-9099-C40C66FF867C}">
                  <a14:compatExt spid="_x0000_s1095"/>
                </a:ext>
                <a:ext uri="{FF2B5EF4-FFF2-40B4-BE49-F238E27FC236}">
                  <a16:creationId xmlns:a16="http://schemas.microsoft.com/office/drawing/2014/main" id="{7F7F44E0-ADF7-4B90-9BEB-6BD48FEC97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72</xdr:row>
          <xdr:rowOff>9525</xdr:rowOff>
        </xdr:from>
        <xdr:ext cx="800100" cy="476250"/>
        <xdr:sp macro="" textlink="">
          <xdr:nvSpPr>
            <xdr:cNvPr id="1096" name="Check Box 72" hidden="1">
              <a:extLst>
                <a:ext uri="{63B3BB69-23CF-44E3-9099-C40C66FF867C}">
                  <a14:compatExt spid="_x0000_s1096"/>
                </a:ext>
                <a:ext uri="{FF2B5EF4-FFF2-40B4-BE49-F238E27FC236}">
                  <a16:creationId xmlns:a16="http://schemas.microsoft.com/office/drawing/2014/main" id="{FDFA0933-CBCD-465D-9DF7-69EB7BF7529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73</xdr:row>
          <xdr:rowOff>9525</xdr:rowOff>
        </xdr:from>
        <xdr:ext cx="800100" cy="476250"/>
        <xdr:sp macro="" textlink="">
          <xdr:nvSpPr>
            <xdr:cNvPr id="1097" name="Check Box 73" hidden="1">
              <a:extLst>
                <a:ext uri="{63B3BB69-23CF-44E3-9099-C40C66FF867C}">
                  <a14:compatExt spid="_x0000_s1097"/>
                </a:ext>
                <a:ext uri="{FF2B5EF4-FFF2-40B4-BE49-F238E27FC236}">
                  <a16:creationId xmlns:a16="http://schemas.microsoft.com/office/drawing/2014/main" id="{843A1AC1-E1DC-4698-BBF8-DC4A252B83B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74</xdr:row>
          <xdr:rowOff>9525</xdr:rowOff>
        </xdr:from>
        <xdr:ext cx="800100" cy="476250"/>
        <xdr:sp macro="" textlink="">
          <xdr:nvSpPr>
            <xdr:cNvPr id="1098" name="Check Box 74" hidden="1">
              <a:extLst>
                <a:ext uri="{63B3BB69-23CF-44E3-9099-C40C66FF867C}">
                  <a14:compatExt spid="_x0000_s1098"/>
                </a:ext>
                <a:ext uri="{FF2B5EF4-FFF2-40B4-BE49-F238E27FC236}">
                  <a16:creationId xmlns:a16="http://schemas.microsoft.com/office/drawing/2014/main" id="{FEC58C67-745C-41D2-A332-61B3603542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75</xdr:row>
          <xdr:rowOff>9525</xdr:rowOff>
        </xdr:from>
        <xdr:ext cx="800100" cy="476250"/>
        <xdr:sp macro="" textlink="">
          <xdr:nvSpPr>
            <xdr:cNvPr id="1099" name="Check Box 75" hidden="1">
              <a:extLst>
                <a:ext uri="{63B3BB69-23CF-44E3-9099-C40C66FF867C}">
                  <a14:compatExt spid="_x0000_s1099"/>
                </a:ext>
                <a:ext uri="{FF2B5EF4-FFF2-40B4-BE49-F238E27FC236}">
                  <a16:creationId xmlns:a16="http://schemas.microsoft.com/office/drawing/2014/main" id="{152B8224-E222-4773-B651-559CA411EA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76</xdr:row>
          <xdr:rowOff>9525</xdr:rowOff>
        </xdr:from>
        <xdr:ext cx="800100" cy="476250"/>
        <xdr:sp macro="" textlink="">
          <xdr:nvSpPr>
            <xdr:cNvPr id="1100" name="Check Box 76" hidden="1">
              <a:extLst>
                <a:ext uri="{63B3BB69-23CF-44E3-9099-C40C66FF867C}">
                  <a14:compatExt spid="_x0000_s1100"/>
                </a:ext>
                <a:ext uri="{FF2B5EF4-FFF2-40B4-BE49-F238E27FC236}">
                  <a16:creationId xmlns:a16="http://schemas.microsoft.com/office/drawing/2014/main" id="{50F21421-6A57-4FAC-8B9C-9AAC299D40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77</xdr:row>
          <xdr:rowOff>9525</xdr:rowOff>
        </xdr:from>
        <xdr:ext cx="800100" cy="476250"/>
        <xdr:sp macro="" textlink="">
          <xdr:nvSpPr>
            <xdr:cNvPr id="1101" name="Check Box 77" hidden="1">
              <a:extLst>
                <a:ext uri="{63B3BB69-23CF-44E3-9099-C40C66FF867C}">
                  <a14:compatExt spid="_x0000_s1101"/>
                </a:ext>
                <a:ext uri="{FF2B5EF4-FFF2-40B4-BE49-F238E27FC236}">
                  <a16:creationId xmlns:a16="http://schemas.microsoft.com/office/drawing/2014/main" id="{E4EE3A88-FE59-4EAD-BF44-440F653AC68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78</xdr:row>
          <xdr:rowOff>9525</xdr:rowOff>
        </xdr:from>
        <xdr:ext cx="800100" cy="476250"/>
        <xdr:sp macro="" textlink="">
          <xdr:nvSpPr>
            <xdr:cNvPr id="1102" name="Check Box 78" hidden="1">
              <a:extLst>
                <a:ext uri="{63B3BB69-23CF-44E3-9099-C40C66FF867C}">
                  <a14:compatExt spid="_x0000_s1102"/>
                </a:ext>
                <a:ext uri="{FF2B5EF4-FFF2-40B4-BE49-F238E27FC236}">
                  <a16:creationId xmlns:a16="http://schemas.microsoft.com/office/drawing/2014/main" id="{BED010CF-F1C1-4265-960F-A6BAA9BEDA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79</xdr:row>
          <xdr:rowOff>9525</xdr:rowOff>
        </xdr:from>
        <xdr:ext cx="800100" cy="476250"/>
        <xdr:sp macro="" textlink="">
          <xdr:nvSpPr>
            <xdr:cNvPr id="1103" name="Check Box 79" hidden="1">
              <a:extLst>
                <a:ext uri="{63B3BB69-23CF-44E3-9099-C40C66FF867C}">
                  <a14:compatExt spid="_x0000_s1103"/>
                </a:ext>
                <a:ext uri="{FF2B5EF4-FFF2-40B4-BE49-F238E27FC236}">
                  <a16:creationId xmlns:a16="http://schemas.microsoft.com/office/drawing/2014/main" id="{4F606AC2-50D9-4618-8603-0E281FB6AF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80</xdr:row>
          <xdr:rowOff>9525</xdr:rowOff>
        </xdr:from>
        <xdr:ext cx="800100" cy="476250"/>
        <xdr:sp macro="" textlink="">
          <xdr:nvSpPr>
            <xdr:cNvPr id="1104" name="Check Box 80" hidden="1">
              <a:extLst>
                <a:ext uri="{63B3BB69-23CF-44E3-9099-C40C66FF867C}">
                  <a14:compatExt spid="_x0000_s1104"/>
                </a:ext>
                <a:ext uri="{FF2B5EF4-FFF2-40B4-BE49-F238E27FC236}">
                  <a16:creationId xmlns:a16="http://schemas.microsoft.com/office/drawing/2014/main" id="{C6CF43BA-C52E-47DC-A71D-44C915F6BA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81</xdr:row>
          <xdr:rowOff>9525</xdr:rowOff>
        </xdr:from>
        <xdr:ext cx="800100" cy="476250"/>
        <xdr:sp macro="" textlink="">
          <xdr:nvSpPr>
            <xdr:cNvPr id="1105" name="Check Box 81" hidden="1">
              <a:extLst>
                <a:ext uri="{63B3BB69-23CF-44E3-9099-C40C66FF867C}">
                  <a14:compatExt spid="_x0000_s1105"/>
                </a:ext>
                <a:ext uri="{FF2B5EF4-FFF2-40B4-BE49-F238E27FC236}">
                  <a16:creationId xmlns:a16="http://schemas.microsoft.com/office/drawing/2014/main" id="{D6CD485D-BE61-4B49-AA06-80416F1496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82</xdr:row>
          <xdr:rowOff>9525</xdr:rowOff>
        </xdr:from>
        <xdr:ext cx="800100" cy="476250"/>
        <xdr:sp macro="" textlink="">
          <xdr:nvSpPr>
            <xdr:cNvPr id="1106" name="Check Box 82" hidden="1">
              <a:extLst>
                <a:ext uri="{63B3BB69-23CF-44E3-9099-C40C66FF867C}">
                  <a14:compatExt spid="_x0000_s1106"/>
                </a:ext>
                <a:ext uri="{FF2B5EF4-FFF2-40B4-BE49-F238E27FC236}">
                  <a16:creationId xmlns:a16="http://schemas.microsoft.com/office/drawing/2014/main" id="{C070BAEE-A759-4575-84F3-6C34B9ACD8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83</xdr:row>
          <xdr:rowOff>9525</xdr:rowOff>
        </xdr:from>
        <xdr:ext cx="800100" cy="476250"/>
        <xdr:sp macro="" textlink="">
          <xdr:nvSpPr>
            <xdr:cNvPr id="1107" name="Check Box 83" hidden="1">
              <a:extLst>
                <a:ext uri="{63B3BB69-23CF-44E3-9099-C40C66FF867C}">
                  <a14:compatExt spid="_x0000_s1107"/>
                </a:ext>
                <a:ext uri="{FF2B5EF4-FFF2-40B4-BE49-F238E27FC236}">
                  <a16:creationId xmlns:a16="http://schemas.microsoft.com/office/drawing/2014/main" id="{CCABA115-BC6F-46A4-8119-1080BD49B5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84</xdr:row>
          <xdr:rowOff>9525</xdr:rowOff>
        </xdr:from>
        <xdr:ext cx="800100" cy="476250"/>
        <xdr:sp macro="" textlink="">
          <xdr:nvSpPr>
            <xdr:cNvPr id="1108" name="Check Box 84" hidden="1">
              <a:extLst>
                <a:ext uri="{63B3BB69-23CF-44E3-9099-C40C66FF867C}">
                  <a14:compatExt spid="_x0000_s1108"/>
                </a:ext>
                <a:ext uri="{FF2B5EF4-FFF2-40B4-BE49-F238E27FC236}">
                  <a16:creationId xmlns:a16="http://schemas.microsoft.com/office/drawing/2014/main" id="{B14836A1-9AF5-40A5-9F44-1837FDFA57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85</xdr:row>
          <xdr:rowOff>9525</xdr:rowOff>
        </xdr:from>
        <xdr:ext cx="800100" cy="476250"/>
        <xdr:sp macro="" textlink="">
          <xdr:nvSpPr>
            <xdr:cNvPr id="1109" name="Check Box 85" hidden="1">
              <a:extLst>
                <a:ext uri="{63B3BB69-23CF-44E3-9099-C40C66FF867C}">
                  <a14:compatExt spid="_x0000_s1109"/>
                </a:ext>
                <a:ext uri="{FF2B5EF4-FFF2-40B4-BE49-F238E27FC236}">
                  <a16:creationId xmlns:a16="http://schemas.microsoft.com/office/drawing/2014/main" id="{C322FD3E-8A52-4C79-AF08-CD4580717C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86</xdr:row>
          <xdr:rowOff>9525</xdr:rowOff>
        </xdr:from>
        <xdr:ext cx="800100" cy="476250"/>
        <xdr:sp macro="" textlink="">
          <xdr:nvSpPr>
            <xdr:cNvPr id="1110" name="Check Box 86" hidden="1">
              <a:extLst>
                <a:ext uri="{63B3BB69-23CF-44E3-9099-C40C66FF867C}">
                  <a14:compatExt spid="_x0000_s1110"/>
                </a:ext>
                <a:ext uri="{FF2B5EF4-FFF2-40B4-BE49-F238E27FC236}">
                  <a16:creationId xmlns:a16="http://schemas.microsoft.com/office/drawing/2014/main" id="{2FCCA5DF-DEE1-4F39-B81A-95306E13FE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87</xdr:row>
          <xdr:rowOff>9525</xdr:rowOff>
        </xdr:from>
        <xdr:ext cx="800100" cy="476250"/>
        <xdr:sp macro="" textlink="">
          <xdr:nvSpPr>
            <xdr:cNvPr id="1111" name="Check Box 87" hidden="1">
              <a:extLst>
                <a:ext uri="{63B3BB69-23CF-44E3-9099-C40C66FF867C}">
                  <a14:compatExt spid="_x0000_s1111"/>
                </a:ext>
                <a:ext uri="{FF2B5EF4-FFF2-40B4-BE49-F238E27FC236}">
                  <a16:creationId xmlns:a16="http://schemas.microsoft.com/office/drawing/2014/main" id="{BAAB7954-DF7B-43F7-A6DD-15C3CBE7ED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88</xdr:row>
          <xdr:rowOff>9525</xdr:rowOff>
        </xdr:from>
        <xdr:ext cx="800100" cy="476250"/>
        <xdr:sp macro="" textlink="">
          <xdr:nvSpPr>
            <xdr:cNvPr id="1112" name="Check Box 88" hidden="1">
              <a:extLst>
                <a:ext uri="{63B3BB69-23CF-44E3-9099-C40C66FF867C}">
                  <a14:compatExt spid="_x0000_s1112"/>
                </a:ext>
                <a:ext uri="{FF2B5EF4-FFF2-40B4-BE49-F238E27FC236}">
                  <a16:creationId xmlns:a16="http://schemas.microsoft.com/office/drawing/2014/main" id="{FB11933E-09EA-4069-AF10-356464BFF4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89</xdr:row>
          <xdr:rowOff>9525</xdr:rowOff>
        </xdr:from>
        <xdr:ext cx="800100" cy="476250"/>
        <xdr:sp macro="" textlink="">
          <xdr:nvSpPr>
            <xdr:cNvPr id="1113" name="Check Box 89" hidden="1">
              <a:extLst>
                <a:ext uri="{63B3BB69-23CF-44E3-9099-C40C66FF867C}">
                  <a14:compatExt spid="_x0000_s1113"/>
                </a:ext>
                <a:ext uri="{FF2B5EF4-FFF2-40B4-BE49-F238E27FC236}">
                  <a16:creationId xmlns:a16="http://schemas.microsoft.com/office/drawing/2014/main" id="{E8252A65-5478-4575-A75A-7294C758C4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90</xdr:row>
          <xdr:rowOff>9525</xdr:rowOff>
        </xdr:from>
        <xdr:ext cx="800100" cy="476250"/>
        <xdr:sp macro="" textlink="">
          <xdr:nvSpPr>
            <xdr:cNvPr id="1114" name="Check Box 90" hidden="1">
              <a:extLst>
                <a:ext uri="{63B3BB69-23CF-44E3-9099-C40C66FF867C}">
                  <a14:compatExt spid="_x0000_s1114"/>
                </a:ext>
                <a:ext uri="{FF2B5EF4-FFF2-40B4-BE49-F238E27FC236}">
                  <a16:creationId xmlns:a16="http://schemas.microsoft.com/office/drawing/2014/main" id="{2B10AB78-2461-42DB-8FD4-1C6F0A8041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91</xdr:row>
          <xdr:rowOff>9525</xdr:rowOff>
        </xdr:from>
        <xdr:ext cx="800100" cy="476250"/>
        <xdr:sp macro="" textlink="">
          <xdr:nvSpPr>
            <xdr:cNvPr id="1115" name="Check Box 91" hidden="1">
              <a:extLst>
                <a:ext uri="{63B3BB69-23CF-44E3-9099-C40C66FF867C}">
                  <a14:compatExt spid="_x0000_s1115"/>
                </a:ext>
                <a:ext uri="{FF2B5EF4-FFF2-40B4-BE49-F238E27FC236}">
                  <a16:creationId xmlns:a16="http://schemas.microsoft.com/office/drawing/2014/main" id="{F285486D-7948-4DB9-907A-93B9DE4438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92</xdr:row>
          <xdr:rowOff>9525</xdr:rowOff>
        </xdr:from>
        <xdr:ext cx="800100" cy="476250"/>
        <xdr:sp macro="" textlink="">
          <xdr:nvSpPr>
            <xdr:cNvPr id="1116" name="Check Box 92" hidden="1">
              <a:extLst>
                <a:ext uri="{63B3BB69-23CF-44E3-9099-C40C66FF867C}">
                  <a14:compatExt spid="_x0000_s1116"/>
                </a:ext>
                <a:ext uri="{FF2B5EF4-FFF2-40B4-BE49-F238E27FC236}">
                  <a16:creationId xmlns:a16="http://schemas.microsoft.com/office/drawing/2014/main" id="{2A7AFACD-8864-4A8F-809C-A29BBEC98D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93</xdr:row>
          <xdr:rowOff>9525</xdr:rowOff>
        </xdr:from>
        <xdr:ext cx="800100" cy="476250"/>
        <xdr:sp macro="" textlink="">
          <xdr:nvSpPr>
            <xdr:cNvPr id="1117" name="Check Box 93" hidden="1">
              <a:extLst>
                <a:ext uri="{63B3BB69-23CF-44E3-9099-C40C66FF867C}">
                  <a14:compatExt spid="_x0000_s1117"/>
                </a:ext>
                <a:ext uri="{FF2B5EF4-FFF2-40B4-BE49-F238E27FC236}">
                  <a16:creationId xmlns:a16="http://schemas.microsoft.com/office/drawing/2014/main" id="{5DB32E98-CD2F-45B1-98DB-2BF994B7E4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94</xdr:row>
          <xdr:rowOff>9525</xdr:rowOff>
        </xdr:from>
        <xdr:ext cx="800100" cy="476250"/>
        <xdr:sp macro="" textlink="">
          <xdr:nvSpPr>
            <xdr:cNvPr id="1118" name="Check Box 94" hidden="1">
              <a:extLst>
                <a:ext uri="{63B3BB69-23CF-44E3-9099-C40C66FF867C}">
                  <a14:compatExt spid="_x0000_s1118"/>
                </a:ext>
                <a:ext uri="{FF2B5EF4-FFF2-40B4-BE49-F238E27FC236}">
                  <a16:creationId xmlns:a16="http://schemas.microsoft.com/office/drawing/2014/main" id="{0962AA7C-41F7-4379-BE06-47C3CD8D1E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95</xdr:row>
          <xdr:rowOff>9525</xdr:rowOff>
        </xdr:from>
        <xdr:ext cx="800100" cy="476250"/>
        <xdr:sp macro="" textlink="">
          <xdr:nvSpPr>
            <xdr:cNvPr id="1119" name="Check Box 95" hidden="1">
              <a:extLst>
                <a:ext uri="{63B3BB69-23CF-44E3-9099-C40C66FF867C}">
                  <a14:compatExt spid="_x0000_s1119"/>
                </a:ext>
                <a:ext uri="{FF2B5EF4-FFF2-40B4-BE49-F238E27FC236}">
                  <a16:creationId xmlns:a16="http://schemas.microsoft.com/office/drawing/2014/main" id="{64E945B9-5129-4773-9EA7-EDE386218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96</xdr:row>
          <xdr:rowOff>9525</xdr:rowOff>
        </xdr:from>
        <xdr:ext cx="800100" cy="476250"/>
        <xdr:sp macro="" textlink="">
          <xdr:nvSpPr>
            <xdr:cNvPr id="1120" name="Check Box 96" hidden="1">
              <a:extLst>
                <a:ext uri="{63B3BB69-23CF-44E3-9099-C40C66FF867C}">
                  <a14:compatExt spid="_x0000_s1120"/>
                </a:ext>
                <a:ext uri="{FF2B5EF4-FFF2-40B4-BE49-F238E27FC236}">
                  <a16:creationId xmlns:a16="http://schemas.microsoft.com/office/drawing/2014/main" id="{0D9A3044-874B-4329-8275-07A0D7F8A1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97</xdr:row>
          <xdr:rowOff>9525</xdr:rowOff>
        </xdr:from>
        <xdr:ext cx="800100" cy="476250"/>
        <xdr:sp macro="" textlink="">
          <xdr:nvSpPr>
            <xdr:cNvPr id="1121" name="Check Box 97" hidden="1">
              <a:extLst>
                <a:ext uri="{63B3BB69-23CF-44E3-9099-C40C66FF867C}">
                  <a14:compatExt spid="_x0000_s1121"/>
                </a:ext>
                <a:ext uri="{FF2B5EF4-FFF2-40B4-BE49-F238E27FC236}">
                  <a16:creationId xmlns:a16="http://schemas.microsoft.com/office/drawing/2014/main" id="{A92BB74A-8FED-444F-BDD6-0BFBB9051C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98</xdr:row>
          <xdr:rowOff>9525</xdr:rowOff>
        </xdr:from>
        <xdr:ext cx="800100" cy="476250"/>
        <xdr:sp macro="" textlink="">
          <xdr:nvSpPr>
            <xdr:cNvPr id="1122" name="Check Box 98" hidden="1">
              <a:extLst>
                <a:ext uri="{63B3BB69-23CF-44E3-9099-C40C66FF867C}">
                  <a14:compatExt spid="_x0000_s1122"/>
                </a:ext>
                <a:ext uri="{FF2B5EF4-FFF2-40B4-BE49-F238E27FC236}">
                  <a16:creationId xmlns:a16="http://schemas.microsoft.com/office/drawing/2014/main" id="{86AD523A-8C33-4341-BA9C-D3A54E156D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99</xdr:row>
          <xdr:rowOff>9525</xdr:rowOff>
        </xdr:from>
        <xdr:ext cx="800100" cy="476250"/>
        <xdr:sp macro="" textlink="">
          <xdr:nvSpPr>
            <xdr:cNvPr id="1123" name="Check Box 99" hidden="1">
              <a:extLst>
                <a:ext uri="{63B3BB69-23CF-44E3-9099-C40C66FF867C}">
                  <a14:compatExt spid="_x0000_s1123"/>
                </a:ext>
                <a:ext uri="{FF2B5EF4-FFF2-40B4-BE49-F238E27FC236}">
                  <a16:creationId xmlns:a16="http://schemas.microsoft.com/office/drawing/2014/main" id="{82C82099-BB38-40EF-A061-491BAF4F89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100</xdr:row>
          <xdr:rowOff>9525</xdr:rowOff>
        </xdr:from>
        <xdr:ext cx="800100" cy="476250"/>
        <xdr:sp macro="" textlink="">
          <xdr:nvSpPr>
            <xdr:cNvPr id="1124" name="Check Box 100" hidden="1">
              <a:extLst>
                <a:ext uri="{63B3BB69-23CF-44E3-9099-C40C66FF867C}">
                  <a14:compatExt spid="_x0000_s1124"/>
                </a:ext>
                <a:ext uri="{FF2B5EF4-FFF2-40B4-BE49-F238E27FC236}">
                  <a16:creationId xmlns:a16="http://schemas.microsoft.com/office/drawing/2014/main" id="{D6333617-3AA6-489A-89E9-5418EAAC86A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101</xdr:row>
          <xdr:rowOff>9525</xdr:rowOff>
        </xdr:from>
        <xdr:ext cx="800100" cy="476250"/>
        <xdr:sp macro="" textlink="">
          <xdr:nvSpPr>
            <xdr:cNvPr id="1125" name="Check Box 101" hidden="1">
              <a:extLst>
                <a:ext uri="{63B3BB69-23CF-44E3-9099-C40C66FF867C}">
                  <a14:compatExt spid="_x0000_s1125"/>
                </a:ext>
                <a:ext uri="{FF2B5EF4-FFF2-40B4-BE49-F238E27FC236}">
                  <a16:creationId xmlns:a16="http://schemas.microsoft.com/office/drawing/2014/main" id="{6A095B4E-373D-423A-9417-4FAFBCE5C20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102</xdr:row>
          <xdr:rowOff>9525</xdr:rowOff>
        </xdr:from>
        <xdr:ext cx="800100" cy="476250"/>
        <xdr:sp macro="" textlink="">
          <xdr:nvSpPr>
            <xdr:cNvPr id="1126" name="Check Box 102" hidden="1">
              <a:extLst>
                <a:ext uri="{63B3BB69-23CF-44E3-9099-C40C66FF867C}">
                  <a14:compatExt spid="_x0000_s1126"/>
                </a:ext>
                <a:ext uri="{FF2B5EF4-FFF2-40B4-BE49-F238E27FC236}">
                  <a16:creationId xmlns:a16="http://schemas.microsoft.com/office/drawing/2014/main" id="{5D3C1EE6-1B90-4E95-BBC5-77674568FC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103</xdr:row>
          <xdr:rowOff>9525</xdr:rowOff>
        </xdr:from>
        <xdr:ext cx="800100" cy="476250"/>
        <xdr:sp macro="" textlink="">
          <xdr:nvSpPr>
            <xdr:cNvPr id="1127" name="Check Box 103" hidden="1">
              <a:extLst>
                <a:ext uri="{63B3BB69-23CF-44E3-9099-C40C66FF867C}">
                  <a14:compatExt spid="_x0000_s1127"/>
                </a:ext>
                <a:ext uri="{FF2B5EF4-FFF2-40B4-BE49-F238E27FC236}">
                  <a16:creationId xmlns:a16="http://schemas.microsoft.com/office/drawing/2014/main" id="{1E31D704-28C9-4356-9C24-31A25522225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104</xdr:row>
          <xdr:rowOff>9525</xdr:rowOff>
        </xdr:from>
        <xdr:ext cx="800100" cy="476250"/>
        <xdr:sp macro="" textlink="">
          <xdr:nvSpPr>
            <xdr:cNvPr id="1128" name="Check Box 104" hidden="1">
              <a:extLst>
                <a:ext uri="{63B3BB69-23CF-44E3-9099-C40C66FF867C}">
                  <a14:compatExt spid="_x0000_s1128"/>
                </a:ext>
                <a:ext uri="{FF2B5EF4-FFF2-40B4-BE49-F238E27FC236}">
                  <a16:creationId xmlns:a16="http://schemas.microsoft.com/office/drawing/2014/main" id="{4CDBF1E8-0A75-40AB-98C2-47244AAA92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105</xdr:row>
          <xdr:rowOff>9525</xdr:rowOff>
        </xdr:from>
        <xdr:ext cx="800100" cy="476250"/>
        <xdr:sp macro="" textlink="">
          <xdr:nvSpPr>
            <xdr:cNvPr id="1129" name="Check Box 105" hidden="1">
              <a:extLst>
                <a:ext uri="{63B3BB69-23CF-44E3-9099-C40C66FF867C}">
                  <a14:compatExt spid="_x0000_s1129"/>
                </a:ext>
                <a:ext uri="{FF2B5EF4-FFF2-40B4-BE49-F238E27FC236}">
                  <a16:creationId xmlns:a16="http://schemas.microsoft.com/office/drawing/2014/main" id="{26A75EA7-75FB-4F48-8114-8ABD31296B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106</xdr:row>
          <xdr:rowOff>9525</xdr:rowOff>
        </xdr:from>
        <xdr:ext cx="800100" cy="476250"/>
        <xdr:sp macro="" textlink="">
          <xdr:nvSpPr>
            <xdr:cNvPr id="1130" name="Check Box 106" hidden="1">
              <a:extLst>
                <a:ext uri="{63B3BB69-23CF-44E3-9099-C40C66FF867C}">
                  <a14:compatExt spid="_x0000_s1130"/>
                </a:ext>
                <a:ext uri="{FF2B5EF4-FFF2-40B4-BE49-F238E27FC236}">
                  <a16:creationId xmlns:a16="http://schemas.microsoft.com/office/drawing/2014/main" id="{2742F866-FD2E-4A94-BB40-9AEE7FA013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107</xdr:row>
          <xdr:rowOff>9525</xdr:rowOff>
        </xdr:from>
        <xdr:ext cx="800100" cy="476250"/>
        <xdr:sp macro="" textlink="">
          <xdr:nvSpPr>
            <xdr:cNvPr id="1131" name="Check Box 107" hidden="1">
              <a:extLst>
                <a:ext uri="{63B3BB69-23CF-44E3-9099-C40C66FF867C}">
                  <a14:compatExt spid="_x0000_s1131"/>
                </a:ext>
                <a:ext uri="{FF2B5EF4-FFF2-40B4-BE49-F238E27FC236}">
                  <a16:creationId xmlns:a16="http://schemas.microsoft.com/office/drawing/2014/main" id="{7DFDA879-9741-43B9-A7CA-4D7D12FC0C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108</xdr:row>
          <xdr:rowOff>9525</xdr:rowOff>
        </xdr:from>
        <xdr:ext cx="800100" cy="476250"/>
        <xdr:sp macro="" textlink="">
          <xdr:nvSpPr>
            <xdr:cNvPr id="1132" name="Check Box 108" hidden="1">
              <a:extLst>
                <a:ext uri="{63B3BB69-23CF-44E3-9099-C40C66FF867C}">
                  <a14:compatExt spid="_x0000_s1132"/>
                </a:ext>
                <a:ext uri="{FF2B5EF4-FFF2-40B4-BE49-F238E27FC236}">
                  <a16:creationId xmlns:a16="http://schemas.microsoft.com/office/drawing/2014/main" id="{D3C636AA-CF3D-4D6D-AC6F-09F2757C32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109</xdr:row>
          <xdr:rowOff>9525</xdr:rowOff>
        </xdr:from>
        <xdr:ext cx="800100" cy="476250"/>
        <xdr:sp macro="" textlink="">
          <xdr:nvSpPr>
            <xdr:cNvPr id="1133" name="Check Box 109" hidden="1">
              <a:extLst>
                <a:ext uri="{63B3BB69-23CF-44E3-9099-C40C66FF867C}">
                  <a14:compatExt spid="_x0000_s1133"/>
                </a:ext>
                <a:ext uri="{FF2B5EF4-FFF2-40B4-BE49-F238E27FC236}">
                  <a16:creationId xmlns:a16="http://schemas.microsoft.com/office/drawing/2014/main" id="{AABFCC4F-D96A-4515-B72F-661E09578C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110</xdr:row>
          <xdr:rowOff>9525</xdr:rowOff>
        </xdr:from>
        <xdr:ext cx="800100" cy="476250"/>
        <xdr:sp macro="" textlink="">
          <xdr:nvSpPr>
            <xdr:cNvPr id="1134" name="Check Box 110" hidden="1">
              <a:extLst>
                <a:ext uri="{63B3BB69-23CF-44E3-9099-C40C66FF867C}">
                  <a14:compatExt spid="_x0000_s1134"/>
                </a:ext>
                <a:ext uri="{FF2B5EF4-FFF2-40B4-BE49-F238E27FC236}">
                  <a16:creationId xmlns:a16="http://schemas.microsoft.com/office/drawing/2014/main" id="{E68EFFBF-9451-4AEA-9647-7758D1657E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111</xdr:row>
          <xdr:rowOff>9525</xdr:rowOff>
        </xdr:from>
        <xdr:ext cx="800100" cy="476250"/>
        <xdr:sp macro="" textlink="">
          <xdr:nvSpPr>
            <xdr:cNvPr id="1135" name="Check Box 111" hidden="1">
              <a:extLst>
                <a:ext uri="{63B3BB69-23CF-44E3-9099-C40C66FF867C}">
                  <a14:compatExt spid="_x0000_s1135"/>
                </a:ext>
                <a:ext uri="{FF2B5EF4-FFF2-40B4-BE49-F238E27FC236}">
                  <a16:creationId xmlns:a16="http://schemas.microsoft.com/office/drawing/2014/main" id="{1BA4C967-1E12-4F6B-956B-CCE3B6005F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112</xdr:row>
          <xdr:rowOff>9525</xdr:rowOff>
        </xdr:from>
        <xdr:ext cx="800100" cy="476250"/>
        <xdr:sp macro="" textlink="">
          <xdr:nvSpPr>
            <xdr:cNvPr id="1136" name="Check Box 112" hidden="1">
              <a:extLst>
                <a:ext uri="{63B3BB69-23CF-44E3-9099-C40C66FF867C}">
                  <a14:compatExt spid="_x0000_s1136"/>
                </a:ext>
                <a:ext uri="{FF2B5EF4-FFF2-40B4-BE49-F238E27FC236}">
                  <a16:creationId xmlns:a16="http://schemas.microsoft.com/office/drawing/2014/main" id="{2C5B5F13-5C90-4F44-89C5-6146D08EA4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113</xdr:row>
          <xdr:rowOff>9525</xdr:rowOff>
        </xdr:from>
        <xdr:ext cx="800100" cy="476250"/>
        <xdr:sp macro="" textlink="">
          <xdr:nvSpPr>
            <xdr:cNvPr id="1137" name="Check Box 113" hidden="1">
              <a:extLst>
                <a:ext uri="{63B3BB69-23CF-44E3-9099-C40C66FF867C}">
                  <a14:compatExt spid="_x0000_s1137"/>
                </a:ext>
                <a:ext uri="{FF2B5EF4-FFF2-40B4-BE49-F238E27FC236}">
                  <a16:creationId xmlns:a16="http://schemas.microsoft.com/office/drawing/2014/main" id="{1BEF977C-934F-4675-B78F-A7A3B40458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114</xdr:row>
          <xdr:rowOff>9525</xdr:rowOff>
        </xdr:from>
        <xdr:ext cx="800100" cy="476250"/>
        <xdr:sp macro="" textlink="">
          <xdr:nvSpPr>
            <xdr:cNvPr id="1138" name="Check Box 114" hidden="1">
              <a:extLst>
                <a:ext uri="{63B3BB69-23CF-44E3-9099-C40C66FF867C}">
                  <a14:compatExt spid="_x0000_s1138"/>
                </a:ext>
                <a:ext uri="{FF2B5EF4-FFF2-40B4-BE49-F238E27FC236}">
                  <a16:creationId xmlns:a16="http://schemas.microsoft.com/office/drawing/2014/main" id="{9E21D532-2E99-4D66-B76A-B118103C67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115</xdr:row>
          <xdr:rowOff>9525</xdr:rowOff>
        </xdr:from>
        <xdr:ext cx="800100" cy="476250"/>
        <xdr:sp macro="" textlink="">
          <xdr:nvSpPr>
            <xdr:cNvPr id="1139" name="Check Box 115" hidden="1">
              <a:extLst>
                <a:ext uri="{63B3BB69-23CF-44E3-9099-C40C66FF867C}">
                  <a14:compatExt spid="_x0000_s1139"/>
                </a:ext>
                <a:ext uri="{FF2B5EF4-FFF2-40B4-BE49-F238E27FC236}">
                  <a16:creationId xmlns:a16="http://schemas.microsoft.com/office/drawing/2014/main" id="{9AB0467F-2997-4399-9378-83F46E4640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116</xdr:row>
          <xdr:rowOff>9525</xdr:rowOff>
        </xdr:from>
        <xdr:ext cx="800100" cy="476250"/>
        <xdr:sp macro="" textlink="">
          <xdr:nvSpPr>
            <xdr:cNvPr id="1140" name="Check Box 116" hidden="1">
              <a:extLst>
                <a:ext uri="{63B3BB69-23CF-44E3-9099-C40C66FF867C}">
                  <a14:compatExt spid="_x0000_s1140"/>
                </a:ext>
                <a:ext uri="{FF2B5EF4-FFF2-40B4-BE49-F238E27FC236}">
                  <a16:creationId xmlns:a16="http://schemas.microsoft.com/office/drawing/2014/main" id="{DC3E5AD9-A0FB-4033-89D0-246E434849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117</xdr:row>
          <xdr:rowOff>9525</xdr:rowOff>
        </xdr:from>
        <xdr:ext cx="800100" cy="476250"/>
        <xdr:sp macro="" textlink="">
          <xdr:nvSpPr>
            <xdr:cNvPr id="1141" name="Check Box 117" hidden="1">
              <a:extLst>
                <a:ext uri="{63B3BB69-23CF-44E3-9099-C40C66FF867C}">
                  <a14:compatExt spid="_x0000_s1141"/>
                </a:ext>
                <a:ext uri="{FF2B5EF4-FFF2-40B4-BE49-F238E27FC236}">
                  <a16:creationId xmlns:a16="http://schemas.microsoft.com/office/drawing/2014/main" id="{0675E45A-3236-41F9-B2BC-1B0180CF0C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118</xdr:row>
          <xdr:rowOff>9525</xdr:rowOff>
        </xdr:from>
        <xdr:ext cx="800100" cy="476250"/>
        <xdr:sp macro="" textlink="">
          <xdr:nvSpPr>
            <xdr:cNvPr id="1142" name="Check Box 118" hidden="1">
              <a:extLst>
                <a:ext uri="{63B3BB69-23CF-44E3-9099-C40C66FF867C}">
                  <a14:compatExt spid="_x0000_s1142"/>
                </a:ext>
                <a:ext uri="{FF2B5EF4-FFF2-40B4-BE49-F238E27FC236}">
                  <a16:creationId xmlns:a16="http://schemas.microsoft.com/office/drawing/2014/main" id="{649FB7F9-4229-483F-A148-900A21D31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119</xdr:row>
          <xdr:rowOff>9525</xdr:rowOff>
        </xdr:from>
        <xdr:ext cx="800100" cy="476250"/>
        <xdr:sp macro="" textlink="">
          <xdr:nvSpPr>
            <xdr:cNvPr id="1143" name="Check Box 119" hidden="1">
              <a:extLst>
                <a:ext uri="{63B3BB69-23CF-44E3-9099-C40C66FF867C}">
                  <a14:compatExt spid="_x0000_s1143"/>
                </a:ext>
                <a:ext uri="{FF2B5EF4-FFF2-40B4-BE49-F238E27FC236}">
                  <a16:creationId xmlns:a16="http://schemas.microsoft.com/office/drawing/2014/main" id="{8D04990D-DDF1-47F5-9488-9C0AFF1A3C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120</xdr:row>
          <xdr:rowOff>9525</xdr:rowOff>
        </xdr:from>
        <xdr:ext cx="800100" cy="476250"/>
        <xdr:sp macro="" textlink="">
          <xdr:nvSpPr>
            <xdr:cNvPr id="1144" name="Check Box 120" hidden="1">
              <a:extLst>
                <a:ext uri="{63B3BB69-23CF-44E3-9099-C40C66FF867C}">
                  <a14:compatExt spid="_x0000_s1144"/>
                </a:ext>
                <a:ext uri="{FF2B5EF4-FFF2-40B4-BE49-F238E27FC236}">
                  <a16:creationId xmlns:a16="http://schemas.microsoft.com/office/drawing/2014/main" id="{47314863-34B3-4493-9F5F-368A3E129BA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121</xdr:row>
          <xdr:rowOff>9525</xdr:rowOff>
        </xdr:from>
        <xdr:ext cx="800100" cy="476250"/>
        <xdr:sp macro="" textlink="">
          <xdr:nvSpPr>
            <xdr:cNvPr id="1145" name="Check Box 121" hidden="1">
              <a:extLst>
                <a:ext uri="{63B3BB69-23CF-44E3-9099-C40C66FF867C}">
                  <a14:compatExt spid="_x0000_s1145"/>
                </a:ext>
                <a:ext uri="{FF2B5EF4-FFF2-40B4-BE49-F238E27FC236}">
                  <a16:creationId xmlns:a16="http://schemas.microsoft.com/office/drawing/2014/main" id="{5F6202A4-EE58-4086-BDF0-1D98F6F52B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122</xdr:row>
          <xdr:rowOff>9525</xdr:rowOff>
        </xdr:from>
        <xdr:ext cx="800100" cy="476250"/>
        <xdr:sp macro="" textlink="">
          <xdr:nvSpPr>
            <xdr:cNvPr id="1146" name="Check Box 122" hidden="1">
              <a:extLst>
                <a:ext uri="{63B3BB69-23CF-44E3-9099-C40C66FF867C}">
                  <a14:compatExt spid="_x0000_s1146"/>
                </a:ext>
                <a:ext uri="{FF2B5EF4-FFF2-40B4-BE49-F238E27FC236}">
                  <a16:creationId xmlns:a16="http://schemas.microsoft.com/office/drawing/2014/main" id="{DBB3C985-AB05-4827-814B-EA92C97FC3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123</xdr:row>
          <xdr:rowOff>9525</xdr:rowOff>
        </xdr:from>
        <xdr:ext cx="800100" cy="476250"/>
        <xdr:sp macro="" textlink="">
          <xdr:nvSpPr>
            <xdr:cNvPr id="1147" name="Check Box 123" hidden="1">
              <a:extLst>
                <a:ext uri="{63B3BB69-23CF-44E3-9099-C40C66FF867C}">
                  <a14:compatExt spid="_x0000_s1147"/>
                </a:ext>
                <a:ext uri="{FF2B5EF4-FFF2-40B4-BE49-F238E27FC236}">
                  <a16:creationId xmlns:a16="http://schemas.microsoft.com/office/drawing/2014/main" id="{875FD531-4899-4881-AED8-2555E2B7A58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124</xdr:row>
          <xdr:rowOff>9525</xdr:rowOff>
        </xdr:from>
        <xdr:ext cx="800100" cy="476250"/>
        <xdr:sp macro="" textlink="">
          <xdr:nvSpPr>
            <xdr:cNvPr id="1148" name="Check Box 124" hidden="1">
              <a:extLst>
                <a:ext uri="{63B3BB69-23CF-44E3-9099-C40C66FF867C}">
                  <a14:compatExt spid="_x0000_s1148"/>
                </a:ext>
                <a:ext uri="{FF2B5EF4-FFF2-40B4-BE49-F238E27FC236}">
                  <a16:creationId xmlns:a16="http://schemas.microsoft.com/office/drawing/2014/main" id="{3EB5FBA8-D165-43B0-A6E0-A59C1F0DE7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125</xdr:row>
          <xdr:rowOff>9525</xdr:rowOff>
        </xdr:from>
        <xdr:ext cx="800100" cy="476250"/>
        <xdr:sp macro="" textlink="">
          <xdr:nvSpPr>
            <xdr:cNvPr id="1149" name="Check Box 125" hidden="1">
              <a:extLst>
                <a:ext uri="{63B3BB69-23CF-44E3-9099-C40C66FF867C}">
                  <a14:compatExt spid="_x0000_s1149"/>
                </a:ext>
                <a:ext uri="{FF2B5EF4-FFF2-40B4-BE49-F238E27FC236}">
                  <a16:creationId xmlns:a16="http://schemas.microsoft.com/office/drawing/2014/main" id="{3F5DE04C-A73A-4590-8612-BC6F67A371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126</xdr:row>
          <xdr:rowOff>9525</xdr:rowOff>
        </xdr:from>
        <xdr:ext cx="800100" cy="476250"/>
        <xdr:sp macro="" textlink="">
          <xdr:nvSpPr>
            <xdr:cNvPr id="1150" name="Check Box 126" hidden="1">
              <a:extLst>
                <a:ext uri="{63B3BB69-23CF-44E3-9099-C40C66FF867C}">
                  <a14:compatExt spid="_x0000_s1150"/>
                </a:ext>
                <a:ext uri="{FF2B5EF4-FFF2-40B4-BE49-F238E27FC236}">
                  <a16:creationId xmlns:a16="http://schemas.microsoft.com/office/drawing/2014/main" id="{5637FB12-8540-411B-B65A-1E09DFFAA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127</xdr:row>
          <xdr:rowOff>9525</xdr:rowOff>
        </xdr:from>
        <xdr:ext cx="800100" cy="476250"/>
        <xdr:sp macro="" textlink="">
          <xdr:nvSpPr>
            <xdr:cNvPr id="1151" name="Check Box 127" hidden="1">
              <a:extLst>
                <a:ext uri="{63B3BB69-23CF-44E3-9099-C40C66FF867C}">
                  <a14:compatExt spid="_x0000_s1151"/>
                </a:ext>
                <a:ext uri="{FF2B5EF4-FFF2-40B4-BE49-F238E27FC236}">
                  <a16:creationId xmlns:a16="http://schemas.microsoft.com/office/drawing/2014/main" id="{D6338B4A-F7BE-454C-A4D1-85F539E2037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128</xdr:row>
          <xdr:rowOff>9525</xdr:rowOff>
        </xdr:from>
        <xdr:ext cx="800100" cy="476250"/>
        <xdr:sp macro="" textlink="">
          <xdr:nvSpPr>
            <xdr:cNvPr id="1152" name="Check Box 128" hidden="1">
              <a:extLst>
                <a:ext uri="{63B3BB69-23CF-44E3-9099-C40C66FF867C}">
                  <a14:compatExt spid="_x0000_s1152"/>
                </a:ext>
                <a:ext uri="{FF2B5EF4-FFF2-40B4-BE49-F238E27FC236}">
                  <a16:creationId xmlns:a16="http://schemas.microsoft.com/office/drawing/2014/main" id="{F3C353C8-2489-4726-93DC-3AA9F80066C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129</xdr:row>
          <xdr:rowOff>9525</xdr:rowOff>
        </xdr:from>
        <xdr:ext cx="800100" cy="476250"/>
        <xdr:sp macro="" textlink="">
          <xdr:nvSpPr>
            <xdr:cNvPr id="1153" name="Check Box 129" hidden="1">
              <a:extLst>
                <a:ext uri="{63B3BB69-23CF-44E3-9099-C40C66FF867C}">
                  <a14:compatExt spid="_x0000_s1153"/>
                </a:ext>
                <a:ext uri="{FF2B5EF4-FFF2-40B4-BE49-F238E27FC236}">
                  <a16:creationId xmlns:a16="http://schemas.microsoft.com/office/drawing/2014/main" id="{79AF9A7B-558C-41A8-8655-174F2030B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130</xdr:row>
          <xdr:rowOff>9525</xdr:rowOff>
        </xdr:from>
        <xdr:ext cx="800100" cy="476250"/>
        <xdr:sp macro="" textlink="">
          <xdr:nvSpPr>
            <xdr:cNvPr id="1154" name="Check Box 130" hidden="1">
              <a:extLst>
                <a:ext uri="{63B3BB69-23CF-44E3-9099-C40C66FF867C}">
                  <a14:compatExt spid="_x0000_s1154"/>
                </a:ext>
                <a:ext uri="{FF2B5EF4-FFF2-40B4-BE49-F238E27FC236}">
                  <a16:creationId xmlns:a16="http://schemas.microsoft.com/office/drawing/2014/main" id="{6E012EB1-0148-431E-B69B-A18697E6E9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131</xdr:row>
          <xdr:rowOff>9525</xdr:rowOff>
        </xdr:from>
        <xdr:ext cx="800100" cy="476250"/>
        <xdr:sp macro="" textlink="">
          <xdr:nvSpPr>
            <xdr:cNvPr id="1155" name="Check Box 131" hidden="1">
              <a:extLst>
                <a:ext uri="{63B3BB69-23CF-44E3-9099-C40C66FF867C}">
                  <a14:compatExt spid="_x0000_s1155"/>
                </a:ext>
                <a:ext uri="{FF2B5EF4-FFF2-40B4-BE49-F238E27FC236}">
                  <a16:creationId xmlns:a16="http://schemas.microsoft.com/office/drawing/2014/main" id="{46E9611D-6030-4511-BB6A-BE50087F20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132</xdr:row>
          <xdr:rowOff>9525</xdr:rowOff>
        </xdr:from>
        <xdr:ext cx="800100" cy="476250"/>
        <xdr:sp macro="" textlink="">
          <xdr:nvSpPr>
            <xdr:cNvPr id="1156" name="Check Box 132" hidden="1">
              <a:extLst>
                <a:ext uri="{63B3BB69-23CF-44E3-9099-C40C66FF867C}">
                  <a14:compatExt spid="_x0000_s1156"/>
                </a:ext>
                <a:ext uri="{FF2B5EF4-FFF2-40B4-BE49-F238E27FC236}">
                  <a16:creationId xmlns:a16="http://schemas.microsoft.com/office/drawing/2014/main" id="{7798838A-5095-4203-A3DF-9BC1DE5501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133</xdr:row>
          <xdr:rowOff>9525</xdr:rowOff>
        </xdr:from>
        <xdr:ext cx="800100" cy="476250"/>
        <xdr:sp macro="" textlink="">
          <xdr:nvSpPr>
            <xdr:cNvPr id="1157" name="Check Box 133" hidden="1">
              <a:extLst>
                <a:ext uri="{63B3BB69-23CF-44E3-9099-C40C66FF867C}">
                  <a14:compatExt spid="_x0000_s1157"/>
                </a:ext>
                <a:ext uri="{FF2B5EF4-FFF2-40B4-BE49-F238E27FC236}">
                  <a16:creationId xmlns:a16="http://schemas.microsoft.com/office/drawing/2014/main" id="{5FC09D2F-BCCF-4326-B809-E49590C94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134</xdr:row>
          <xdr:rowOff>9525</xdr:rowOff>
        </xdr:from>
        <xdr:ext cx="800100" cy="476250"/>
        <xdr:sp macro="" textlink="">
          <xdr:nvSpPr>
            <xdr:cNvPr id="1158" name="Check Box 134" hidden="1">
              <a:extLst>
                <a:ext uri="{63B3BB69-23CF-44E3-9099-C40C66FF867C}">
                  <a14:compatExt spid="_x0000_s1158"/>
                </a:ext>
                <a:ext uri="{FF2B5EF4-FFF2-40B4-BE49-F238E27FC236}">
                  <a16:creationId xmlns:a16="http://schemas.microsoft.com/office/drawing/2014/main" id="{8DDEFFF2-0B9B-4BD0-9372-E7DAF80C30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135</xdr:row>
          <xdr:rowOff>9525</xdr:rowOff>
        </xdr:from>
        <xdr:ext cx="800100" cy="476250"/>
        <xdr:sp macro="" textlink="">
          <xdr:nvSpPr>
            <xdr:cNvPr id="1159" name="Check Box 135" hidden="1">
              <a:extLst>
                <a:ext uri="{63B3BB69-23CF-44E3-9099-C40C66FF867C}">
                  <a14:compatExt spid="_x0000_s1159"/>
                </a:ext>
                <a:ext uri="{FF2B5EF4-FFF2-40B4-BE49-F238E27FC236}">
                  <a16:creationId xmlns:a16="http://schemas.microsoft.com/office/drawing/2014/main" id="{42560023-B803-4E86-A25C-FA4B742936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136</xdr:row>
          <xdr:rowOff>9525</xdr:rowOff>
        </xdr:from>
        <xdr:ext cx="800100" cy="476250"/>
        <xdr:sp macro="" textlink="">
          <xdr:nvSpPr>
            <xdr:cNvPr id="1160" name="Check Box 136" hidden="1">
              <a:extLst>
                <a:ext uri="{63B3BB69-23CF-44E3-9099-C40C66FF867C}">
                  <a14:compatExt spid="_x0000_s1160"/>
                </a:ext>
                <a:ext uri="{FF2B5EF4-FFF2-40B4-BE49-F238E27FC236}">
                  <a16:creationId xmlns:a16="http://schemas.microsoft.com/office/drawing/2014/main" id="{6E2FA5C5-7F67-4EC9-B1DB-C759A6427E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137</xdr:row>
          <xdr:rowOff>9525</xdr:rowOff>
        </xdr:from>
        <xdr:ext cx="800100" cy="476250"/>
        <xdr:sp macro="" textlink="">
          <xdr:nvSpPr>
            <xdr:cNvPr id="1161" name="Check Box 137" hidden="1">
              <a:extLst>
                <a:ext uri="{63B3BB69-23CF-44E3-9099-C40C66FF867C}">
                  <a14:compatExt spid="_x0000_s1161"/>
                </a:ext>
                <a:ext uri="{FF2B5EF4-FFF2-40B4-BE49-F238E27FC236}">
                  <a16:creationId xmlns:a16="http://schemas.microsoft.com/office/drawing/2014/main" id="{DB4FC980-5F75-44B4-882D-5F88B636B2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138</xdr:row>
          <xdr:rowOff>9525</xdr:rowOff>
        </xdr:from>
        <xdr:ext cx="800100" cy="476250"/>
        <xdr:sp macro="" textlink="">
          <xdr:nvSpPr>
            <xdr:cNvPr id="1162" name="Check Box 138" hidden="1">
              <a:extLst>
                <a:ext uri="{63B3BB69-23CF-44E3-9099-C40C66FF867C}">
                  <a14:compatExt spid="_x0000_s1162"/>
                </a:ext>
                <a:ext uri="{FF2B5EF4-FFF2-40B4-BE49-F238E27FC236}">
                  <a16:creationId xmlns:a16="http://schemas.microsoft.com/office/drawing/2014/main" id="{5728D00B-2A47-4069-9975-CDB5DDF101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139</xdr:row>
          <xdr:rowOff>9525</xdr:rowOff>
        </xdr:from>
        <xdr:ext cx="800100" cy="476250"/>
        <xdr:sp macro="" textlink="">
          <xdr:nvSpPr>
            <xdr:cNvPr id="1163" name="Check Box 139" hidden="1">
              <a:extLst>
                <a:ext uri="{63B3BB69-23CF-44E3-9099-C40C66FF867C}">
                  <a14:compatExt spid="_x0000_s1163"/>
                </a:ext>
                <a:ext uri="{FF2B5EF4-FFF2-40B4-BE49-F238E27FC236}">
                  <a16:creationId xmlns:a16="http://schemas.microsoft.com/office/drawing/2014/main" id="{07DC6F6D-99EE-412C-BB8B-7853DEA8DAA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140</xdr:row>
          <xdr:rowOff>9525</xdr:rowOff>
        </xdr:from>
        <xdr:ext cx="800100" cy="476250"/>
        <xdr:sp macro="" textlink="">
          <xdr:nvSpPr>
            <xdr:cNvPr id="1164" name="Check Box 140" hidden="1">
              <a:extLst>
                <a:ext uri="{63B3BB69-23CF-44E3-9099-C40C66FF867C}">
                  <a14:compatExt spid="_x0000_s1164"/>
                </a:ext>
                <a:ext uri="{FF2B5EF4-FFF2-40B4-BE49-F238E27FC236}">
                  <a16:creationId xmlns:a16="http://schemas.microsoft.com/office/drawing/2014/main" id="{96B6CD7C-F304-43AE-BB16-F3586F6D054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141</xdr:row>
          <xdr:rowOff>9525</xdr:rowOff>
        </xdr:from>
        <xdr:ext cx="800100" cy="476250"/>
        <xdr:sp macro="" textlink="">
          <xdr:nvSpPr>
            <xdr:cNvPr id="1165" name="Check Box 141" hidden="1">
              <a:extLst>
                <a:ext uri="{63B3BB69-23CF-44E3-9099-C40C66FF867C}">
                  <a14:compatExt spid="_x0000_s1165"/>
                </a:ext>
                <a:ext uri="{FF2B5EF4-FFF2-40B4-BE49-F238E27FC236}">
                  <a16:creationId xmlns:a16="http://schemas.microsoft.com/office/drawing/2014/main" id="{9BEE16A8-7F35-4EC2-B153-F3D4AA18E6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142</xdr:row>
          <xdr:rowOff>9525</xdr:rowOff>
        </xdr:from>
        <xdr:ext cx="800100" cy="476250"/>
        <xdr:sp macro="" textlink="">
          <xdr:nvSpPr>
            <xdr:cNvPr id="1166" name="Check Box 142" hidden="1">
              <a:extLst>
                <a:ext uri="{63B3BB69-23CF-44E3-9099-C40C66FF867C}">
                  <a14:compatExt spid="_x0000_s1166"/>
                </a:ext>
                <a:ext uri="{FF2B5EF4-FFF2-40B4-BE49-F238E27FC236}">
                  <a16:creationId xmlns:a16="http://schemas.microsoft.com/office/drawing/2014/main" id="{F213095A-407C-4E9A-91AE-0A7A97D348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143</xdr:row>
          <xdr:rowOff>9525</xdr:rowOff>
        </xdr:from>
        <xdr:ext cx="800100" cy="476250"/>
        <xdr:sp macro="" textlink="">
          <xdr:nvSpPr>
            <xdr:cNvPr id="1167" name="Check Box 143" hidden="1">
              <a:extLst>
                <a:ext uri="{63B3BB69-23CF-44E3-9099-C40C66FF867C}">
                  <a14:compatExt spid="_x0000_s1167"/>
                </a:ext>
                <a:ext uri="{FF2B5EF4-FFF2-40B4-BE49-F238E27FC236}">
                  <a16:creationId xmlns:a16="http://schemas.microsoft.com/office/drawing/2014/main" id="{32E1C638-D4CD-4D11-802C-A1E71FC11C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144</xdr:row>
          <xdr:rowOff>9525</xdr:rowOff>
        </xdr:from>
        <xdr:ext cx="800100" cy="476250"/>
        <xdr:sp macro="" textlink="">
          <xdr:nvSpPr>
            <xdr:cNvPr id="1168" name="Check Box 144" hidden="1">
              <a:extLst>
                <a:ext uri="{63B3BB69-23CF-44E3-9099-C40C66FF867C}">
                  <a14:compatExt spid="_x0000_s1168"/>
                </a:ext>
                <a:ext uri="{FF2B5EF4-FFF2-40B4-BE49-F238E27FC236}">
                  <a16:creationId xmlns:a16="http://schemas.microsoft.com/office/drawing/2014/main" id="{C4EFC56A-2616-48C4-8190-B006E935D1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145</xdr:row>
          <xdr:rowOff>9525</xdr:rowOff>
        </xdr:from>
        <xdr:ext cx="800100" cy="476250"/>
        <xdr:sp macro="" textlink="">
          <xdr:nvSpPr>
            <xdr:cNvPr id="1169" name="Check Box 145" hidden="1">
              <a:extLst>
                <a:ext uri="{63B3BB69-23CF-44E3-9099-C40C66FF867C}">
                  <a14:compatExt spid="_x0000_s1169"/>
                </a:ext>
                <a:ext uri="{FF2B5EF4-FFF2-40B4-BE49-F238E27FC236}">
                  <a16:creationId xmlns:a16="http://schemas.microsoft.com/office/drawing/2014/main" id="{AAB5A56C-5FE7-4460-9FAD-18875F4473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146</xdr:row>
          <xdr:rowOff>9525</xdr:rowOff>
        </xdr:from>
        <xdr:ext cx="800100" cy="476250"/>
        <xdr:sp macro="" textlink="">
          <xdr:nvSpPr>
            <xdr:cNvPr id="1170" name="Check Box 146" hidden="1">
              <a:extLst>
                <a:ext uri="{63B3BB69-23CF-44E3-9099-C40C66FF867C}">
                  <a14:compatExt spid="_x0000_s1170"/>
                </a:ext>
                <a:ext uri="{FF2B5EF4-FFF2-40B4-BE49-F238E27FC236}">
                  <a16:creationId xmlns:a16="http://schemas.microsoft.com/office/drawing/2014/main" id="{27C2299D-E939-463F-BF3C-5C8D64DD05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147</xdr:row>
          <xdr:rowOff>9525</xdr:rowOff>
        </xdr:from>
        <xdr:ext cx="800100" cy="476250"/>
        <xdr:sp macro="" textlink="">
          <xdr:nvSpPr>
            <xdr:cNvPr id="1171" name="Check Box 147" hidden="1">
              <a:extLst>
                <a:ext uri="{63B3BB69-23CF-44E3-9099-C40C66FF867C}">
                  <a14:compatExt spid="_x0000_s1171"/>
                </a:ext>
                <a:ext uri="{FF2B5EF4-FFF2-40B4-BE49-F238E27FC236}">
                  <a16:creationId xmlns:a16="http://schemas.microsoft.com/office/drawing/2014/main" id="{B620301F-49F7-48C7-8F08-0FC8B0D579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148</xdr:row>
          <xdr:rowOff>9525</xdr:rowOff>
        </xdr:from>
        <xdr:ext cx="800100" cy="476250"/>
        <xdr:sp macro="" textlink="">
          <xdr:nvSpPr>
            <xdr:cNvPr id="1172" name="Check Box 148" hidden="1">
              <a:extLst>
                <a:ext uri="{63B3BB69-23CF-44E3-9099-C40C66FF867C}">
                  <a14:compatExt spid="_x0000_s1172"/>
                </a:ext>
                <a:ext uri="{FF2B5EF4-FFF2-40B4-BE49-F238E27FC236}">
                  <a16:creationId xmlns:a16="http://schemas.microsoft.com/office/drawing/2014/main" id="{33FA3399-E005-4A4C-8464-0B58357E40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149</xdr:row>
          <xdr:rowOff>9525</xdr:rowOff>
        </xdr:from>
        <xdr:ext cx="800100" cy="476250"/>
        <xdr:sp macro="" textlink="">
          <xdr:nvSpPr>
            <xdr:cNvPr id="1173" name="Check Box 149" hidden="1">
              <a:extLst>
                <a:ext uri="{63B3BB69-23CF-44E3-9099-C40C66FF867C}">
                  <a14:compatExt spid="_x0000_s1173"/>
                </a:ext>
                <a:ext uri="{FF2B5EF4-FFF2-40B4-BE49-F238E27FC236}">
                  <a16:creationId xmlns:a16="http://schemas.microsoft.com/office/drawing/2014/main" id="{AFE8F0C7-E501-43EF-814C-EE34B16A35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150</xdr:row>
          <xdr:rowOff>9525</xdr:rowOff>
        </xdr:from>
        <xdr:ext cx="800100" cy="476250"/>
        <xdr:sp macro="" textlink="">
          <xdr:nvSpPr>
            <xdr:cNvPr id="1174" name="Check Box 150" hidden="1">
              <a:extLst>
                <a:ext uri="{63B3BB69-23CF-44E3-9099-C40C66FF867C}">
                  <a14:compatExt spid="_x0000_s1174"/>
                </a:ext>
                <a:ext uri="{FF2B5EF4-FFF2-40B4-BE49-F238E27FC236}">
                  <a16:creationId xmlns:a16="http://schemas.microsoft.com/office/drawing/2014/main" id="{37B98B7E-5F61-42B6-8B56-2D9BC0FD29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151</xdr:row>
          <xdr:rowOff>9525</xdr:rowOff>
        </xdr:from>
        <xdr:ext cx="800100" cy="476250"/>
        <xdr:sp macro="" textlink="">
          <xdr:nvSpPr>
            <xdr:cNvPr id="1175" name="Check Box 151" hidden="1">
              <a:extLst>
                <a:ext uri="{63B3BB69-23CF-44E3-9099-C40C66FF867C}">
                  <a14:compatExt spid="_x0000_s1175"/>
                </a:ext>
                <a:ext uri="{FF2B5EF4-FFF2-40B4-BE49-F238E27FC236}">
                  <a16:creationId xmlns:a16="http://schemas.microsoft.com/office/drawing/2014/main" id="{FB43E67D-B825-4ED2-8641-89CB7842B9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152</xdr:row>
          <xdr:rowOff>9525</xdr:rowOff>
        </xdr:from>
        <xdr:ext cx="800100" cy="476250"/>
        <xdr:sp macro="" textlink="">
          <xdr:nvSpPr>
            <xdr:cNvPr id="1176" name="Check Box 152" hidden="1">
              <a:extLst>
                <a:ext uri="{63B3BB69-23CF-44E3-9099-C40C66FF867C}">
                  <a14:compatExt spid="_x0000_s1176"/>
                </a:ext>
                <a:ext uri="{FF2B5EF4-FFF2-40B4-BE49-F238E27FC236}">
                  <a16:creationId xmlns:a16="http://schemas.microsoft.com/office/drawing/2014/main" id="{5D12E3C7-E6BC-4C0B-8424-4B9DC1246A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153</xdr:row>
          <xdr:rowOff>9525</xdr:rowOff>
        </xdr:from>
        <xdr:ext cx="800100" cy="476250"/>
        <xdr:sp macro="" textlink="">
          <xdr:nvSpPr>
            <xdr:cNvPr id="1177" name="Check Box 153" hidden="1">
              <a:extLst>
                <a:ext uri="{63B3BB69-23CF-44E3-9099-C40C66FF867C}">
                  <a14:compatExt spid="_x0000_s1177"/>
                </a:ext>
                <a:ext uri="{FF2B5EF4-FFF2-40B4-BE49-F238E27FC236}">
                  <a16:creationId xmlns:a16="http://schemas.microsoft.com/office/drawing/2014/main" id="{F418CF76-6A76-4E38-BBD4-78279BEF42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154</xdr:row>
          <xdr:rowOff>9525</xdr:rowOff>
        </xdr:from>
        <xdr:ext cx="800100" cy="476250"/>
        <xdr:sp macro="" textlink="">
          <xdr:nvSpPr>
            <xdr:cNvPr id="1178" name="Check Box 154" hidden="1">
              <a:extLst>
                <a:ext uri="{63B3BB69-23CF-44E3-9099-C40C66FF867C}">
                  <a14:compatExt spid="_x0000_s1178"/>
                </a:ext>
                <a:ext uri="{FF2B5EF4-FFF2-40B4-BE49-F238E27FC236}">
                  <a16:creationId xmlns:a16="http://schemas.microsoft.com/office/drawing/2014/main" id="{FDF7BD55-EE25-42A3-8109-B95487CC78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155</xdr:row>
          <xdr:rowOff>9525</xdr:rowOff>
        </xdr:from>
        <xdr:ext cx="800100" cy="476250"/>
        <xdr:sp macro="" textlink="">
          <xdr:nvSpPr>
            <xdr:cNvPr id="1179" name="Check Box 155" hidden="1">
              <a:extLst>
                <a:ext uri="{63B3BB69-23CF-44E3-9099-C40C66FF867C}">
                  <a14:compatExt spid="_x0000_s1179"/>
                </a:ext>
                <a:ext uri="{FF2B5EF4-FFF2-40B4-BE49-F238E27FC236}">
                  <a16:creationId xmlns:a16="http://schemas.microsoft.com/office/drawing/2014/main" id="{D6BBD9BE-DF5D-439D-9F99-CD67F4FCE2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156</xdr:row>
          <xdr:rowOff>9525</xdr:rowOff>
        </xdr:from>
        <xdr:ext cx="800100" cy="476250"/>
        <xdr:sp macro="" textlink="">
          <xdr:nvSpPr>
            <xdr:cNvPr id="1180" name="Check Box 156" hidden="1">
              <a:extLst>
                <a:ext uri="{63B3BB69-23CF-44E3-9099-C40C66FF867C}">
                  <a14:compatExt spid="_x0000_s1180"/>
                </a:ext>
                <a:ext uri="{FF2B5EF4-FFF2-40B4-BE49-F238E27FC236}">
                  <a16:creationId xmlns:a16="http://schemas.microsoft.com/office/drawing/2014/main" id="{4C4FAE94-C0F5-49B6-BAF2-97428F25D7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157</xdr:row>
          <xdr:rowOff>9525</xdr:rowOff>
        </xdr:from>
        <xdr:ext cx="800100" cy="476250"/>
        <xdr:sp macro="" textlink="">
          <xdr:nvSpPr>
            <xdr:cNvPr id="1181" name="Check Box 157" hidden="1">
              <a:extLst>
                <a:ext uri="{63B3BB69-23CF-44E3-9099-C40C66FF867C}">
                  <a14:compatExt spid="_x0000_s1181"/>
                </a:ext>
                <a:ext uri="{FF2B5EF4-FFF2-40B4-BE49-F238E27FC236}">
                  <a16:creationId xmlns:a16="http://schemas.microsoft.com/office/drawing/2014/main" id="{64B5B2F6-705B-48CB-8FEA-9FDA41E314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158</xdr:row>
          <xdr:rowOff>9525</xdr:rowOff>
        </xdr:from>
        <xdr:ext cx="800100" cy="476250"/>
        <xdr:sp macro="" textlink="">
          <xdr:nvSpPr>
            <xdr:cNvPr id="1182" name="Check Box 158" hidden="1">
              <a:extLst>
                <a:ext uri="{63B3BB69-23CF-44E3-9099-C40C66FF867C}">
                  <a14:compatExt spid="_x0000_s1182"/>
                </a:ext>
                <a:ext uri="{FF2B5EF4-FFF2-40B4-BE49-F238E27FC236}">
                  <a16:creationId xmlns:a16="http://schemas.microsoft.com/office/drawing/2014/main" id="{F5ECA58B-81E9-4C49-BAF4-BD16420D34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159</xdr:row>
          <xdr:rowOff>9525</xdr:rowOff>
        </xdr:from>
        <xdr:ext cx="800100" cy="476250"/>
        <xdr:sp macro="" textlink="">
          <xdr:nvSpPr>
            <xdr:cNvPr id="1183" name="Check Box 159" hidden="1">
              <a:extLst>
                <a:ext uri="{63B3BB69-23CF-44E3-9099-C40C66FF867C}">
                  <a14:compatExt spid="_x0000_s1183"/>
                </a:ext>
                <a:ext uri="{FF2B5EF4-FFF2-40B4-BE49-F238E27FC236}">
                  <a16:creationId xmlns:a16="http://schemas.microsoft.com/office/drawing/2014/main" id="{78A9BAEC-C1FB-4013-977D-E31448AE36B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160</xdr:row>
          <xdr:rowOff>9525</xdr:rowOff>
        </xdr:from>
        <xdr:ext cx="800100" cy="476250"/>
        <xdr:sp macro="" textlink="">
          <xdr:nvSpPr>
            <xdr:cNvPr id="1184" name="Check Box 160" hidden="1">
              <a:extLst>
                <a:ext uri="{63B3BB69-23CF-44E3-9099-C40C66FF867C}">
                  <a14:compatExt spid="_x0000_s1184"/>
                </a:ext>
                <a:ext uri="{FF2B5EF4-FFF2-40B4-BE49-F238E27FC236}">
                  <a16:creationId xmlns:a16="http://schemas.microsoft.com/office/drawing/2014/main" id="{E557EEB4-D94C-4844-8794-333EA510EA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161</xdr:row>
          <xdr:rowOff>9525</xdr:rowOff>
        </xdr:from>
        <xdr:ext cx="800100" cy="476250"/>
        <xdr:sp macro="" textlink="">
          <xdr:nvSpPr>
            <xdr:cNvPr id="1185" name="Check Box 161" hidden="1">
              <a:extLst>
                <a:ext uri="{63B3BB69-23CF-44E3-9099-C40C66FF867C}">
                  <a14:compatExt spid="_x0000_s1185"/>
                </a:ext>
                <a:ext uri="{FF2B5EF4-FFF2-40B4-BE49-F238E27FC236}">
                  <a16:creationId xmlns:a16="http://schemas.microsoft.com/office/drawing/2014/main" id="{69B91AF8-7841-4559-8571-B207266F83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162</xdr:row>
          <xdr:rowOff>9525</xdr:rowOff>
        </xdr:from>
        <xdr:ext cx="800100" cy="476250"/>
        <xdr:sp macro="" textlink="">
          <xdr:nvSpPr>
            <xdr:cNvPr id="1186" name="Check Box 162" hidden="1">
              <a:extLst>
                <a:ext uri="{63B3BB69-23CF-44E3-9099-C40C66FF867C}">
                  <a14:compatExt spid="_x0000_s1186"/>
                </a:ext>
                <a:ext uri="{FF2B5EF4-FFF2-40B4-BE49-F238E27FC236}">
                  <a16:creationId xmlns:a16="http://schemas.microsoft.com/office/drawing/2014/main" id="{D3D7CA79-6ADB-4C35-A553-36FFB0FFE8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163</xdr:row>
          <xdr:rowOff>9525</xdr:rowOff>
        </xdr:from>
        <xdr:ext cx="800100" cy="476250"/>
        <xdr:sp macro="" textlink="">
          <xdr:nvSpPr>
            <xdr:cNvPr id="1187" name="Check Box 163" hidden="1">
              <a:extLst>
                <a:ext uri="{63B3BB69-23CF-44E3-9099-C40C66FF867C}">
                  <a14:compatExt spid="_x0000_s1187"/>
                </a:ext>
                <a:ext uri="{FF2B5EF4-FFF2-40B4-BE49-F238E27FC236}">
                  <a16:creationId xmlns:a16="http://schemas.microsoft.com/office/drawing/2014/main" id="{2B21F2D0-6947-44C8-98D0-03E0DE113F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164</xdr:row>
          <xdr:rowOff>9525</xdr:rowOff>
        </xdr:from>
        <xdr:ext cx="800100" cy="476250"/>
        <xdr:sp macro="" textlink="">
          <xdr:nvSpPr>
            <xdr:cNvPr id="1188" name="Check Box 164" hidden="1">
              <a:extLst>
                <a:ext uri="{63B3BB69-23CF-44E3-9099-C40C66FF867C}">
                  <a14:compatExt spid="_x0000_s1188"/>
                </a:ext>
                <a:ext uri="{FF2B5EF4-FFF2-40B4-BE49-F238E27FC236}">
                  <a16:creationId xmlns:a16="http://schemas.microsoft.com/office/drawing/2014/main" id="{A3B39FCC-DCCF-4C56-8DE8-47F10008F9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165</xdr:row>
          <xdr:rowOff>9525</xdr:rowOff>
        </xdr:from>
        <xdr:ext cx="800100" cy="476250"/>
        <xdr:sp macro="" textlink="">
          <xdr:nvSpPr>
            <xdr:cNvPr id="1189" name="Check Box 165" hidden="1">
              <a:extLst>
                <a:ext uri="{63B3BB69-23CF-44E3-9099-C40C66FF867C}">
                  <a14:compatExt spid="_x0000_s1189"/>
                </a:ext>
                <a:ext uri="{FF2B5EF4-FFF2-40B4-BE49-F238E27FC236}">
                  <a16:creationId xmlns:a16="http://schemas.microsoft.com/office/drawing/2014/main" id="{8052A4F2-1A16-40E5-BAFC-F7CDC3866C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166</xdr:row>
          <xdr:rowOff>9525</xdr:rowOff>
        </xdr:from>
        <xdr:ext cx="800100" cy="476250"/>
        <xdr:sp macro="" textlink="">
          <xdr:nvSpPr>
            <xdr:cNvPr id="1190" name="Check Box 166" hidden="1">
              <a:extLst>
                <a:ext uri="{63B3BB69-23CF-44E3-9099-C40C66FF867C}">
                  <a14:compatExt spid="_x0000_s1190"/>
                </a:ext>
                <a:ext uri="{FF2B5EF4-FFF2-40B4-BE49-F238E27FC236}">
                  <a16:creationId xmlns:a16="http://schemas.microsoft.com/office/drawing/2014/main" id="{CB1F8153-48F6-40CA-B810-0A92732EEA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167</xdr:row>
          <xdr:rowOff>9525</xdr:rowOff>
        </xdr:from>
        <xdr:ext cx="800100" cy="476250"/>
        <xdr:sp macro="" textlink="">
          <xdr:nvSpPr>
            <xdr:cNvPr id="1191" name="Check Box 167" hidden="1">
              <a:extLst>
                <a:ext uri="{63B3BB69-23CF-44E3-9099-C40C66FF867C}">
                  <a14:compatExt spid="_x0000_s1191"/>
                </a:ext>
                <a:ext uri="{FF2B5EF4-FFF2-40B4-BE49-F238E27FC236}">
                  <a16:creationId xmlns:a16="http://schemas.microsoft.com/office/drawing/2014/main" id="{06A293D6-A6BD-4FA6-B13C-893AAE500C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168</xdr:row>
          <xdr:rowOff>9525</xdr:rowOff>
        </xdr:from>
        <xdr:ext cx="800100" cy="476250"/>
        <xdr:sp macro="" textlink="">
          <xdr:nvSpPr>
            <xdr:cNvPr id="1192" name="Check Box 168" hidden="1">
              <a:extLst>
                <a:ext uri="{63B3BB69-23CF-44E3-9099-C40C66FF867C}">
                  <a14:compatExt spid="_x0000_s1192"/>
                </a:ext>
                <a:ext uri="{FF2B5EF4-FFF2-40B4-BE49-F238E27FC236}">
                  <a16:creationId xmlns:a16="http://schemas.microsoft.com/office/drawing/2014/main" id="{B9ECEAD0-71B4-4ED7-9DE1-F42EBA682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169</xdr:row>
          <xdr:rowOff>9525</xdr:rowOff>
        </xdr:from>
        <xdr:ext cx="800100" cy="476250"/>
        <xdr:sp macro="" textlink="">
          <xdr:nvSpPr>
            <xdr:cNvPr id="1193" name="Check Box 169" hidden="1">
              <a:extLst>
                <a:ext uri="{63B3BB69-23CF-44E3-9099-C40C66FF867C}">
                  <a14:compatExt spid="_x0000_s1193"/>
                </a:ext>
                <a:ext uri="{FF2B5EF4-FFF2-40B4-BE49-F238E27FC236}">
                  <a16:creationId xmlns:a16="http://schemas.microsoft.com/office/drawing/2014/main" id="{25B04316-3645-40F5-8D61-B506F3576C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170</xdr:row>
          <xdr:rowOff>9525</xdr:rowOff>
        </xdr:from>
        <xdr:ext cx="800100" cy="476250"/>
        <xdr:sp macro="" textlink="">
          <xdr:nvSpPr>
            <xdr:cNvPr id="1194" name="Check Box 170" hidden="1">
              <a:extLst>
                <a:ext uri="{63B3BB69-23CF-44E3-9099-C40C66FF867C}">
                  <a14:compatExt spid="_x0000_s1194"/>
                </a:ext>
                <a:ext uri="{FF2B5EF4-FFF2-40B4-BE49-F238E27FC236}">
                  <a16:creationId xmlns:a16="http://schemas.microsoft.com/office/drawing/2014/main" id="{33E5465A-CF7A-45C2-A811-A3CB5A033E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171</xdr:row>
          <xdr:rowOff>9525</xdr:rowOff>
        </xdr:from>
        <xdr:ext cx="800100" cy="476250"/>
        <xdr:sp macro="" textlink="">
          <xdr:nvSpPr>
            <xdr:cNvPr id="1195" name="Check Box 171" hidden="1">
              <a:extLst>
                <a:ext uri="{63B3BB69-23CF-44E3-9099-C40C66FF867C}">
                  <a14:compatExt spid="_x0000_s1195"/>
                </a:ext>
                <a:ext uri="{FF2B5EF4-FFF2-40B4-BE49-F238E27FC236}">
                  <a16:creationId xmlns:a16="http://schemas.microsoft.com/office/drawing/2014/main" id="{BD4450F3-DBFF-43C2-9F97-27BF91A8CBF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172</xdr:row>
          <xdr:rowOff>9525</xdr:rowOff>
        </xdr:from>
        <xdr:ext cx="800100" cy="476250"/>
        <xdr:sp macro="" textlink="">
          <xdr:nvSpPr>
            <xdr:cNvPr id="1196" name="Check Box 172" hidden="1">
              <a:extLst>
                <a:ext uri="{63B3BB69-23CF-44E3-9099-C40C66FF867C}">
                  <a14:compatExt spid="_x0000_s1196"/>
                </a:ext>
                <a:ext uri="{FF2B5EF4-FFF2-40B4-BE49-F238E27FC236}">
                  <a16:creationId xmlns:a16="http://schemas.microsoft.com/office/drawing/2014/main" id="{9E0B1CCA-380E-4E43-88BA-95F40978B5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173</xdr:row>
          <xdr:rowOff>9525</xdr:rowOff>
        </xdr:from>
        <xdr:ext cx="800100" cy="476250"/>
        <xdr:sp macro="" textlink="">
          <xdr:nvSpPr>
            <xdr:cNvPr id="1197" name="Check Box 173" hidden="1">
              <a:extLst>
                <a:ext uri="{63B3BB69-23CF-44E3-9099-C40C66FF867C}">
                  <a14:compatExt spid="_x0000_s1197"/>
                </a:ext>
                <a:ext uri="{FF2B5EF4-FFF2-40B4-BE49-F238E27FC236}">
                  <a16:creationId xmlns:a16="http://schemas.microsoft.com/office/drawing/2014/main" id="{77666863-C55D-44B6-9D6A-4ED4F75D39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174</xdr:row>
          <xdr:rowOff>9525</xdr:rowOff>
        </xdr:from>
        <xdr:ext cx="800100" cy="476250"/>
        <xdr:sp macro="" textlink="">
          <xdr:nvSpPr>
            <xdr:cNvPr id="1198" name="Check Box 174" hidden="1">
              <a:extLst>
                <a:ext uri="{63B3BB69-23CF-44E3-9099-C40C66FF867C}">
                  <a14:compatExt spid="_x0000_s1198"/>
                </a:ext>
                <a:ext uri="{FF2B5EF4-FFF2-40B4-BE49-F238E27FC236}">
                  <a16:creationId xmlns:a16="http://schemas.microsoft.com/office/drawing/2014/main" id="{7C95BA8B-48A9-4A74-B92A-52F7B292E9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175</xdr:row>
          <xdr:rowOff>9525</xdr:rowOff>
        </xdr:from>
        <xdr:ext cx="800100" cy="476250"/>
        <xdr:sp macro="" textlink="">
          <xdr:nvSpPr>
            <xdr:cNvPr id="1199" name="Check Box 175" hidden="1">
              <a:extLst>
                <a:ext uri="{63B3BB69-23CF-44E3-9099-C40C66FF867C}">
                  <a14:compatExt spid="_x0000_s1199"/>
                </a:ext>
                <a:ext uri="{FF2B5EF4-FFF2-40B4-BE49-F238E27FC236}">
                  <a16:creationId xmlns:a16="http://schemas.microsoft.com/office/drawing/2014/main" id="{FD3DF18F-9CEF-4975-9D43-E4DB6D78FE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176</xdr:row>
          <xdr:rowOff>9525</xdr:rowOff>
        </xdr:from>
        <xdr:ext cx="800100" cy="476250"/>
        <xdr:sp macro="" textlink="">
          <xdr:nvSpPr>
            <xdr:cNvPr id="1200" name="Check Box 176" hidden="1">
              <a:extLst>
                <a:ext uri="{63B3BB69-23CF-44E3-9099-C40C66FF867C}">
                  <a14:compatExt spid="_x0000_s1200"/>
                </a:ext>
                <a:ext uri="{FF2B5EF4-FFF2-40B4-BE49-F238E27FC236}">
                  <a16:creationId xmlns:a16="http://schemas.microsoft.com/office/drawing/2014/main" id="{60DE9C34-53DB-4595-B9F3-EB283F5D18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177</xdr:row>
          <xdr:rowOff>9525</xdr:rowOff>
        </xdr:from>
        <xdr:ext cx="800100" cy="476250"/>
        <xdr:sp macro="" textlink="">
          <xdr:nvSpPr>
            <xdr:cNvPr id="1201" name="Check Box 177" hidden="1">
              <a:extLst>
                <a:ext uri="{63B3BB69-23CF-44E3-9099-C40C66FF867C}">
                  <a14:compatExt spid="_x0000_s1201"/>
                </a:ext>
                <a:ext uri="{FF2B5EF4-FFF2-40B4-BE49-F238E27FC236}">
                  <a16:creationId xmlns:a16="http://schemas.microsoft.com/office/drawing/2014/main" id="{7B824672-2AF9-4393-A790-C4B385EE6F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178</xdr:row>
          <xdr:rowOff>9525</xdr:rowOff>
        </xdr:from>
        <xdr:ext cx="800100" cy="476250"/>
        <xdr:sp macro="" textlink="">
          <xdr:nvSpPr>
            <xdr:cNvPr id="1202" name="Check Box 178" hidden="1">
              <a:extLst>
                <a:ext uri="{63B3BB69-23CF-44E3-9099-C40C66FF867C}">
                  <a14:compatExt spid="_x0000_s1202"/>
                </a:ext>
                <a:ext uri="{FF2B5EF4-FFF2-40B4-BE49-F238E27FC236}">
                  <a16:creationId xmlns:a16="http://schemas.microsoft.com/office/drawing/2014/main" id="{351CAAAA-FE4D-48FA-B6F2-FECF5D04C4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179</xdr:row>
          <xdr:rowOff>9525</xdr:rowOff>
        </xdr:from>
        <xdr:ext cx="800100" cy="476250"/>
        <xdr:sp macro="" textlink="">
          <xdr:nvSpPr>
            <xdr:cNvPr id="1203" name="Check Box 179" hidden="1">
              <a:extLst>
                <a:ext uri="{63B3BB69-23CF-44E3-9099-C40C66FF867C}">
                  <a14:compatExt spid="_x0000_s1203"/>
                </a:ext>
                <a:ext uri="{FF2B5EF4-FFF2-40B4-BE49-F238E27FC236}">
                  <a16:creationId xmlns:a16="http://schemas.microsoft.com/office/drawing/2014/main" id="{E504DA6E-F231-43B0-9201-0B6655AE85D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180</xdr:row>
          <xdr:rowOff>9525</xdr:rowOff>
        </xdr:from>
        <xdr:ext cx="800100" cy="476250"/>
        <xdr:sp macro="" textlink="">
          <xdr:nvSpPr>
            <xdr:cNvPr id="1204" name="Check Box 180" hidden="1">
              <a:extLst>
                <a:ext uri="{63B3BB69-23CF-44E3-9099-C40C66FF867C}">
                  <a14:compatExt spid="_x0000_s1204"/>
                </a:ext>
                <a:ext uri="{FF2B5EF4-FFF2-40B4-BE49-F238E27FC236}">
                  <a16:creationId xmlns:a16="http://schemas.microsoft.com/office/drawing/2014/main" id="{7FB79D42-9100-4471-B9B0-52DF63DDA2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181</xdr:row>
          <xdr:rowOff>9525</xdr:rowOff>
        </xdr:from>
        <xdr:ext cx="800100" cy="476250"/>
        <xdr:sp macro="" textlink="">
          <xdr:nvSpPr>
            <xdr:cNvPr id="1205" name="Check Box 181" hidden="1">
              <a:extLst>
                <a:ext uri="{63B3BB69-23CF-44E3-9099-C40C66FF867C}">
                  <a14:compatExt spid="_x0000_s1205"/>
                </a:ext>
                <a:ext uri="{FF2B5EF4-FFF2-40B4-BE49-F238E27FC236}">
                  <a16:creationId xmlns:a16="http://schemas.microsoft.com/office/drawing/2014/main" id="{D1B5805A-C4F8-4B3D-B241-49010A03B5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182</xdr:row>
          <xdr:rowOff>9525</xdr:rowOff>
        </xdr:from>
        <xdr:ext cx="800100" cy="476250"/>
        <xdr:sp macro="" textlink="">
          <xdr:nvSpPr>
            <xdr:cNvPr id="1206" name="Check Box 182" hidden="1">
              <a:extLst>
                <a:ext uri="{63B3BB69-23CF-44E3-9099-C40C66FF867C}">
                  <a14:compatExt spid="_x0000_s1206"/>
                </a:ext>
                <a:ext uri="{FF2B5EF4-FFF2-40B4-BE49-F238E27FC236}">
                  <a16:creationId xmlns:a16="http://schemas.microsoft.com/office/drawing/2014/main" id="{BB05B95B-3810-4200-9E9F-229F289FDF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183</xdr:row>
          <xdr:rowOff>9525</xdr:rowOff>
        </xdr:from>
        <xdr:ext cx="800100" cy="476250"/>
        <xdr:sp macro="" textlink="">
          <xdr:nvSpPr>
            <xdr:cNvPr id="1207" name="Check Box 183" hidden="1">
              <a:extLst>
                <a:ext uri="{63B3BB69-23CF-44E3-9099-C40C66FF867C}">
                  <a14:compatExt spid="_x0000_s1207"/>
                </a:ext>
                <a:ext uri="{FF2B5EF4-FFF2-40B4-BE49-F238E27FC236}">
                  <a16:creationId xmlns:a16="http://schemas.microsoft.com/office/drawing/2014/main" id="{94CEADA2-7EF7-4F22-B3CE-82CB56F7E1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184</xdr:row>
          <xdr:rowOff>9525</xdr:rowOff>
        </xdr:from>
        <xdr:ext cx="800100" cy="476250"/>
        <xdr:sp macro="" textlink="">
          <xdr:nvSpPr>
            <xdr:cNvPr id="1208" name="Check Box 184" hidden="1">
              <a:extLst>
                <a:ext uri="{63B3BB69-23CF-44E3-9099-C40C66FF867C}">
                  <a14:compatExt spid="_x0000_s1208"/>
                </a:ext>
                <a:ext uri="{FF2B5EF4-FFF2-40B4-BE49-F238E27FC236}">
                  <a16:creationId xmlns:a16="http://schemas.microsoft.com/office/drawing/2014/main" id="{5A83BBA0-3E95-4635-BB7B-745A0DBDFF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185</xdr:row>
          <xdr:rowOff>9525</xdr:rowOff>
        </xdr:from>
        <xdr:ext cx="800100" cy="476250"/>
        <xdr:sp macro="" textlink="">
          <xdr:nvSpPr>
            <xdr:cNvPr id="1209" name="Check Box 185" hidden="1">
              <a:extLst>
                <a:ext uri="{63B3BB69-23CF-44E3-9099-C40C66FF867C}">
                  <a14:compatExt spid="_x0000_s1209"/>
                </a:ext>
                <a:ext uri="{FF2B5EF4-FFF2-40B4-BE49-F238E27FC236}">
                  <a16:creationId xmlns:a16="http://schemas.microsoft.com/office/drawing/2014/main" id="{E83F492C-5E51-4C6D-9E6F-B8ACB3EA60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186</xdr:row>
          <xdr:rowOff>9525</xdr:rowOff>
        </xdr:from>
        <xdr:ext cx="800100" cy="476250"/>
        <xdr:sp macro="" textlink="">
          <xdr:nvSpPr>
            <xdr:cNvPr id="1210" name="Check Box 186" hidden="1">
              <a:extLst>
                <a:ext uri="{63B3BB69-23CF-44E3-9099-C40C66FF867C}">
                  <a14:compatExt spid="_x0000_s1210"/>
                </a:ext>
                <a:ext uri="{FF2B5EF4-FFF2-40B4-BE49-F238E27FC236}">
                  <a16:creationId xmlns:a16="http://schemas.microsoft.com/office/drawing/2014/main" id="{5767FA98-4AE2-4796-A49A-C5D9C249ED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187</xdr:row>
          <xdr:rowOff>9525</xdr:rowOff>
        </xdr:from>
        <xdr:ext cx="800100" cy="476250"/>
        <xdr:sp macro="" textlink="">
          <xdr:nvSpPr>
            <xdr:cNvPr id="1211" name="Check Box 187" hidden="1">
              <a:extLst>
                <a:ext uri="{63B3BB69-23CF-44E3-9099-C40C66FF867C}">
                  <a14:compatExt spid="_x0000_s1211"/>
                </a:ext>
                <a:ext uri="{FF2B5EF4-FFF2-40B4-BE49-F238E27FC236}">
                  <a16:creationId xmlns:a16="http://schemas.microsoft.com/office/drawing/2014/main" id="{90C34C36-0C17-46A1-82F5-6BDF735488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188</xdr:row>
          <xdr:rowOff>9525</xdr:rowOff>
        </xdr:from>
        <xdr:ext cx="800100" cy="476250"/>
        <xdr:sp macro="" textlink="">
          <xdr:nvSpPr>
            <xdr:cNvPr id="1212" name="Check Box 188" hidden="1">
              <a:extLst>
                <a:ext uri="{63B3BB69-23CF-44E3-9099-C40C66FF867C}">
                  <a14:compatExt spid="_x0000_s1212"/>
                </a:ext>
                <a:ext uri="{FF2B5EF4-FFF2-40B4-BE49-F238E27FC236}">
                  <a16:creationId xmlns:a16="http://schemas.microsoft.com/office/drawing/2014/main" id="{2E586F79-9375-449B-A598-6265D0A002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189</xdr:row>
          <xdr:rowOff>9525</xdr:rowOff>
        </xdr:from>
        <xdr:ext cx="800100" cy="476250"/>
        <xdr:sp macro="" textlink="">
          <xdr:nvSpPr>
            <xdr:cNvPr id="1213" name="Check Box 189" hidden="1">
              <a:extLst>
                <a:ext uri="{63B3BB69-23CF-44E3-9099-C40C66FF867C}">
                  <a14:compatExt spid="_x0000_s1213"/>
                </a:ext>
                <a:ext uri="{FF2B5EF4-FFF2-40B4-BE49-F238E27FC236}">
                  <a16:creationId xmlns:a16="http://schemas.microsoft.com/office/drawing/2014/main" id="{ED9E0002-53AE-4CAE-B353-8FC7DA4D0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190</xdr:row>
          <xdr:rowOff>9525</xdr:rowOff>
        </xdr:from>
        <xdr:ext cx="800100" cy="476250"/>
        <xdr:sp macro="" textlink="">
          <xdr:nvSpPr>
            <xdr:cNvPr id="1214" name="Check Box 190" hidden="1">
              <a:extLst>
                <a:ext uri="{63B3BB69-23CF-44E3-9099-C40C66FF867C}">
                  <a14:compatExt spid="_x0000_s1214"/>
                </a:ext>
                <a:ext uri="{FF2B5EF4-FFF2-40B4-BE49-F238E27FC236}">
                  <a16:creationId xmlns:a16="http://schemas.microsoft.com/office/drawing/2014/main" id="{28830D44-BD15-4B21-AD06-F18BB8AEF1F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191</xdr:row>
          <xdr:rowOff>9525</xdr:rowOff>
        </xdr:from>
        <xdr:ext cx="800100" cy="476250"/>
        <xdr:sp macro="" textlink="">
          <xdr:nvSpPr>
            <xdr:cNvPr id="1215" name="Check Box 191" hidden="1">
              <a:extLst>
                <a:ext uri="{63B3BB69-23CF-44E3-9099-C40C66FF867C}">
                  <a14:compatExt spid="_x0000_s1215"/>
                </a:ext>
                <a:ext uri="{FF2B5EF4-FFF2-40B4-BE49-F238E27FC236}">
                  <a16:creationId xmlns:a16="http://schemas.microsoft.com/office/drawing/2014/main" id="{D67E17CA-5131-44B4-ADBF-4EC959887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192</xdr:row>
          <xdr:rowOff>9525</xdr:rowOff>
        </xdr:from>
        <xdr:ext cx="800100" cy="476250"/>
        <xdr:sp macro="" textlink="">
          <xdr:nvSpPr>
            <xdr:cNvPr id="1216" name="Check Box 192" hidden="1">
              <a:extLst>
                <a:ext uri="{63B3BB69-23CF-44E3-9099-C40C66FF867C}">
                  <a14:compatExt spid="_x0000_s1216"/>
                </a:ext>
                <a:ext uri="{FF2B5EF4-FFF2-40B4-BE49-F238E27FC236}">
                  <a16:creationId xmlns:a16="http://schemas.microsoft.com/office/drawing/2014/main" id="{DEBAA2B2-1EAF-44D4-9DD5-37BB2CDCAE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193</xdr:row>
          <xdr:rowOff>9525</xdr:rowOff>
        </xdr:from>
        <xdr:ext cx="800100" cy="476250"/>
        <xdr:sp macro="" textlink="">
          <xdr:nvSpPr>
            <xdr:cNvPr id="1217" name="Check Box 193" hidden="1">
              <a:extLst>
                <a:ext uri="{63B3BB69-23CF-44E3-9099-C40C66FF867C}">
                  <a14:compatExt spid="_x0000_s1217"/>
                </a:ext>
                <a:ext uri="{FF2B5EF4-FFF2-40B4-BE49-F238E27FC236}">
                  <a16:creationId xmlns:a16="http://schemas.microsoft.com/office/drawing/2014/main" id="{68681471-0E3C-4962-A1AD-0B68B98350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194</xdr:row>
          <xdr:rowOff>9525</xdr:rowOff>
        </xdr:from>
        <xdr:ext cx="800100" cy="476250"/>
        <xdr:sp macro="" textlink="">
          <xdr:nvSpPr>
            <xdr:cNvPr id="1218" name="Check Box 194" hidden="1">
              <a:extLst>
                <a:ext uri="{63B3BB69-23CF-44E3-9099-C40C66FF867C}">
                  <a14:compatExt spid="_x0000_s1218"/>
                </a:ext>
                <a:ext uri="{FF2B5EF4-FFF2-40B4-BE49-F238E27FC236}">
                  <a16:creationId xmlns:a16="http://schemas.microsoft.com/office/drawing/2014/main" id="{85E2BB8D-1209-4CD7-BE56-C62BAD8C64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195</xdr:row>
          <xdr:rowOff>9525</xdr:rowOff>
        </xdr:from>
        <xdr:ext cx="800100" cy="476250"/>
        <xdr:sp macro="" textlink="">
          <xdr:nvSpPr>
            <xdr:cNvPr id="1219" name="Check Box 195" hidden="1">
              <a:extLst>
                <a:ext uri="{63B3BB69-23CF-44E3-9099-C40C66FF867C}">
                  <a14:compatExt spid="_x0000_s1219"/>
                </a:ext>
                <a:ext uri="{FF2B5EF4-FFF2-40B4-BE49-F238E27FC236}">
                  <a16:creationId xmlns:a16="http://schemas.microsoft.com/office/drawing/2014/main" id="{46B8C4D0-510F-49EC-B569-B952C62304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196</xdr:row>
          <xdr:rowOff>9525</xdr:rowOff>
        </xdr:from>
        <xdr:ext cx="800100" cy="476250"/>
        <xdr:sp macro="" textlink="">
          <xdr:nvSpPr>
            <xdr:cNvPr id="1220" name="Check Box 196" hidden="1">
              <a:extLst>
                <a:ext uri="{63B3BB69-23CF-44E3-9099-C40C66FF867C}">
                  <a14:compatExt spid="_x0000_s1220"/>
                </a:ext>
                <a:ext uri="{FF2B5EF4-FFF2-40B4-BE49-F238E27FC236}">
                  <a16:creationId xmlns:a16="http://schemas.microsoft.com/office/drawing/2014/main" id="{486733BE-2282-4BB7-ABF3-C742A80EF6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197</xdr:row>
          <xdr:rowOff>9525</xdr:rowOff>
        </xdr:from>
        <xdr:ext cx="800100" cy="476250"/>
        <xdr:sp macro="" textlink="">
          <xdr:nvSpPr>
            <xdr:cNvPr id="1221" name="Check Box 197" hidden="1">
              <a:extLst>
                <a:ext uri="{63B3BB69-23CF-44E3-9099-C40C66FF867C}">
                  <a14:compatExt spid="_x0000_s1221"/>
                </a:ext>
                <a:ext uri="{FF2B5EF4-FFF2-40B4-BE49-F238E27FC236}">
                  <a16:creationId xmlns:a16="http://schemas.microsoft.com/office/drawing/2014/main" id="{14DCE352-766D-4AF1-B27D-F9F19B5C67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198</xdr:row>
          <xdr:rowOff>9525</xdr:rowOff>
        </xdr:from>
        <xdr:ext cx="800100" cy="476250"/>
        <xdr:sp macro="" textlink="">
          <xdr:nvSpPr>
            <xdr:cNvPr id="1222" name="Check Box 198" hidden="1">
              <a:extLst>
                <a:ext uri="{63B3BB69-23CF-44E3-9099-C40C66FF867C}">
                  <a14:compatExt spid="_x0000_s1222"/>
                </a:ext>
                <a:ext uri="{FF2B5EF4-FFF2-40B4-BE49-F238E27FC236}">
                  <a16:creationId xmlns:a16="http://schemas.microsoft.com/office/drawing/2014/main" id="{10D30128-86CD-475F-901A-FDFB89F398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199</xdr:row>
          <xdr:rowOff>9525</xdr:rowOff>
        </xdr:from>
        <xdr:ext cx="800100" cy="476250"/>
        <xdr:sp macro="" textlink="">
          <xdr:nvSpPr>
            <xdr:cNvPr id="1223" name="Check Box 199" hidden="1">
              <a:extLst>
                <a:ext uri="{63B3BB69-23CF-44E3-9099-C40C66FF867C}">
                  <a14:compatExt spid="_x0000_s1223"/>
                </a:ext>
                <a:ext uri="{FF2B5EF4-FFF2-40B4-BE49-F238E27FC236}">
                  <a16:creationId xmlns:a16="http://schemas.microsoft.com/office/drawing/2014/main" id="{F4B911F9-7EDA-431F-A18E-E526DF47AA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200</xdr:row>
          <xdr:rowOff>9525</xdr:rowOff>
        </xdr:from>
        <xdr:ext cx="800100" cy="476250"/>
        <xdr:sp macro="" textlink="">
          <xdr:nvSpPr>
            <xdr:cNvPr id="1224" name="Check Box 200" hidden="1">
              <a:extLst>
                <a:ext uri="{63B3BB69-23CF-44E3-9099-C40C66FF867C}">
                  <a14:compatExt spid="_x0000_s1224"/>
                </a:ext>
                <a:ext uri="{FF2B5EF4-FFF2-40B4-BE49-F238E27FC236}">
                  <a16:creationId xmlns:a16="http://schemas.microsoft.com/office/drawing/2014/main" id="{D3277B26-46CE-4E5A-85AF-CDC411E7FBC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201</xdr:row>
          <xdr:rowOff>9525</xdr:rowOff>
        </xdr:from>
        <xdr:ext cx="800100" cy="476250"/>
        <xdr:sp macro="" textlink="">
          <xdr:nvSpPr>
            <xdr:cNvPr id="1225" name="Check Box 201" hidden="1">
              <a:extLst>
                <a:ext uri="{63B3BB69-23CF-44E3-9099-C40C66FF867C}">
                  <a14:compatExt spid="_x0000_s1225"/>
                </a:ext>
                <a:ext uri="{FF2B5EF4-FFF2-40B4-BE49-F238E27FC236}">
                  <a16:creationId xmlns:a16="http://schemas.microsoft.com/office/drawing/2014/main" id="{500FB2B7-7B46-402A-9775-F4AEF88E39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202</xdr:row>
          <xdr:rowOff>9525</xdr:rowOff>
        </xdr:from>
        <xdr:ext cx="800100" cy="476250"/>
        <xdr:sp macro="" textlink="">
          <xdr:nvSpPr>
            <xdr:cNvPr id="1226" name="Check Box 202" hidden="1">
              <a:extLst>
                <a:ext uri="{63B3BB69-23CF-44E3-9099-C40C66FF867C}">
                  <a14:compatExt spid="_x0000_s1226"/>
                </a:ext>
                <a:ext uri="{FF2B5EF4-FFF2-40B4-BE49-F238E27FC236}">
                  <a16:creationId xmlns:a16="http://schemas.microsoft.com/office/drawing/2014/main" id="{9581BFE9-E8E8-473D-8B3F-6A11F66E06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203</xdr:row>
          <xdr:rowOff>9525</xdr:rowOff>
        </xdr:from>
        <xdr:ext cx="800100" cy="476250"/>
        <xdr:sp macro="" textlink="">
          <xdr:nvSpPr>
            <xdr:cNvPr id="1227" name="Check Box 203" hidden="1">
              <a:extLst>
                <a:ext uri="{63B3BB69-23CF-44E3-9099-C40C66FF867C}">
                  <a14:compatExt spid="_x0000_s1227"/>
                </a:ext>
                <a:ext uri="{FF2B5EF4-FFF2-40B4-BE49-F238E27FC236}">
                  <a16:creationId xmlns:a16="http://schemas.microsoft.com/office/drawing/2014/main" id="{C9B6C55E-FAC5-4DA1-8D5C-1C2189DEC5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204</xdr:row>
          <xdr:rowOff>9525</xdr:rowOff>
        </xdr:from>
        <xdr:ext cx="800100" cy="476250"/>
        <xdr:sp macro="" textlink="">
          <xdr:nvSpPr>
            <xdr:cNvPr id="1228" name="Check Box 204" hidden="1">
              <a:extLst>
                <a:ext uri="{63B3BB69-23CF-44E3-9099-C40C66FF867C}">
                  <a14:compatExt spid="_x0000_s1228"/>
                </a:ext>
                <a:ext uri="{FF2B5EF4-FFF2-40B4-BE49-F238E27FC236}">
                  <a16:creationId xmlns:a16="http://schemas.microsoft.com/office/drawing/2014/main" id="{568C781A-50FE-4C29-9DD6-B720F37D4E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205</xdr:row>
          <xdr:rowOff>9525</xdr:rowOff>
        </xdr:from>
        <xdr:ext cx="800100" cy="476250"/>
        <xdr:sp macro="" textlink="">
          <xdr:nvSpPr>
            <xdr:cNvPr id="1229" name="Check Box 205" hidden="1">
              <a:extLst>
                <a:ext uri="{63B3BB69-23CF-44E3-9099-C40C66FF867C}">
                  <a14:compatExt spid="_x0000_s1229"/>
                </a:ext>
                <a:ext uri="{FF2B5EF4-FFF2-40B4-BE49-F238E27FC236}">
                  <a16:creationId xmlns:a16="http://schemas.microsoft.com/office/drawing/2014/main" id="{F73E8838-0549-4C2A-8ADE-2BF90E8E59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206</xdr:row>
          <xdr:rowOff>9525</xdr:rowOff>
        </xdr:from>
        <xdr:ext cx="800100" cy="476250"/>
        <xdr:sp macro="" textlink="">
          <xdr:nvSpPr>
            <xdr:cNvPr id="1230" name="Check Box 206" hidden="1">
              <a:extLst>
                <a:ext uri="{63B3BB69-23CF-44E3-9099-C40C66FF867C}">
                  <a14:compatExt spid="_x0000_s1230"/>
                </a:ext>
                <a:ext uri="{FF2B5EF4-FFF2-40B4-BE49-F238E27FC236}">
                  <a16:creationId xmlns:a16="http://schemas.microsoft.com/office/drawing/2014/main" id="{B4A8BC15-77B6-4F0A-9CAE-3DE623AFE2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207</xdr:row>
          <xdr:rowOff>9525</xdr:rowOff>
        </xdr:from>
        <xdr:ext cx="800100" cy="476250"/>
        <xdr:sp macro="" textlink="">
          <xdr:nvSpPr>
            <xdr:cNvPr id="1231" name="Check Box 207" hidden="1">
              <a:extLst>
                <a:ext uri="{63B3BB69-23CF-44E3-9099-C40C66FF867C}">
                  <a14:compatExt spid="_x0000_s1231"/>
                </a:ext>
                <a:ext uri="{FF2B5EF4-FFF2-40B4-BE49-F238E27FC236}">
                  <a16:creationId xmlns:a16="http://schemas.microsoft.com/office/drawing/2014/main" id="{AAF6210E-AD33-456D-AACA-DBBF53E42BC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208</xdr:row>
          <xdr:rowOff>9525</xdr:rowOff>
        </xdr:from>
        <xdr:ext cx="800100" cy="476250"/>
        <xdr:sp macro="" textlink="">
          <xdr:nvSpPr>
            <xdr:cNvPr id="1232" name="Check Box 208" hidden="1">
              <a:extLst>
                <a:ext uri="{63B3BB69-23CF-44E3-9099-C40C66FF867C}">
                  <a14:compatExt spid="_x0000_s1232"/>
                </a:ext>
                <a:ext uri="{FF2B5EF4-FFF2-40B4-BE49-F238E27FC236}">
                  <a16:creationId xmlns:a16="http://schemas.microsoft.com/office/drawing/2014/main" id="{8980060A-51BF-4676-A6D2-9463DFA210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209</xdr:row>
          <xdr:rowOff>9525</xdr:rowOff>
        </xdr:from>
        <xdr:ext cx="800100" cy="476250"/>
        <xdr:sp macro="" textlink="">
          <xdr:nvSpPr>
            <xdr:cNvPr id="1233" name="Check Box 209" hidden="1">
              <a:extLst>
                <a:ext uri="{63B3BB69-23CF-44E3-9099-C40C66FF867C}">
                  <a14:compatExt spid="_x0000_s1233"/>
                </a:ext>
                <a:ext uri="{FF2B5EF4-FFF2-40B4-BE49-F238E27FC236}">
                  <a16:creationId xmlns:a16="http://schemas.microsoft.com/office/drawing/2014/main" id="{FAB08041-9046-4128-8ACB-5C52F5ABB0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210</xdr:row>
          <xdr:rowOff>9525</xdr:rowOff>
        </xdr:from>
        <xdr:ext cx="800100" cy="476250"/>
        <xdr:sp macro="" textlink="">
          <xdr:nvSpPr>
            <xdr:cNvPr id="1234" name="Check Box 210" hidden="1">
              <a:extLst>
                <a:ext uri="{63B3BB69-23CF-44E3-9099-C40C66FF867C}">
                  <a14:compatExt spid="_x0000_s1234"/>
                </a:ext>
                <a:ext uri="{FF2B5EF4-FFF2-40B4-BE49-F238E27FC236}">
                  <a16:creationId xmlns:a16="http://schemas.microsoft.com/office/drawing/2014/main" id="{872DF279-331D-4059-A52D-BF05DC704E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211</xdr:row>
          <xdr:rowOff>9525</xdr:rowOff>
        </xdr:from>
        <xdr:ext cx="800100" cy="476250"/>
        <xdr:sp macro="" textlink="">
          <xdr:nvSpPr>
            <xdr:cNvPr id="1235" name="Check Box 211" hidden="1">
              <a:extLst>
                <a:ext uri="{63B3BB69-23CF-44E3-9099-C40C66FF867C}">
                  <a14:compatExt spid="_x0000_s1235"/>
                </a:ext>
                <a:ext uri="{FF2B5EF4-FFF2-40B4-BE49-F238E27FC236}">
                  <a16:creationId xmlns:a16="http://schemas.microsoft.com/office/drawing/2014/main" id="{7603C191-6C4F-4C75-9128-57A6D5E4F5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212</xdr:row>
          <xdr:rowOff>9525</xdr:rowOff>
        </xdr:from>
        <xdr:ext cx="800100" cy="476250"/>
        <xdr:sp macro="" textlink="">
          <xdr:nvSpPr>
            <xdr:cNvPr id="1236" name="Check Box 212" hidden="1">
              <a:extLst>
                <a:ext uri="{63B3BB69-23CF-44E3-9099-C40C66FF867C}">
                  <a14:compatExt spid="_x0000_s1236"/>
                </a:ext>
                <a:ext uri="{FF2B5EF4-FFF2-40B4-BE49-F238E27FC236}">
                  <a16:creationId xmlns:a16="http://schemas.microsoft.com/office/drawing/2014/main" id="{311836F5-D84E-4C2D-917F-24BC76E217F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213</xdr:row>
          <xdr:rowOff>9525</xdr:rowOff>
        </xdr:from>
        <xdr:ext cx="800100" cy="476250"/>
        <xdr:sp macro="" textlink="">
          <xdr:nvSpPr>
            <xdr:cNvPr id="1237" name="Check Box 213" hidden="1">
              <a:extLst>
                <a:ext uri="{63B3BB69-23CF-44E3-9099-C40C66FF867C}">
                  <a14:compatExt spid="_x0000_s1237"/>
                </a:ext>
                <a:ext uri="{FF2B5EF4-FFF2-40B4-BE49-F238E27FC236}">
                  <a16:creationId xmlns:a16="http://schemas.microsoft.com/office/drawing/2014/main" id="{050D135A-55DC-40C2-BEDE-9B4E25B279E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214</xdr:row>
          <xdr:rowOff>9525</xdr:rowOff>
        </xdr:from>
        <xdr:ext cx="800100" cy="476250"/>
        <xdr:sp macro="" textlink="">
          <xdr:nvSpPr>
            <xdr:cNvPr id="1238" name="Check Box 214" hidden="1">
              <a:extLst>
                <a:ext uri="{63B3BB69-23CF-44E3-9099-C40C66FF867C}">
                  <a14:compatExt spid="_x0000_s1238"/>
                </a:ext>
                <a:ext uri="{FF2B5EF4-FFF2-40B4-BE49-F238E27FC236}">
                  <a16:creationId xmlns:a16="http://schemas.microsoft.com/office/drawing/2014/main" id="{6485976D-E5C0-42D5-951D-D0433ED4BA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215</xdr:row>
          <xdr:rowOff>9525</xdr:rowOff>
        </xdr:from>
        <xdr:ext cx="800100" cy="476250"/>
        <xdr:sp macro="" textlink="">
          <xdr:nvSpPr>
            <xdr:cNvPr id="1239" name="Check Box 215" hidden="1">
              <a:extLst>
                <a:ext uri="{63B3BB69-23CF-44E3-9099-C40C66FF867C}">
                  <a14:compatExt spid="_x0000_s1239"/>
                </a:ext>
                <a:ext uri="{FF2B5EF4-FFF2-40B4-BE49-F238E27FC236}">
                  <a16:creationId xmlns:a16="http://schemas.microsoft.com/office/drawing/2014/main" id="{93BB1993-1B27-476A-823D-1F505900E0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216</xdr:row>
          <xdr:rowOff>9525</xdr:rowOff>
        </xdr:from>
        <xdr:ext cx="800100" cy="476250"/>
        <xdr:sp macro="" textlink="">
          <xdr:nvSpPr>
            <xdr:cNvPr id="1240" name="Check Box 216" hidden="1">
              <a:extLst>
                <a:ext uri="{63B3BB69-23CF-44E3-9099-C40C66FF867C}">
                  <a14:compatExt spid="_x0000_s1240"/>
                </a:ext>
                <a:ext uri="{FF2B5EF4-FFF2-40B4-BE49-F238E27FC236}">
                  <a16:creationId xmlns:a16="http://schemas.microsoft.com/office/drawing/2014/main" id="{2CE7C268-4A77-4CEA-B28E-E9D1D78E83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217</xdr:row>
          <xdr:rowOff>9525</xdr:rowOff>
        </xdr:from>
        <xdr:ext cx="800100" cy="476250"/>
        <xdr:sp macro="" textlink="">
          <xdr:nvSpPr>
            <xdr:cNvPr id="1241" name="Check Box 217" hidden="1">
              <a:extLst>
                <a:ext uri="{63B3BB69-23CF-44E3-9099-C40C66FF867C}">
                  <a14:compatExt spid="_x0000_s1241"/>
                </a:ext>
                <a:ext uri="{FF2B5EF4-FFF2-40B4-BE49-F238E27FC236}">
                  <a16:creationId xmlns:a16="http://schemas.microsoft.com/office/drawing/2014/main" id="{68F55AC8-BC78-47C2-8046-99D354231D6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218</xdr:row>
          <xdr:rowOff>9525</xdr:rowOff>
        </xdr:from>
        <xdr:ext cx="800100" cy="476250"/>
        <xdr:sp macro="" textlink="">
          <xdr:nvSpPr>
            <xdr:cNvPr id="1242" name="Check Box 218" hidden="1">
              <a:extLst>
                <a:ext uri="{63B3BB69-23CF-44E3-9099-C40C66FF867C}">
                  <a14:compatExt spid="_x0000_s1242"/>
                </a:ext>
                <a:ext uri="{FF2B5EF4-FFF2-40B4-BE49-F238E27FC236}">
                  <a16:creationId xmlns:a16="http://schemas.microsoft.com/office/drawing/2014/main" id="{03DCEC48-AAC6-40EE-8479-8AB2F937AB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219</xdr:row>
          <xdr:rowOff>9525</xdr:rowOff>
        </xdr:from>
        <xdr:ext cx="800100" cy="476250"/>
        <xdr:sp macro="" textlink="">
          <xdr:nvSpPr>
            <xdr:cNvPr id="1243" name="Check Box 219" hidden="1">
              <a:extLst>
                <a:ext uri="{63B3BB69-23CF-44E3-9099-C40C66FF867C}">
                  <a14:compatExt spid="_x0000_s1243"/>
                </a:ext>
                <a:ext uri="{FF2B5EF4-FFF2-40B4-BE49-F238E27FC236}">
                  <a16:creationId xmlns:a16="http://schemas.microsoft.com/office/drawing/2014/main" id="{90F4FEC6-5EA2-4F5F-99EC-36C9C1019F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220</xdr:row>
          <xdr:rowOff>9525</xdr:rowOff>
        </xdr:from>
        <xdr:ext cx="800100" cy="476250"/>
        <xdr:sp macro="" textlink="">
          <xdr:nvSpPr>
            <xdr:cNvPr id="1244" name="Check Box 220" hidden="1">
              <a:extLst>
                <a:ext uri="{63B3BB69-23CF-44E3-9099-C40C66FF867C}">
                  <a14:compatExt spid="_x0000_s1244"/>
                </a:ext>
                <a:ext uri="{FF2B5EF4-FFF2-40B4-BE49-F238E27FC236}">
                  <a16:creationId xmlns:a16="http://schemas.microsoft.com/office/drawing/2014/main" id="{B3E36D43-FF55-4CD2-8015-720F5E8A5D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221</xdr:row>
          <xdr:rowOff>9525</xdr:rowOff>
        </xdr:from>
        <xdr:ext cx="800100" cy="476250"/>
        <xdr:sp macro="" textlink="">
          <xdr:nvSpPr>
            <xdr:cNvPr id="1245" name="Check Box 221" hidden="1">
              <a:extLst>
                <a:ext uri="{63B3BB69-23CF-44E3-9099-C40C66FF867C}">
                  <a14:compatExt spid="_x0000_s1245"/>
                </a:ext>
                <a:ext uri="{FF2B5EF4-FFF2-40B4-BE49-F238E27FC236}">
                  <a16:creationId xmlns:a16="http://schemas.microsoft.com/office/drawing/2014/main" id="{ADAB681C-62AE-46D2-A5DA-889ACF1FCB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222</xdr:row>
          <xdr:rowOff>9525</xdr:rowOff>
        </xdr:from>
        <xdr:ext cx="800100" cy="476250"/>
        <xdr:sp macro="" textlink="">
          <xdr:nvSpPr>
            <xdr:cNvPr id="1246" name="Check Box 222" hidden="1">
              <a:extLst>
                <a:ext uri="{63B3BB69-23CF-44E3-9099-C40C66FF867C}">
                  <a14:compatExt spid="_x0000_s1246"/>
                </a:ext>
                <a:ext uri="{FF2B5EF4-FFF2-40B4-BE49-F238E27FC236}">
                  <a16:creationId xmlns:a16="http://schemas.microsoft.com/office/drawing/2014/main" id="{550E00D3-7141-4430-BB8F-D0A5A4DF53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223</xdr:row>
          <xdr:rowOff>9525</xdr:rowOff>
        </xdr:from>
        <xdr:ext cx="800100" cy="476250"/>
        <xdr:sp macro="" textlink="">
          <xdr:nvSpPr>
            <xdr:cNvPr id="1247" name="Check Box 223" hidden="1">
              <a:extLst>
                <a:ext uri="{63B3BB69-23CF-44E3-9099-C40C66FF867C}">
                  <a14:compatExt spid="_x0000_s1247"/>
                </a:ext>
                <a:ext uri="{FF2B5EF4-FFF2-40B4-BE49-F238E27FC236}">
                  <a16:creationId xmlns:a16="http://schemas.microsoft.com/office/drawing/2014/main" id="{4767912C-5BAF-4AF0-9D7F-DF007191BE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224</xdr:row>
          <xdr:rowOff>9525</xdr:rowOff>
        </xdr:from>
        <xdr:ext cx="800100" cy="476250"/>
        <xdr:sp macro="" textlink="">
          <xdr:nvSpPr>
            <xdr:cNvPr id="1248" name="Check Box 224" hidden="1">
              <a:extLst>
                <a:ext uri="{63B3BB69-23CF-44E3-9099-C40C66FF867C}">
                  <a14:compatExt spid="_x0000_s1248"/>
                </a:ext>
                <a:ext uri="{FF2B5EF4-FFF2-40B4-BE49-F238E27FC236}">
                  <a16:creationId xmlns:a16="http://schemas.microsoft.com/office/drawing/2014/main" id="{92DAB4C3-748E-407F-83F4-13AD2F0A28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225</xdr:row>
          <xdr:rowOff>9525</xdr:rowOff>
        </xdr:from>
        <xdr:ext cx="800100" cy="476250"/>
        <xdr:sp macro="" textlink="">
          <xdr:nvSpPr>
            <xdr:cNvPr id="1249" name="Check Box 225" hidden="1">
              <a:extLst>
                <a:ext uri="{63B3BB69-23CF-44E3-9099-C40C66FF867C}">
                  <a14:compatExt spid="_x0000_s1249"/>
                </a:ext>
                <a:ext uri="{FF2B5EF4-FFF2-40B4-BE49-F238E27FC236}">
                  <a16:creationId xmlns:a16="http://schemas.microsoft.com/office/drawing/2014/main" id="{48CF4496-B051-4A28-B6C9-371BC15C57D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226</xdr:row>
          <xdr:rowOff>9525</xdr:rowOff>
        </xdr:from>
        <xdr:ext cx="800100" cy="476250"/>
        <xdr:sp macro="" textlink="">
          <xdr:nvSpPr>
            <xdr:cNvPr id="1250" name="Check Box 226" hidden="1">
              <a:extLst>
                <a:ext uri="{63B3BB69-23CF-44E3-9099-C40C66FF867C}">
                  <a14:compatExt spid="_x0000_s1250"/>
                </a:ext>
                <a:ext uri="{FF2B5EF4-FFF2-40B4-BE49-F238E27FC236}">
                  <a16:creationId xmlns:a16="http://schemas.microsoft.com/office/drawing/2014/main" id="{66564E5C-22B1-4BA0-8130-DF77BE4793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227</xdr:row>
          <xdr:rowOff>9525</xdr:rowOff>
        </xdr:from>
        <xdr:ext cx="800100" cy="476250"/>
        <xdr:sp macro="" textlink="">
          <xdr:nvSpPr>
            <xdr:cNvPr id="1251" name="Check Box 227" hidden="1">
              <a:extLst>
                <a:ext uri="{63B3BB69-23CF-44E3-9099-C40C66FF867C}">
                  <a14:compatExt spid="_x0000_s1251"/>
                </a:ext>
                <a:ext uri="{FF2B5EF4-FFF2-40B4-BE49-F238E27FC236}">
                  <a16:creationId xmlns:a16="http://schemas.microsoft.com/office/drawing/2014/main" id="{800F1430-F397-4BFE-9D73-D256AA99B5E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228</xdr:row>
          <xdr:rowOff>9525</xdr:rowOff>
        </xdr:from>
        <xdr:ext cx="800100" cy="476250"/>
        <xdr:sp macro="" textlink="">
          <xdr:nvSpPr>
            <xdr:cNvPr id="1252" name="Check Box 228" hidden="1">
              <a:extLst>
                <a:ext uri="{63B3BB69-23CF-44E3-9099-C40C66FF867C}">
                  <a14:compatExt spid="_x0000_s1252"/>
                </a:ext>
                <a:ext uri="{FF2B5EF4-FFF2-40B4-BE49-F238E27FC236}">
                  <a16:creationId xmlns:a16="http://schemas.microsoft.com/office/drawing/2014/main" id="{2393F8C6-DA9A-4E31-AE39-CA6D0FD1D4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229</xdr:row>
          <xdr:rowOff>9525</xdr:rowOff>
        </xdr:from>
        <xdr:ext cx="800100" cy="476250"/>
        <xdr:sp macro="" textlink="">
          <xdr:nvSpPr>
            <xdr:cNvPr id="1253" name="Check Box 229" hidden="1">
              <a:extLst>
                <a:ext uri="{63B3BB69-23CF-44E3-9099-C40C66FF867C}">
                  <a14:compatExt spid="_x0000_s1253"/>
                </a:ext>
                <a:ext uri="{FF2B5EF4-FFF2-40B4-BE49-F238E27FC236}">
                  <a16:creationId xmlns:a16="http://schemas.microsoft.com/office/drawing/2014/main" id="{4A937E54-F0DA-45B4-A5C1-6A9426D1E4B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230</xdr:row>
          <xdr:rowOff>9525</xdr:rowOff>
        </xdr:from>
        <xdr:ext cx="800100" cy="476250"/>
        <xdr:sp macro="" textlink="">
          <xdr:nvSpPr>
            <xdr:cNvPr id="1254" name="Check Box 230" hidden="1">
              <a:extLst>
                <a:ext uri="{63B3BB69-23CF-44E3-9099-C40C66FF867C}">
                  <a14:compatExt spid="_x0000_s1254"/>
                </a:ext>
                <a:ext uri="{FF2B5EF4-FFF2-40B4-BE49-F238E27FC236}">
                  <a16:creationId xmlns:a16="http://schemas.microsoft.com/office/drawing/2014/main" id="{D4117772-1FDB-4D18-9541-61AAFF952E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231</xdr:row>
          <xdr:rowOff>9525</xdr:rowOff>
        </xdr:from>
        <xdr:ext cx="800100" cy="476250"/>
        <xdr:sp macro="" textlink="">
          <xdr:nvSpPr>
            <xdr:cNvPr id="1255" name="Check Box 231" hidden="1">
              <a:extLst>
                <a:ext uri="{63B3BB69-23CF-44E3-9099-C40C66FF867C}">
                  <a14:compatExt spid="_x0000_s1255"/>
                </a:ext>
                <a:ext uri="{FF2B5EF4-FFF2-40B4-BE49-F238E27FC236}">
                  <a16:creationId xmlns:a16="http://schemas.microsoft.com/office/drawing/2014/main" id="{4127148D-066F-4989-B668-37D2B92D15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232</xdr:row>
          <xdr:rowOff>9525</xdr:rowOff>
        </xdr:from>
        <xdr:ext cx="800100" cy="476250"/>
        <xdr:sp macro="" textlink="">
          <xdr:nvSpPr>
            <xdr:cNvPr id="1256" name="Check Box 232" hidden="1">
              <a:extLst>
                <a:ext uri="{63B3BB69-23CF-44E3-9099-C40C66FF867C}">
                  <a14:compatExt spid="_x0000_s1256"/>
                </a:ext>
                <a:ext uri="{FF2B5EF4-FFF2-40B4-BE49-F238E27FC236}">
                  <a16:creationId xmlns:a16="http://schemas.microsoft.com/office/drawing/2014/main" id="{24D430B7-E3EA-481E-8438-FA841F0F6F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233</xdr:row>
          <xdr:rowOff>9525</xdr:rowOff>
        </xdr:from>
        <xdr:ext cx="800100" cy="476250"/>
        <xdr:sp macro="" textlink="">
          <xdr:nvSpPr>
            <xdr:cNvPr id="1257" name="Check Box 233" hidden="1">
              <a:extLst>
                <a:ext uri="{63B3BB69-23CF-44E3-9099-C40C66FF867C}">
                  <a14:compatExt spid="_x0000_s1257"/>
                </a:ext>
                <a:ext uri="{FF2B5EF4-FFF2-40B4-BE49-F238E27FC236}">
                  <a16:creationId xmlns:a16="http://schemas.microsoft.com/office/drawing/2014/main" id="{38824ECC-37AD-4029-8B00-BF2DEA3901E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234</xdr:row>
          <xdr:rowOff>9525</xdr:rowOff>
        </xdr:from>
        <xdr:ext cx="800100" cy="476250"/>
        <xdr:sp macro="" textlink="">
          <xdr:nvSpPr>
            <xdr:cNvPr id="1258" name="Check Box 234" hidden="1">
              <a:extLst>
                <a:ext uri="{63B3BB69-23CF-44E3-9099-C40C66FF867C}">
                  <a14:compatExt spid="_x0000_s1258"/>
                </a:ext>
                <a:ext uri="{FF2B5EF4-FFF2-40B4-BE49-F238E27FC236}">
                  <a16:creationId xmlns:a16="http://schemas.microsoft.com/office/drawing/2014/main" id="{6746AB49-AD36-48EB-8501-1A07D06213D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235</xdr:row>
          <xdr:rowOff>9525</xdr:rowOff>
        </xdr:from>
        <xdr:ext cx="800100" cy="476250"/>
        <xdr:sp macro="" textlink="">
          <xdr:nvSpPr>
            <xdr:cNvPr id="1259" name="Check Box 235" hidden="1">
              <a:extLst>
                <a:ext uri="{63B3BB69-23CF-44E3-9099-C40C66FF867C}">
                  <a14:compatExt spid="_x0000_s1259"/>
                </a:ext>
                <a:ext uri="{FF2B5EF4-FFF2-40B4-BE49-F238E27FC236}">
                  <a16:creationId xmlns:a16="http://schemas.microsoft.com/office/drawing/2014/main" id="{79804581-B738-49A0-89E7-FE3690D4DD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236</xdr:row>
          <xdr:rowOff>9525</xdr:rowOff>
        </xdr:from>
        <xdr:ext cx="800100" cy="476250"/>
        <xdr:sp macro="" textlink="">
          <xdr:nvSpPr>
            <xdr:cNvPr id="1260" name="Check Box 236" hidden="1">
              <a:extLst>
                <a:ext uri="{63B3BB69-23CF-44E3-9099-C40C66FF867C}">
                  <a14:compatExt spid="_x0000_s1260"/>
                </a:ext>
                <a:ext uri="{FF2B5EF4-FFF2-40B4-BE49-F238E27FC236}">
                  <a16:creationId xmlns:a16="http://schemas.microsoft.com/office/drawing/2014/main" id="{F41EC1B5-D588-43A3-99E6-16D6CBDEE4E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237</xdr:row>
          <xdr:rowOff>9525</xdr:rowOff>
        </xdr:from>
        <xdr:ext cx="800100" cy="476250"/>
        <xdr:sp macro="" textlink="">
          <xdr:nvSpPr>
            <xdr:cNvPr id="1261" name="Check Box 237" hidden="1">
              <a:extLst>
                <a:ext uri="{63B3BB69-23CF-44E3-9099-C40C66FF867C}">
                  <a14:compatExt spid="_x0000_s1261"/>
                </a:ext>
                <a:ext uri="{FF2B5EF4-FFF2-40B4-BE49-F238E27FC236}">
                  <a16:creationId xmlns:a16="http://schemas.microsoft.com/office/drawing/2014/main" id="{4D8A07BC-AA55-4E46-BCFC-074CE4215C3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238</xdr:row>
          <xdr:rowOff>9525</xdr:rowOff>
        </xdr:from>
        <xdr:ext cx="800100" cy="476250"/>
        <xdr:sp macro="" textlink="">
          <xdr:nvSpPr>
            <xdr:cNvPr id="1262" name="Check Box 238" hidden="1">
              <a:extLst>
                <a:ext uri="{63B3BB69-23CF-44E3-9099-C40C66FF867C}">
                  <a14:compatExt spid="_x0000_s1262"/>
                </a:ext>
                <a:ext uri="{FF2B5EF4-FFF2-40B4-BE49-F238E27FC236}">
                  <a16:creationId xmlns:a16="http://schemas.microsoft.com/office/drawing/2014/main" id="{96806E8B-04DA-4629-83B4-C04BE0E3FC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239</xdr:row>
          <xdr:rowOff>9525</xdr:rowOff>
        </xdr:from>
        <xdr:ext cx="800100" cy="476250"/>
        <xdr:sp macro="" textlink="">
          <xdr:nvSpPr>
            <xdr:cNvPr id="1263" name="Check Box 239" hidden="1">
              <a:extLst>
                <a:ext uri="{63B3BB69-23CF-44E3-9099-C40C66FF867C}">
                  <a14:compatExt spid="_x0000_s1263"/>
                </a:ext>
                <a:ext uri="{FF2B5EF4-FFF2-40B4-BE49-F238E27FC236}">
                  <a16:creationId xmlns:a16="http://schemas.microsoft.com/office/drawing/2014/main" id="{8AC48D19-D6EB-4965-802B-25224A619F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240</xdr:row>
          <xdr:rowOff>9525</xdr:rowOff>
        </xdr:from>
        <xdr:ext cx="800100" cy="476250"/>
        <xdr:sp macro="" textlink="">
          <xdr:nvSpPr>
            <xdr:cNvPr id="1264" name="Check Box 240" hidden="1">
              <a:extLst>
                <a:ext uri="{63B3BB69-23CF-44E3-9099-C40C66FF867C}">
                  <a14:compatExt spid="_x0000_s1264"/>
                </a:ext>
                <a:ext uri="{FF2B5EF4-FFF2-40B4-BE49-F238E27FC236}">
                  <a16:creationId xmlns:a16="http://schemas.microsoft.com/office/drawing/2014/main" id="{C5E0C8D2-42EB-4146-BDD1-89A04DC2B7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241</xdr:row>
          <xdr:rowOff>9525</xdr:rowOff>
        </xdr:from>
        <xdr:ext cx="800100" cy="476250"/>
        <xdr:sp macro="" textlink="">
          <xdr:nvSpPr>
            <xdr:cNvPr id="1265" name="Check Box 241" hidden="1">
              <a:extLst>
                <a:ext uri="{63B3BB69-23CF-44E3-9099-C40C66FF867C}">
                  <a14:compatExt spid="_x0000_s1265"/>
                </a:ext>
                <a:ext uri="{FF2B5EF4-FFF2-40B4-BE49-F238E27FC236}">
                  <a16:creationId xmlns:a16="http://schemas.microsoft.com/office/drawing/2014/main" id="{57D028AF-B8C3-4EBB-9EE6-4755982E91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242</xdr:row>
          <xdr:rowOff>9525</xdr:rowOff>
        </xdr:from>
        <xdr:ext cx="800100" cy="476250"/>
        <xdr:sp macro="" textlink="">
          <xdr:nvSpPr>
            <xdr:cNvPr id="1266" name="Check Box 242" hidden="1">
              <a:extLst>
                <a:ext uri="{63B3BB69-23CF-44E3-9099-C40C66FF867C}">
                  <a14:compatExt spid="_x0000_s1266"/>
                </a:ext>
                <a:ext uri="{FF2B5EF4-FFF2-40B4-BE49-F238E27FC236}">
                  <a16:creationId xmlns:a16="http://schemas.microsoft.com/office/drawing/2014/main" id="{EAE89AB7-48A4-4352-9AB5-56072C79B5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243</xdr:row>
          <xdr:rowOff>9525</xdr:rowOff>
        </xdr:from>
        <xdr:ext cx="800100" cy="476250"/>
        <xdr:sp macro="" textlink="">
          <xdr:nvSpPr>
            <xdr:cNvPr id="1267" name="Check Box 243" hidden="1">
              <a:extLst>
                <a:ext uri="{63B3BB69-23CF-44E3-9099-C40C66FF867C}">
                  <a14:compatExt spid="_x0000_s1267"/>
                </a:ext>
                <a:ext uri="{FF2B5EF4-FFF2-40B4-BE49-F238E27FC236}">
                  <a16:creationId xmlns:a16="http://schemas.microsoft.com/office/drawing/2014/main" id="{9CD04E0F-B517-47FA-8981-531A019FD5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244</xdr:row>
          <xdr:rowOff>9525</xdr:rowOff>
        </xdr:from>
        <xdr:ext cx="800100" cy="476250"/>
        <xdr:sp macro="" textlink="">
          <xdr:nvSpPr>
            <xdr:cNvPr id="1268" name="Check Box 244" hidden="1">
              <a:extLst>
                <a:ext uri="{63B3BB69-23CF-44E3-9099-C40C66FF867C}">
                  <a14:compatExt spid="_x0000_s1268"/>
                </a:ext>
                <a:ext uri="{FF2B5EF4-FFF2-40B4-BE49-F238E27FC236}">
                  <a16:creationId xmlns:a16="http://schemas.microsoft.com/office/drawing/2014/main" id="{199A87D7-DB5C-46A6-9C58-3C127233334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245</xdr:row>
          <xdr:rowOff>9525</xdr:rowOff>
        </xdr:from>
        <xdr:ext cx="800100" cy="476250"/>
        <xdr:sp macro="" textlink="">
          <xdr:nvSpPr>
            <xdr:cNvPr id="1269" name="Check Box 245" hidden="1">
              <a:extLst>
                <a:ext uri="{63B3BB69-23CF-44E3-9099-C40C66FF867C}">
                  <a14:compatExt spid="_x0000_s1269"/>
                </a:ext>
                <a:ext uri="{FF2B5EF4-FFF2-40B4-BE49-F238E27FC236}">
                  <a16:creationId xmlns:a16="http://schemas.microsoft.com/office/drawing/2014/main" id="{947BD3BF-4211-4B09-9125-DB57745B3B5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246</xdr:row>
          <xdr:rowOff>9525</xdr:rowOff>
        </xdr:from>
        <xdr:ext cx="800100" cy="476250"/>
        <xdr:sp macro="" textlink="">
          <xdr:nvSpPr>
            <xdr:cNvPr id="1270" name="Check Box 246" hidden="1">
              <a:extLst>
                <a:ext uri="{63B3BB69-23CF-44E3-9099-C40C66FF867C}">
                  <a14:compatExt spid="_x0000_s1270"/>
                </a:ext>
                <a:ext uri="{FF2B5EF4-FFF2-40B4-BE49-F238E27FC236}">
                  <a16:creationId xmlns:a16="http://schemas.microsoft.com/office/drawing/2014/main" id="{6A2A5B6D-FDAA-4677-BB73-D598627B59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247</xdr:row>
          <xdr:rowOff>9525</xdr:rowOff>
        </xdr:from>
        <xdr:ext cx="800100" cy="476250"/>
        <xdr:sp macro="" textlink="">
          <xdr:nvSpPr>
            <xdr:cNvPr id="1271" name="Check Box 247" hidden="1">
              <a:extLst>
                <a:ext uri="{63B3BB69-23CF-44E3-9099-C40C66FF867C}">
                  <a14:compatExt spid="_x0000_s1271"/>
                </a:ext>
                <a:ext uri="{FF2B5EF4-FFF2-40B4-BE49-F238E27FC236}">
                  <a16:creationId xmlns:a16="http://schemas.microsoft.com/office/drawing/2014/main" id="{67500C99-8C21-4165-B159-81E3FA9C7F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248</xdr:row>
          <xdr:rowOff>9525</xdr:rowOff>
        </xdr:from>
        <xdr:ext cx="800100" cy="476250"/>
        <xdr:sp macro="" textlink="">
          <xdr:nvSpPr>
            <xdr:cNvPr id="1272" name="Check Box 248" hidden="1">
              <a:extLst>
                <a:ext uri="{63B3BB69-23CF-44E3-9099-C40C66FF867C}">
                  <a14:compatExt spid="_x0000_s1272"/>
                </a:ext>
                <a:ext uri="{FF2B5EF4-FFF2-40B4-BE49-F238E27FC236}">
                  <a16:creationId xmlns:a16="http://schemas.microsoft.com/office/drawing/2014/main" id="{85E49291-6BF2-470D-84F2-E02CF427A8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249</xdr:row>
          <xdr:rowOff>9525</xdr:rowOff>
        </xdr:from>
        <xdr:ext cx="800100" cy="476250"/>
        <xdr:sp macro="" textlink="">
          <xdr:nvSpPr>
            <xdr:cNvPr id="1273" name="Check Box 249" hidden="1">
              <a:extLst>
                <a:ext uri="{63B3BB69-23CF-44E3-9099-C40C66FF867C}">
                  <a14:compatExt spid="_x0000_s1273"/>
                </a:ext>
                <a:ext uri="{FF2B5EF4-FFF2-40B4-BE49-F238E27FC236}">
                  <a16:creationId xmlns:a16="http://schemas.microsoft.com/office/drawing/2014/main" id="{355D20DC-0AD3-4FB1-80D7-485F8D94BD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250</xdr:row>
          <xdr:rowOff>9525</xdr:rowOff>
        </xdr:from>
        <xdr:ext cx="800100" cy="476250"/>
        <xdr:sp macro="" textlink="">
          <xdr:nvSpPr>
            <xdr:cNvPr id="1274" name="Check Box 250" hidden="1">
              <a:extLst>
                <a:ext uri="{63B3BB69-23CF-44E3-9099-C40C66FF867C}">
                  <a14:compatExt spid="_x0000_s1274"/>
                </a:ext>
                <a:ext uri="{FF2B5EF4-FFF2-40B4-BE49-F238E27FC236}">
                  <a16:creationId xmlns:a16="http://schemas.microsoft.com/office/drawing/2014/main" id="{BCB12460-A49B-47C0-A4B5-1F5B7B2FFB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251</xdr:row>
          <xdr:rowOff>9525</xdr:rowOff>
        </xdr:from>
        <xdr:ext cx="800100" cy="476250"/>
        <xdr:sp macro="" textlink="">
          <xdr:nvSpPr>
            <xdr:cNvPr id="1275" name="Check Box 251" hidden="1">
              <a:extLst>
                <a:ext uri="{63B3BB69-23CF-44E3-9099-C40C66FF867C}">
                  <a14:compatExt spid="_x0000_s1275"/>
                </a:ext>
                <a:ext uri="{FF2B5EF4-FFF2-40B4-BE49-F238E27FC236}">
                  <a16:creationId xmlns:a16="http://schemas.microsoft.com/office/drawing/2014/main" id="{9C46C1DC-C841-4153-8752-3F12426F7D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252</xdr:row>
          <xdr:rowOff>9525</xdr:rowOff>
        </xdr:from>
        <xdr:ext cx="800100" cy="476250"/>
        <xdr:sp macro="" textlink="">
          <xdr:nvSpPr>
            <xdr:cNvPr id="1276" name="Check Box 252" hidden="1">
              <a:extLst>
                <a:ext uri="{63B3BB69-23CF-44E3-9099-C40C66FF867C}">
                  <a14:compatExt spid="_x0000_s1276"/>
                </a:ext>
                <a:ext uri="{FF2B5EF4-FFF2-40B4-BE49-F238E27FC236}">
                  <a16:creationId xmlns:a16="http://schemas.microsoft.com/office/drawing/2014/main" id="{9D62FBE9-1769-433E-9AC5-990EBEE5A4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253</xdr:row>
          <xdr:rowOff>9525</xdr:rowOff>
        </xdr:from>
        <xdr:ext cx="800100" cy="476250"/>
        <xdr:sp macro="" textlink="">
          <xdr:nvSpPr>
            <xdr:cNvPr id="1277" name="Check Box 253" hidden="1">
              <a:extLst>
                <a:ext uri="{63B3BB69-23CF-44E3-9099-C40C66FF867C}">
                  <a14:compatExt spid="_x0000_s1277"/>
                </a:ext>
                <a:ext uri="{FF2B5EF4-FFF2-40B4-BE49-F238E27FC236}">
                  <a16:creationId xmlns:a16="http://schemas.microsoft.com/office/drawing/2014/main" id="{BFEC9E40-01E2-41A5-9169-5A878CDC70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254</xdr:row>
          <xdr:rowOff>9525</xdr:rowOff>
        </xdr:from>
        <xdr:ext cx="800100" cy="476250"/>
        <xdr:sp macro="" textlink="">
          <xdr:nvSpPr>
            <xdr:cNvPr id="1278" name="Check Box 254" hidden="1">
              <a:extLst>
                <a:ext uri="{63B3BB69-23CF-44E3-9099-C40C66FF867C}">
                  <a14:compatExt spid="_x0000_s1278"/>
                </a:ext>
                <a:ext uri="{FF2B5EF4-FFF2-40B4-BE49-F238E27FC236}">
                  <a16:creationId xmlns:a16="http://schemas.microsoft.com/office/drawing/2014/main" id="{7981ECDF-AB15-4D54-8F40-4D61E363F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255</xdr:row>
          <xdr:rowOff>9525</xdr:rowOff>
        </xdr:from>
        <xdr:ext cx="800100" cy="476250"/>
        <xdr:sp macro="" textlink="">
          <xdr:nvSpPr>
            <xdr:cNvPr id="1279" name="Check Box 255" hidden="1">
              <a:extLst>
                <a:ext uri="{63B3BB69-23CF-44E3-9099-C40C66FF867C}">
                  <a14:compatExt spid="_x0000_s1279"/>
                </a:ext>
                <a:ext uri="{FF2B5EF4-FFF2-40B4-BE49-F238E27FC236}">
                  <a16:creationId xmlns:a16="http://schemas.microsoft.com/office/drawing/2014/main" id="{AA90D3F0-D595-41E9-A8A9-647FDCD052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256</xdr:row>
          <xdr:rowOff>9525</xdr:rowOff>
        </xdr:from>
        <xdr:ext cx="800100" cy="476250"/>
        <xdr:sp macro="" textlink="">
          <xdr:nvSpPr>
            <xdr:cNvPr id="1280" name="Check Box 256" hidden="1">
              <a:extLst>
                <a:ext uri="{63B3BB69-23CF-44E3-9099-C40C66FF867C}">
                  <a14:compatExt spid="_x0000_s1280"/>
                </a:ext>
                <a:ext uri="{FF2B5EF4-FFF2-40B4-BE49-F238E27FC236}">
                  <a16:creationId xmlns:a16="http://schemas.microsoft.com/office/drawing/2014/main" id="{D3407D27-FDE7-4557-9B87-FFAEFE8B59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257</xdr:row>
          <xdr:rowOff>9525</xdr:rowOff>
        </xdr:from>
        <xdr:ext cx="800100" cy="476250"/>
        <xdr:sp macro="" textlink="">
          <xdr:nvSpPr>
            <xdr:cNvPr id="1281" name="Check Box 257" hidden="1">
              <a:extLst>
                <a:ext uri="{63B3BB69-23CF-44E3-9099-C40C66FF867C}">
                  <a14:compatExt spid="_x0000_s1281"/>
                </a:ext>
                <a:ext uri="{FF2B5EF4-FFF2-40B4-BE49-F238E27FC236}">
                  <a16:creationId xmlns:a16="http://schemas.microsoft.com/office/drawing/2014/main" id="{329B3C21-B4B0-4012-8561-E1ADC678A2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258</xdr:row>
          <xdr:rowOff>9525</xdr:rowOff>
        </xdr:from>
        <xdr:ext cx="800100" cy="476250"/>
        <xdr:sp macro="" textlink="">
          <xdr:nvSpPr>
            <xdr:cNvPr id="1282" name="Check Box 258" hidden="1">
              <a:extLst>
                <a:ext uri="{63B3BB69-23CF-44E3-9099-C40C66FF867C}">
                  <a14:compatExt spid="_x0000_s1282"/>
                </a:ext>
                <a:ext uri="{FF2B5EF4-FFF2-40B4-BE49-F238E27FC236}">
                  <a16:creationId xmlns:a16="http://schemas.microsoft.com/office/drawing/2014/main" id="{8130FC55-7281-44C7-8C82-9089912FB94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259</xdr:row>
          <xdr:rowOff>9525</xdr:rowOff>
        </xdr:from>
        <xdr:ext cx="800100" cy="476250"/>
        <xdr:sp macro="" textlink="">
          <xdr:nvSpPr>
            <xdr:cNvPr id="1283" name="Check Box 259" hidden="1">
              <a:extLst>
                <a:ext uri="{63B3BB69-23CF-44E3-9099-C40C66FF867C}">
                  <a14:compatExt spid="_x0000_s1283"/>
                </a:ext>
                <a:ext uri="{FF2B5EF4-FFF2-40B4-BE49-F238E27FC236}">
                  <a16:creationId xmlns:a16="http://schemas.microsoft.com/office/drawing/2014/main" id="{E556DF42-8875-4C47-80E9-82C80178E5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260</xdr:row>
          <xdr:rowOff>9525</xdr:rowOff>
        </xdr:from>
        <xdr:ext cx="800100" cy="476250"/>
        <xdr:sp macro="" textlink="">
          <xdr:nvSpPr>
            <xdr:cNvPr id="1284" name="Check Box 260" hidden="1">
              <a:extLst>
                <a:ext uri="{63B3BB69-23CF-44E3-9099-C40C66FF867C}">
                  <a14:compatExt spid="_x0000_s1284"/>
                </a:ext>
                <a:ext uri="{FF2B5EF4-FFF2-40B4-BE49-F238E27FC236}">
                  <a16:creationId xmlns:a16="http://schemas.microsoft.com/office/drawing/2014/main" id="{781D7286-4770-4816-B0C8-921220C43B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261</xdr:row>
          <xdr:rowOff>9525</xdr:rowOff>
        </xdr:from>
        <xdr:ext cx="800100" cy="476250"/>
        <xdr:sp macro="" textlink="">
          <xdr:nvSpPr>
            <xdr:cNvPr id="1285" name="Check Box 261" hidden="1">
              <a:extLst>
                <a:ext uri="{63B3BB69-23CF-44E3-9099-C40C66FF867C}">
                  <a14:compatExt spid="_x0000_s1285"/>
                </a:ext>
                <a:ext uri="{FF2B5EF4-FFF2-40B4-BE49-F238E27FC236}">
                  <a16:creationId xmlns:a16="http://schemas.microsoft.com/office/drawing/2014/main" id="{42B8C843-B2AF-45E3-A404-5D0D491EAB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262</xdr:row>
          <xdr:rowOff>9525</xdr:rowOff>
        </xdr:from>
        <xdr:ext cx="800100" cy="476250"/>
        <xdr:sp macro="" textlink="">
          <xdr:nvSpPr>
            <xdr:cNvPr id="1286" name="Check Box 262" hidden="1">
              <a:extLst>
                <a:ext uri="{63B3BB69-23CF-44E3-9099-C40C66FF867C}">
                  <a14:compatExt spid="_x0000_s1286"/>
                </a:ext>
                <a:ext uri="{FF2B5EF4-FFF2-40B4-BE49-F238E27FC236}">
                  <a16:creationId xmlns:a16="http://schemas.microsoft.com/office/drawing/2014/main" id="{AF11B7A3-3F09-4D1B-BFD0-70A39BD0B7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263</xdr:row>
          <xdr:rowOff>9525</xdr:rowOff>
        </xdr:from>
        <xdr:ext cx="800100" cy="476250"/>
        <xdr:sp macro="" textlink="">
          <xdr:nvSpPr>
            <xdr:cNvPr id="1287" name="Check Box 263" hidden="1">
              <a:extLst>
                <a:ext uri="{63B3BB69-23CF-44E3-9099-C40C66FF867C}">
                  <a14:compatExt spid="_x0000_s1287"/>
                </a:ext>
                <a:ext uri="{FF2B5EF4-FFF2-40B4-BE49-F238E27FC236}">
                  <a16:creationId xmlns:a16="http://schemas.microsoft.com/office/drawing/2014/main" id="{17447E94-A91C-4F75-802A-5471A89FE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264</xdr:row>
          <xdr:rowOff>9525</xdr:rowOff>
        </xdr:from>
        <xdr:ext cx="800100" cy="476250"/>
        <xdr:sp macro="" textlink="">
          <xdr:nvSpPr>
            <xdr:cNvPr id="1288" name="Check Box 264" hidden="1">
              <a:extLst>
                <a:ext uri="{63B3BB69-23CF-44E3-9099-C40C66FF867C}">
                  <a14:compatExt spid="_x0000_s1288"/>
                </a:ext>
                <a:ext uri="{FF2B5EF4-FFF2-40B4-BE49-F238E27FC236}">
                  <a16:creationId xmlns:a16="http://schemas.microsoft.com/office/drawing/2014/main" id="{7D72CD16-5DF3-46BE-9A4C-4549FE07B5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265</xdr:row>
          <xdr:rowOff>9525</xdr:rowOff>
        </xdr:from>
        <xdr:ext cx="800100" cy="476250"/>
        <xdr:sp macro="" textlink="">
          <xdr:nvSpPr>
            <xdr:cNvPr id="1289" name="Check Box 265" hidden="1">
              <a:extLst>
                <a:ext uri="{63B3BB69-23CF-44E3-9099-C40C66FF867C}">
                  <a14:compatExt spid="_x0000_s1289"/>
                </a:ext>
                <a:ext uri="{FF2B5EF4-FFF2-40B4-BE49-F238E27FC236}">
                  <a16:creationId xmlns:a16="http://schemas.microsoft.com/office/drawing/2014/main" id="{279DF3D4-955A-4A9E-82CF-960CB4F18C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266</xdr:row>
          <xdr:rowOff>9525</xdr:rowOff>
        </xdr:from>
        <xdr:ext cx="800100" cy="476250"/>
        <xdr:sp macro="" textlink="">
          <xdr:nvSpPr>
            <xdr:cNvPr id="1290" name="Check Box 266" hidden="1">
              <a:extLst>
                <a:ext uri="{63B3BB69-23CF-44E3-9099-C40C66FF867C}">
                  <a14:compatExt spid="_x0000_s1290"/>
                </a:ext>
                <a:ext uri="{FF2B5EF4-FFF2-40B4-BE49-F238E27FC236}">
                  <a16:creationId xmlns:a16="http://schemas.microsoft.com/office/drawing/2014/main" id="{038FA8DB-945D-4DEE-82C1-8B4374EB7E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267</xdr:row>
          <xdr:rowOff>9525</xdr:rowOff>
        </xdr:from>
        <xdr:ext cx="800100" cy="476250"/>
        <xdr:sp macro="" textlink="">
          <xdr:nvSpPr>
            <xdr:cNvPr id="1291" name="Check Box 267" hidden="1">
              <a:extLst>
                <a:ext uri="{63B3BB69-23CF-44E3-9099-C40C66FF867C}">
                  <a14:compatExt spid="_x0000_s1291"/>
                </a:ext>
                <a:ext uri="{FF2B5EF4-FFF2-40B4-BE49-F238E27FC236}">
                  <a16:creationId xmlns:a16="http://schemas.microsoft.com/office/drawing/2014/main" id="{00EE9323-3598-4401-B4DE-B751FC6AC4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268</xdr:row>
          <xdr:rowOff>9525</xdr:rowOff>
        </xdr:from>
        <xdr:ext cx="800100" cy="476250"/>
        <xdr:sp macro="" textlink="">
          <xdr:nvSpPr>
            <xdr:cNvPr id="1292" name="Check Box 268" hidden="1">
              <a:extLst>
                <a:ext uri="{63B3BB69-23CF-44E3-9099-C40C66FF867C}">
                  <a14:compatExt spid="_x0000_s1292"/>
                </a:ext>
                <a:ext uri="{FF2B5EF4-FFF2-40B4-BE49-F238E27FC236}">
                  <a16:creationId xmlns:a16="http://schemas.microsoft.com/office/drawing/2014/main" id="{54483CCF-0AB4-46E7-8525-44027C22F7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269</xdr:row>
          <xdr:rowOff>9525</xdr:rowOff>
        </xdr:from>
        <xdr:ext cx="800100" cy="476250"/>
        <xdr:sp macro="" textlink="">
          <xdr:nvSpPr>
            <xdr:cNvPr id="1293" name="Check Box 269" hidden="1">
              <a:extLst>
                <a:ext uri="{63B3BB69-23CF-44E3-9099-C40C66FF867C}">
                  <a14:compatExt spid="_x0000_s1293"/>
                </a:ext>
                <a:ext uri="{FF2B5EF4-FFF2-40B4-BE49-F238E27FC236}">
                  <a16:creationId xmlns:a16="http://schemas.microsoft.com/office/drawing/2014/main" id="{B91DDA4E-A307-46F6-8A41-19B87DDA7B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270</xdr:row>
          <xdr:rowOff>9525</xdr:rowOff>
        </xdr:from>
        <xdr:ext cx="800100" cy="476250"/>
        <xdr:sp macro="" textlink="">
          <xdr:nvSpPr>
            <xdr:cNvPr id="1294" name="Check Box 270" hidden="1">
              <a:extLst>
                <a:ext uri="{63B3BB69-23CF-44E3-9099-C40C66FF867C}">
                  <a14:compatExt spid="_x0000_s1294"/>
                </a:ext>
                <a:ext uri="{FF2B5EF4-FFF2-40B4-BE49-F238E27FC236}">
                  <a16:creationId xmlns:a16="http://schemas.microsoft.com/office/drawing/2014/main" id="{3CE43B44-36EF-4EAD-81D2-27D21B1177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271</xdr:row>
          <xdr:rowOff>9525</xdr:rowOff>
        </xdr:from>
        <xdr:ext cx="800100" cy="476250"/>
        <xdr:sp macro="" textlink="">
          <xdr:nvSpPr>
            <xdr:cNvPr id="1295" name="Check Box 271" hidden="1">
              <a:extLst>
                <a:ext uri="{63B3BB69-23CF-44E3-9099-C40C66FF867C}">
                  <a14:compatExt spid="_x0000_s1295"/>
                </a:ext>
                <a:ext uri="{FF2B5EF4-FFF2-40B4-BE49-F238E27FC236}">
                  <a16:creationId xmlns:a16="http://schemas.microsoft.com/office/drawing/2014/main" id="{99019F2C-3EE5-49EF-BF4E-D734EFF03C4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272</xdr:row>
          <xdr:rowOff>9525</xdr:rowOff>
        </xdr:from>
        <xdr:ext cx="800100" cy="476250"/>
        <xdr:sp macro="" textlink="">
          <xdr:nvSpPr>
            <xdr:cNvPr id="1296" name="Check Box 272" hidden="1">
              <a:extLst>
                <a:ext uri="{63B3BB69-23CF-44E3-9099-C40C66FF867C}">
                  <a14:compatExt spid="_x0000_s1296"/>
                </a:ext>
                <a:ext uri="{FF2B5EF4-FFF2-40B4-BE49-F238E27FC236}">
                  <a16:creationId xmlns:a16="http://schemas.microsoft.com/office/drawing/2014/main" id="{9E8EED86-7FE2-4393-881E-553B0A10BF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273</xdr:row>
          <xdr:rowOff>9525</xdr:rowOff>
        </xdr:from>
        <xdr:ext cx="800100" cy="476250"/>
        <xdr:sp macro="" textlink="">
          <xdr:nvSpPr>
            <xdr:cNvPr id="1297" name="Check Box 273" hidden="1">
              <a:extLst>
                <a:ext uri="{63B3BB69-23CF-44E3-9099-C40C66FF867C}">
                  <a14:compatExt spid="_x0000_s1297"/>
                </a:ext>
                <a:ext uri="{FF2B5EF4-FFF2-40B4-BE49-F238E27FC236}">
                  <a16:creationId xmlns:a16="http://schemas.microsoft.com/office/drawing/2014/main" id="{EFA7D757-7A5D-4F1E-BC32-5FC1A77F46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274</xdr:row>
          <xdr:rowOff>9525</xdr:rowOff>
        </xdr:from>
        <xdr:ext cx="800100" cy="476250"/>
        <xdr:sp macro="" textlink="">
          <xdr:nvSpPr>
            <xdr:cNvPr id="1298" name="Check Box 274" hidden="1">
              <a:extLst>
                <a:ext uri="{63B3BB69-23CF-44E3-9099-C40C66FF867C}">
                  <a14:compatExt spid="_x0000_s1298"/>
                </a:ext>
                <a:ext uri="{FF2B5EF4-FFF2-40B4-BE49-F238E27FC236}">
                  <a16:creationId xmlns:a16="http://schemas.microsoft.com/office/drawing/2014/main" id="{94B14EB2-F4B9-4069-9653-BDC9F1CA9E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275</xdr:row>
          <xdr:rowOff>9525</xdr:rowOff>
        </xdr:from>
        <xdr:ext cx="800100" cy="476250"/>
        <xdr:sp macro="" textlink="">
          <xdr:nvSpPr>
            <xdr:cNvPr id="1299" name="Check Box 275" hidden="1">
              <a:extLst>
                <a:ext uri="{63B3BB69-23CF-44E3-9099-C40C66FF867C}">
                  <a14:compatExt spid="_x0000_s1299"/>
                </a:ext>
                <a:ext uri="{FF2B5EF4-FFF2-40B4-BE49-F238E27FC236}">
                  <a16:creationId xmlns:a16="http://schemas.microsoft.com/office/drawing/2014/main" id="{66F5888A-DF88-490F-8110-BA49550A6B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276</xdr:row>
          <xdr:rowOff>9525</xdr:rowOff>
        </xdr:from>
        <xdr:ext cx="800100" cy="476250"/>
        <xdr:sp macro="" textlink="">
          <xdr:nvSpPr>
            <xdr:cNvPr id="1300" name="Check Box 276" hidden="1">
              <a:extLst>
                <a:ext uri="{63B3BB69-23CF-44E3-9099-C40C66FF867C}">
                  <a14:compatExt spid="_x0000_s1300"/>
                </a:ext>
                <a:ext uri="{FF2B5EF4-FFF2-40B4-BE49-F238E27FC236}">
                  <a16:creationId xmlns:a16="http://schemas.microsoft.com/office/drawing/2014/main" id="{8E37BD18-C6E8-4E94-8C4E-F1DC08CD1A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277</xdr:row>
          <xdr:rowOff>9525</xdr:rowOff>
        </xdr:from>
        <xdr:ext cx="800100" cy="476250"/>
        <xdr:sp macro="" textlink="">
          <xdr:nvSpPr>
            <xdr:cNvPr id="1301" name="Check Box 277" hidden="1">
              <a:extLst>
                <a:ext uri="{63B3BB69-23CF-44E3-9099-C40C66FF867C}">
                  <a14:compatExt spid="_x0000_s1301"/>
                </a:ext>
                <a:ext uri="{FF2B5EF4-FFF2-40B4-BE49-F238E27FC236}">
                  <a16:creationId xmlns:a16="http://schemas.microsoft.com/office/drawing/2014/main" id="{F4E7C1B5-DC2C-4946-8BBD-F20F4A35BB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278</xdr:row>
          <xdr:rowOff>9525</xdr:rowOff>
        </xdr:from>
        <xdr:ext cx="800100" cy="476250"/>
        <xdr:sp macro="" textlink="">
          <xdr:nvSpPr>
            <xdr:cNvPr id="1302" name="Check Box 278" hidden="1">
              <a:extLst>
                <a:ext uri="{63B3BB69-23CF-44E3-9099-C40C66FF867C}">
                  <a14:compatExt spid="_x0000_s1302"/>
                </a:ext>
                <a:ext uri="{FF2B5EF4-FFF2-40B4-BE49-F238E27FC236}">
                  <a16:creationId xmlns:a16="http://schemas.microsoft.com/office/drawing/2014/main" id="{F9747B41-63BB-406D-A675-F639C14391E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279</xdr:row>
          <xdr:rowOff>9525</xdr:rowOff>
        </xdr:from>
        <xdr:ext cx="800100" cy="476250"/>
        <xdr:sp macro="" textlink="">
          <xdr:nvSpPr>
            <xdr:cNvPr id="1303" name="Check Box 279" hidden="1">
              <a:extLst>
                <a:ext uri="{63B3BB69-23CF-44E3-9099-C40C66FF867C}">
                  <a14:compatExt spid="_x0000_s1303"/>
                </a:ext>
                <a:ext uri="{FF2B5EF4-FFF2-40B4-BE49-F238E27FC236}">
                  <a16:creationId xmlns:a16="http://schemas.microsoft.com/office/drawing/2014/main" id="{48ECF76C-303E-4FFC-BEB5-E7A2207676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280</xdr:row>
          <xdr:rowOff>9525</xdr:rowOff>
        </xdr:from>
        <xdr:ext cx="800100" cy="476250"/>
        <xdr:sp macro="" textlink="">
          <xdr:nvSpPr>
            <xdr:cNvPr id="1304" name="Check Box 280" hidden="1">
              <a:extLst>
                <a:ext uri="{63B3BB69-23CF-44E3-9099-C40C66FF867C}">
                  <a14:compatExt spid="_x0000_s1304"/>
                </a:ext>
                <a:ext uri="{FF2B5EF4-FFF2-40B4-BE49-F238E27FC236}">
                  <a16:creationId xmlns:a16="http://schemas.microsoft.com/office/drawing/2014/main" id="{96147118-C107-4A6B-BEB0-BEEB2AA9B6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281</xdr:row>
          <xdr:rowOff>9525</xdr:rowOff>
        </xdr:from>
        <xdr:ext cx="800100" cy="476250"/>
        <xdr:sp macro="" textlink="">
          <xdr:nvSpPr>
            <xdr:cNvPr id="1305" name="Check Box 281" hidden="1">
              <a:extLst>
                <a:ext uri="{63B3BB69-23CF-44E3-9099-C40C66FF867C}">
                  <a14:compatExt spid="_x0000_s1305"/>
                </a:ext>
                <a:ext uri="{FF2B5EF4-FFF2-40B4-BE49-F238E27FC236}">
                  <a16:creationId xmlns:a16="http://schemas.microsoft.com/office/drawing/2014/main" id="{E62765C8-7BA7-4270-8543-F6BA3410AD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282</xdr:row>
          <xdr:rowOff>9525</xdr:rowOff>
        </xdr:from>
        <xdr:ext cx="800100" cy="476250"/>
        <xdr:sp macro="" textlink="">
          <xdr:nvSpPr>
            <xdr:cNvPr id="1306" name="Check Box 282" hidden="1">
              <a:extLst>
                <a:ext uri="{63B3BB69-23CF-44E3-9099-C40C66FF867C}">
                  <a14:compatExt spid="_x0000_s1306"/>
                </a:ext>
                <a:ext uri="{FF2B5EF4-FFF2-40B4-BE49-F238E27FC236}">
                  <a16:creationId xmlns:a16="http://schemas.microsoft.com/office/drawing/2014/main" id="{8FBE5D58-DB57-4D6B-9EEB-D44E1BCB7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283</xdr:row>
          <xdr:rowOff>9525</xdr:rowOff>
        </xdr:from>
        <xdr:ext cx="800100" cy="476250"/>
        <xdr:sp macro="" textlink="">
          <xdr:nvSpPr>
            <xdr:cNvPr id="1307" name="Check Box 283" hidden="1">
              <a:extLst>
                <a:ext uri="{63B3BB69-23CF-44E3-9099-C40C66FF867C}">
                  <a14:compatExt spid="_x0000_s1307"/>
                </a:ext>
                <a:ext uri="{FF2B5EF4-FFF2-40B4-BE49-F238E27FC236}">
                  <a16:creationId xmlns:a16="http://schemas.microsoft.com/office/drawing/2014/main" id="{9958A707-B812-454A-92D5-9BD4DFAA5F0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284</xdr:row>
          <xdr:rowOff>9525</xdr:rowOff>
        </xdr:from>
        <xdr:ext cx="800100" cy="476250"/>
        <xdr:sp macro="" textlink="">
          <xdr:nvSpPr>
            <xdr:cNvPr id="1308" name="Check Box 284" hidden="1">
              <a:extLst>
                <a:ext uri="{63B3BB69-23CF-44E3-9099-C40C66FF867C}">
                  <a14:compatExt spid="_x0000_s1308"/>
                </a:ext>
                <a:ext uri="{FF2B5EF4-FFF2-40B4-BE49-F238E27FC236}">
                  <a16:creationId xmlns:a16="http://schemas.microsoft.com/office/drawing/2014/main" id="{B4D24656-DF5B-454D-80AF-9EB72E03C0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285</xdr:row>
          <xdr:rowOff>9525</xdr:rowOff>
        </xdr:from>
        <xdr:ext cx="800100" cy="476250"/>
        <xdr:sp macro="" textlink="">
          <xdr:nvSpPr>
            <xdr:cNvPr id="1309" name="Check Box 285" hidden="1">
              <a:extLst>
                <a:ext uri="{63B3BB69-23CF-44E3-9099-C40C66FF867C}">
                  <a14:compatExt spid="_x0000_s1309"/>
                </a:ext>
                <a:ext uri="{FF2B5EF4-FFF2-40B4-BE49-F238E27FC236}">
                  <a16:creationId xmlns:a16="http://schemas.microsoft.com/office/drawing/2014/main" id="{6EEB2134-0686-4649-8538-5627894F7E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286</xdr:row>
          <xdr:rowOff>9525</xdr:rowOff>
        </xdr:from>
        <xdr:ext cx="800100" cy="476250"/>
        <xdr:sp macro="" textlink="">
          <xdr:nvSpPr>
            <xdr:cNvPr id="1310" name="Check Box 286" hidden="1">
              <a:extLst>
                <a:ext uri="{63B3BB69-23CF-44E3-9099-C40C66FF867C}">
                  <a14:compatExt spid="_x0000_s1310"/>
                </a:ext>
                <a:ext uri="{FF2B5EF4-FFF2-40B4-BE49-F238E27FC236}">
                  <a16:creationId xmlns:a16="http://schemas.microsoft.com/office/drawing/2014/main" id="{A8FF27C7-53A6-4149-99F1-A1F88730ED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287</xdr:row>
          <xdr:rowOff>9525</xdr:rowOff>
        </xdr:from>
        <xdr:ext cx="800100" cy="476250"/>
        <xdr:sp macro="" textlink="">
          <xdr:nvSpPr>
            <xdr:cNvPr id="1311" name="Check Box 287" hidden="1">
              <a:extLst>
                <a:ext uri="{63B3BB69-23CF-44E3-9099-C40C66FF867C}">
                  <a14:compatExt spid="_x0000_s1311"/>
                </a:ext>
                <a:ext uri="{FF2B5EF4-FFF2-40B4-BE49-F238E27FC236}">
                  <a16:creationId xmlns:a16="http://schemas.microsoft.com/office/drawing/2014/main" id="{A0B35EAA-7AD0-44F6-BDAD-E75ED6C6EE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288</xdr:row>
          <xdr:rowOff>9525</xdr:rowOff>
        </xdr:from>
        <xdr:ext cx="800100" cy="476250"/>
        <xdr:sp macro="" textlink="">
          <xdr:nvSpPr>
            <xdr:cNvPr id="1312" name="Check Box 288" hidden="1">
              <a:extLst>
                <a:ext uri="{63B3BB69-23CF-44E3-9099-C40C66FF867C}">
                  <a14:compatExt spid="_x0000_s1312"/>
                </a:ext>
                <a:ext uri="{FF2B5EF4-FFF2-40B4-BE49-F238E27FC236}">
                  <a16:creationId xmlns:a16="http://schemas.microsoft.com/office/drawing/2014/main" id="{34F317BF-98F7-40D5-B071-DB6FD47840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289</xdr:row>
          <xdr:rowOff>9525</xdr:rowOff>
        </xdr:from>
        <xdr:ext cx="800100" cy="476250"/>
        <xdr:sp macro="" textlink="">
          <xdr:nvSpPr>
            <xdr:cNvPr id="1313" name="Check Box 289" hidden="1">
              <a:extLst>
                <a:ext uri="{63B3BB69-23CF-44E3-9099-C40C66FF867C}">
                  <a14:compatExt spid="_x0000_s1313"/>
                </a:ext>
                <a:ext uri="{FF2B5EF4-FFF2-40B4-BE49-F238E27FC236}">
                  <a16:creationId xmlns:a16="http://schemas.microsoft.com/office/drawing/2014/main" id="{F67A64B1-1E20-4109-A306-30E460E3BF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290</xdr:row>
          <xdr:rowOff>9525</xdr:rowOff>
        </xdr:from>
        <xdr:ext cx="800100" cy="476250"/>
        <xdr:sp macro="" textlink="">
          <xdr:nvSpPr>
            <xdr:cNvPr id="1314" name="Check Box 290" hidden="1">
              <a:extLst>
                <a:ext uri="{63B3BB69-23CF-44E3-9099-C40C66FF867C}">
                  <a14:compatExt spid="_x0000_s1314"/>
                </a:ext>
                <a:ext uri="{FF2B5EF4-FFF2-40B4-BE49-F238E27FC236}">
                  <a16:creationId xmlns:a16="http://schemas.microsoft.com/office/drawing/2014/main" id="{9AE55AEE-C338-4E79-B611-5E63EA075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291</xdr:row>
          <xdr:rowOff>9525</xdr:rowOff>
        </xdr:from>
        <xdr:ext cx="800100" cy="476250"/>
        <xdr:sp macro="" textlink="">
          <xdr:nvSpPr>
            <xdr:cNvPr id="1315" name="Check Box 291" hidden="1">
              <a:extLst>
                <a:ext uri="{63B3BB69-23CF-44E3-9099-C40C66FF867C}">
                  <a14:compatExt spid="_x0000_s1315"/>
                </a:ext>
                <a:ext uri="{FF2B5EF4-FFF2-40B4-BE49-F238E27FC236}">
                  <a16:creationId xmlns:a16="http://schemas.microsoft.com/office/drawing/2014/main" id="{96082226-861A-495A-AAE2-78D664EA97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292</xdr:row>
          <xdr:rowOff>9525</xdr:rowOff>
        </xdr:from>
        <xdr:ext cx="800100" cy="476250"/>
        <xdr:sp macro="" textlink="">
          <xdr:nvSpPr>
            <xdr:cNvPr id="1316" name="Check Box 292" hidden="1">
              <a:extLst>
                <a:ext uri="{63B3BB69-23CF-44E3-9099-C40C66FF867C}">
                  <a14:compatExt spid="_x0000_s1316"/>
                </a:ext>
                <a:ext uri="{FF2B5EF4-FFF2-40B4-BE49-F238E27FC236}">
                  <a16:creationId xmlns:a16="http://schemas.microsoft.com/office/drawing/2014/main" id="{97F612E0-8884-470D-8DFE-4C851936BE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293</xdr:row>
          <xdr:rowOff>9525</xdr:rowOff>
        </xdr:from>
        <xdr:ext cx="800100" cy="476250"/>
        <xdr:sp macro="" textlink="">
          <xdr:nvSpPr>
            <xdr:cNvPr id="1317" name="Check Box 293" hidden="1">
              <a:extLst>
                <a:ext uri="{63B3BB69-23CF-44E3-9099-C40C66FF867C}">
                  <a14:compatExt spid="_x0000_s1317"/>
                </a:ext>
                <a:ext uri="{FF2B5EF4-FFF2-40B4-BE49-F238E27FC236}">
                  <a16:creationId xmlns:a16="http://schemas.microsoft.com/office/drawing/2014/main" id="{1AB8CBCD-B63B-4822-9F36-EBE39B5E87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294</xdr:row>
          <xdr:rowOff>9525</xdr:rowOff>
        </xdr:from>
        <xdr:ext cx="800100" cy="476250"/>
        <xdr:sp macro="" textlink="">
          <xdr:nvSpPr>
            <xdr:cNvPr id="1318" name="Check Box 294" hidden="1">
              <a:extLst>
                <a:ext uri="{63B3BB69-23CF-44E3-9099-C40C66FF867C}">
                  <a14:compatExt spid="_x0000_s1318"/>
                </a:ext>
                <a:ext uri="{FF2B5EF4-FFF2-40B4-BE49-F238E27FC236}">
                  <a16:creationId xmlns:a16="http://schemas.microsoft.com/office/drawing/2014/main" id="{A10B43B6-6924-461B-938A-13749244E8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295</xdr:row>
          <xdr:rowOff>9525</xdr:rowOff>
        </xdr:from>
        <xdr:ext cx="800100" cy="476250"/>
        <xdr:sp macro="" textlink="">
          <xdr:nvSpPr>
            <xdr:cNvPr id="1319" name="Check Box 295" hidden="1">
              <a:extLst>
                <a:ext uri="{63B3BB69-23CF-44E3-9099-C40C66FF867C}">
                  <a14:compatExt spid="_x0000_s1319"/>
                </a:ext>
                <a:ext uri="{FF2B5EF4-FFF2-40B4-BE49-F238E27FC236}">
                  <a16:creationId xmlns:a16="http://schemas.microsoft.com/office/drawing/2014/main" id="{0F0909B9-913E-4FE3-9319-30B2B447EC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296</xdr:row>
          <xdr:rowOff>9525</xdr:rowOff>
        </xdr:from>
        <xdr:ext cx="800100" cy="476250"/>
        <xdr:sp macro="" textlink="">
          <xdr:nvSpPr>
            <xdr:cNvPr id="1320" name="Check Box 296" hidden="1">
              <a:extLst>
                <a:ext uri="{63B3BB69-23CF-44E3-9099-C40C66FF867C}">
                  <a14:compatExt spid="_x0000_s1320"/>
                </a:ext>
                <a:ext uri="{FF2B5EF4-FFF2-40B4-BE49-F238E27FC236}">
                  <a16:creationId xmlns:a16="http://schemas.microsoft.com/office/drawing/2014/main" id="{86F92327-7186-4D3D-A7CA-518688714F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297</xdr:row>
          <xdr:rowOff>9525</xdr:rowOff>
        </xdr:from>
        <xdr:ext cx="800100" cy="476250"/>
        <xdr:sp macro="" textlink="">
          <xdr:nvSpPr>
            <xdr:cNvPr id="1321" name="Check Box 297" hidden="1">
              <a:extLst>
                <a:ext uri="{63B3BB69-23CF-44E3-9099-C40C66FF867C}">
                  <a14:compatExt spid="_x0000_s1321"/>
                </a:ext>
                <a:ext uri="{FF2B5EF4-FFF2-40B4-BE49-F238E27FC236}">
                  <a16:creationId xmlns:a16="http://schemas.microsoft.com/office/drawing/2014/main" id="{E70D4C17-4E51-4BBD-8A98-AA9E6DDE0B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298</xdr:row>
          <xdr:rowOff>9525</xdr:rowOff>
        </xdr:from>
        <xdr:ext cx="800100" cy="476250"/>
        <xdr:sp macro="" textlink="">
          <xdr:nvSpPr>
            <xdr:cNvPr id="1322" name="Check Box 298" hidden="1">
              <a:extLst>
                <a:ext uri="{63B3BB69-23CF-44E3-9099-C40C66FF867C}">
                  <a14:compatExt spid="_x0000_s1322"/>
                </a:ext>
                <a:ext uri="{FF2B5EF4-FFF2-40B4-BE49-F238E27FC236}">
                  <a16:creationId xmlns:a16="http://schemas.microsoft.com/office/drawing/2014/main" id="{97D8C8F6-D7DC-4C74-96C9-E9E62BBAE9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299</xdr:row>
          <xdr:rowOff>9525</xdr:rowOff>
        </xdr:from>
        <xdr:ext cx="800100" cy="476250"/>
        <xdr:sp macro="" textlink="">
          <xdr:nvSpPr>
            <xdr:cNvPr id="1323" name="Check Box 299" hidden="1">
              <a:extLst>
                <a:ext uri="{63B3BB69-23CF-44E3-9099-C40C66FF867C}">
                  <a14:compatExt spid="_x0000_s1323"/>
                </a:ext>
                <a:ext uri="{FF2B5EF4-FFF2-40B4-BE49-F238E27FC236}">
                  <a16:creationId xmlns:a16="http://schemas.microsoft.com/office/drawing/2014/main" id="{9C2DEB43-65C4-4380-98CC-87B8D4842A7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300</xdr:row>
          <xdr:rowOff>9525</xdr:rowOff>
        </xdr:from>
        <xdr:ext cx="800100" cy="476250"/>
        <xdr:sp macro="" textlink="">
          <xdr:nvSpPr>
            <xdr:cNvPr id="1324" name="Check Box 300" hidden="1">
              <a:extLst>
                <a:ext uri="{63B3BB69-23CF-44E3-9099-C40C66FF867C}">
                  <a14:compatExt spid="_x0000_s1324"/>
                </a:ext>
                <a:ext uri="{FF2B5EF4-FFF2-40B4-BE49-F238E27FC236}">
                  <a16:creationId xmlns:a16="http://schemas.microsoft.com/office/drawing/2014/main" id="{1EEFA957-E1D3-4C24-A2C4-098014FC92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301</xdr:row>
          <xdr:rowOff>9525</xdr:rowOff>
        </xdr:from>
        <xdr:ext cx="800100" cy="476250"/>
        <xdr:sp macro="" textlink="">
          <xdr:nvSpPr>
            <xdr:cNvPr id="1325" name="Check Box 301" hidden="1">
              <a:extLst>
                <a:ext uri="{63B3BB69-23CF-44E3-9099-C40C66FF867C}">
                  <a14:compatExt spid="_x0000_s1325"/>
                </a:ext>
                <a:ext uri="{FF2B5EF4-FFF2-40B4-BE49-F238E27FC236}">
                  <a16:creationId xmlns:a16="http://schemas.microsoft.com/office/drawing/2014/main" id="{C0398C25-9E85-4D5F-AC94-665630D23B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302</xdr:row>
          <xdr:rowOff>9525</xdr:rowOff>
        </xdr:from>
        <xdr:ext cx="800100" cy="476250"/>
        <xdr:sp macro="" textlink="">
          <xdr:nvSpPr>
            <xdr:cNvPr id="1326" name="Check Box 302" hidden="1">
              <a:extLst>
                <a:ext uri="{63B3BB69-23CF-44E3-9099-C40C66FF867C}">
                  <a14:compatExt spid="_x0000_s1326"/>
                </a:ext>
                <a:ext uri="{FF2B5EF4-FFF2-40B4-BE49-F238E27FC236}">
                  <a16:creationId xmlns:a16="http://schemas.microsoft.com/office/drawing/2014/main" id="{D060B828-721C-463F-9FF7-10124E5E24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303</xdr:row>
          <xdr:rowOff>9525</xdr:rowOff>
        </xdr:from>
        <xdr:ext cx="800100" cy="476250"/>
        <xdr:sp macro="" textlink="">
          <xdr:nvSpPr>
            <xdr:cNvPr id="1327" name="Check Box 303" hidden="1">
              <a:extLst>
                <a:ext uri="{63B3BB69-23CF-44E3-9099-C40C66FF867C}">
                  <a14:compatExt spid="_x0000_s1327"/>
                </a:ext>
                <a:ext uri="{FF2B5EF4-FFF2-40B4-BE49-F238E27FC236}">
                  <a16:creationId xmlns:a16="http://schemas.microsoft.com/office/drawing/2014/main" id="{469A1D16-3625-405A-8EF3-D58FC59F93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304</xdr:row>
          <xdr:rowOff>9525</xdr:rowOff>
        </xdr:from>
        <xdr:ext cx="800100" cy="476250"/>
        <xdr:sp macro="" textlink="">
          <xdr:nvSpPr>
            <xdr:cNvPr id="1328" name="Check Box 304" hidden="1">
              <a:extLst>
                <a:ext uri="{63B3BB69-23CF-44E3-9099-C40C66FF867C}">
                  <a14:compatExt spid="_x0000_s1328"/>
                </a:ext>
                <a:ext uri="{FF2B5EF4-FFF2-40B4-BE49-F238E27FC236}">
                  <a16:creationId xmlns:a16="http://schemas.microsoft.com/office/drawing/2014/main" id="{8B311E00-1237-4B56-ACA2-0AF7274C9C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305</xdr:row>
          <xdr:rowOff>9525</xdr:rowOff>
        </xdr:from>
        <xdr:ext cx="800100" cy="476250"/>
        <xdr:sp macro="" textlink="">
          <xdr:nvSpPr>
            <xdr:cNvPr id="1329" name="Check Box 305" hidden="1">
              <a:extLst>
                <a:ext uri="{63B3BB69-23CF-44E3-9099-C40C66FF867C}">
                  <a14:compatExt spid="_x0000_s1329"/>
                </a:ext>
                <a:ext uri="{FF2B5EF4-FFF2-40B4-BE49-F238E27FC236}">
                  <a16:creationId xmlns:a16="http://schemas.microsoft.com/office/drawing/2014/main" id="{9DC3D70D-C70D-428C-9F9B-FADAB4CFF2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306</xdr:row>
          <xdr:rowOff>9525</xdr:rowOff>
        </xdr:from>
        <xdr:ext cx="800100" cy="476250"/>
        <xdr:sp macro="" textlink="">
          <xdr:nvSpPr>
            <xdr:cNvPr id="1330" name="Check Box 306" hidden="1">
              <a:extLst>
                <a:ext uri="{63B3BB69-23CF-44E3-9099-C40C66FF867C}">
                  <a14:compatExt spid="_x0000_s1330"/>
                </a:ext>
                <a:ext uri="{FF2B5EF4-FFF2-40B4-BE49-F238E27FC236}">
                  <a16:creationId xmlns:a16="http://schemas.microsoft.com/office/drawing/2014/main" id="{C12CF001-53F2-4306-BBC6-683266C550B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307</xdr:row>
          <xdr:rowOff>9525</xdr:rowOff>
        </xdr:from>
        <xdr:ext cx="800100" cy="476250"/>
        <xdr:sp macro="" textlink="">
          <xdr:nvSpPr>
            <xdr:cNvPr id="1331" name="Check Box 307" hidden="1">
              <a:extLst>
                <a:ext uri="{63B3BB69-23CF-44E3-9099-C40C66FF867C}">
                  <a14:compatExt spid="_x0000_s1331"/>
                </a:ext>
                <a:ext uri="{FF2B5EF4-FFF2-40B4-BE49-F238E27FC236}">
                  <a16:creationId xmlns:a16="http://schemas.microsoft.com/office/drawing/2014/main" id="{0F0B70B3-3E91-44E1-9330-86C33C87BCF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308</xdr:row>
          <xdr:rowOff>9525</xdr:rowOff>
        </xdr:from>
        <xdr:ext cx="800100" cy="476250"/>
        <xdr:sp macro="" textlink="">
          <xdr:nvSpPr>
            <xdr:cNvPr id="1332" name="Check Box 308" hidden="1">
              <a:extLst>
                <a:ext uri="{63B3BB69-23CF-44E3-9099-C40C66FF867C}">
                  <a14:compatExt spid="_x0000_s1332"/>
                </a:ext>
                <a:ext uri="{FF2B5EF4-FFF2-40B4-BE49-F238E27FC236}">
                  <a16:creationId xmlns:a16="http://schemas.microsoft.com/office/drawing/2014/main" id="{8D2DC898-0E81-4394-88CA-777F40E974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309</xdr:row>
          <xdr:rowOff>9525</xdr:rowOff>
        </xdr:from>
        <xdr:ext cx="800100" cy="476250"/>
        <xdr:sp macro="" textlink="">
          <xdr:nvSpPr>
            <xdr:cNvPr id="1333" name="Check Box 309" hidden="1">
              <a:extLst>
                <a:ext uri="{63B3BB69-23CF-44E3-9099-C40C66FF867C}">
                  <a14:compatExt spid="_x0000_s1333"/>
                </a:ext>
                <a:ext uri="{FF2B5EF4-FFF2-40B4-BE49-F238E27FC236}">
                  <a16:creationId xmlns:a16="http://schemas.microsoft.com/office/drawing/2014/main" id="{1CFEBAA0-3213-40C6-B548-F7857B7E4D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310</xdr:row>
          <xdr:rowOff>9525</xdr:rowOff>
        </xdr:from>
        <xdr:ext cx="800100" cy="476250"/>
        <xdr:sp macro="" textlink="">
          <xdr:nvSpPr>
            <xdr:cNvPr id="1334" name="Check Box 310" hidden="1">
              <a:extLst>
                <a:ext uri="{63B3BB69-23CF-44E3-9099-C40C66FF867C}">
                  <a14:compatExt spid="_x0000_s1334"/>
                </a:ext>
                <a:ext uri="{FF2B5EF4-FFF2-40B4-BE49-F238E27FC236}">
                  <a16:creationId xmlns:a16="http://schemas.microsoft.com/office/drawing/2014/main" id="{25548A29-56CD-4DD9-87DA-E68AE7579AE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311</xdr:row>
          <xdr:rowOff>9525</xdr:rowOff>
        </xdr:from>
        <xdr:ext cx="800100" cy="476250"/>
        <xdr:sp macro="" textlink="">
          <xdr:nvSpPr>
            <xdr:cNvPr id="1335" name="Check Box 311" hidden="1">
              <a:extLst>
                <a:ext uri="{63B3BB69-23CF-44E3-9099-C40C66FF867C}">
                  <a14:compatExt spid="_x0000_s1335"/>
                </a:ext>
                <a:ext uri="{FF2B5EF4-FFF2-40B4-BE49-F238E27FC236}">
                  <a16:creationId xmlns:a16="http://schemas.microsoft.com/office/drawing/2014/main" id="{1F330594-9DBD-425F-8D5E-00FACFDF3E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312</xdr:row>
          <xdr:rowOff>9525</xdr:rowOff>
        </xdr:from>
        <xdr:ext cx="800100" cy="476250"/>
        <xdr:sp macro="" textlink="">
          <xdr:nvSpPr>
            <xdr:cNvPr id="1336" name="Check Box 312" hidden="1">
              <a:extLst>
                <a:ext uri="{63B3BB69-23CF-44E3-9099-C40C66FF867C}">
                  <a14:compatExt spid="_x0000_s1336"/>
                </a:ext>
                <a:ext uri="{FF2B5EF4-FFF2-40B4-BE49-F238E27FC236}">
                  <a16:creationId xmlns:a16="http://schemas.microsoft.com/office/drawing/2014/main" id="{08A04D2C-B439-41A0-BE95-DFDCDBE847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313</xdr:row>
          <xdr:rowOff>9525</xdr:rowOff>
        </xdr:from>
        <xdr:ext cx="800100" cy="476250"/>
        <xdr:sp macro="" textlink="">
          <xdr:nvSpPr>
            <xdr:cNvPr id="1337" name="Check Box 313" hidden="1">
              <a:extLst>
                <a:ext uri="{63B3BB69-23CF-44E3-9099-C40C66FF867C}">
                  <a14:compatExt spid="_x0000_s1337"/>
                </a:ext>
                <a:ext uri="{FF2B5EF4-FFF2-40B4-BE49-F238E27FC236}">
                  <a16:creationId xmlns:a16="http://schemas.microsoft.com/office/drawing/2014/main" id="{6B317B73-A437-448E-9F1A-C693B1D33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314</xdr:row>
          <xdr:rowOff>9525</xdr:rowOff>
        </xdr:from>
        <xdr:ext cx="800100" cy="476250"/>
        <xdr:sp macro="" textlink="">
          <xdr:nvSpPr>
            <xdr:cNvPr id="1338" name="Check Box 314" hidden="1">
              <a:extLst>
                <a:ext uri="{63B3BB69-23CF-44E3-9099-C40C66FF867C}">
                  <a14:compatExt spid="_x0000_s1338"/>
                </a:ext>
                <a:ext uri="{FF2B5EF4-FFF2-40B4-BE49-F238E27FC236}">
                  <a16:creationId xmlns:a16="http://schemas.microsoft.com/office/drawing/2014/main" id="{C54BB267-EE45-4C88-A05D-2A66B51422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315</xdr:row>
          <xdr:rowOff>9525</xdr:rowOff>
        </xdr:from>
        <xdr:ext cx="800100" cy="476250"/>
        <xdr:sp macro="" textlink="">
          <xdr:nvSpPr>
            <xdr:cNvPr id="1339" name="Check Box 315" hidden="1">
              <a:extLst>
                <a:ext uri="{63B3BB69-23CF-44E3-9099-C40C66FF867C}">
                  <a14:compatExt spid="_x0000_s1339"/>
                </a:ext>
                <a:ext uri="{FF2B5EF4-FFF2-40B4-BE49-F238E27FC236}">
                  <a16:creationId xmlns:a16="http://schemas.microsoft.com/office/drawing/2014/main" id="{7A8B24F8-1D60-4534-B14D-086E97B493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316</xdr:row>
          <xdr:rowOff>9525</xdr:rowOff>
        </xdr:from>
        <xdr:ext cx="800100" cy="476250"/>
        <xdr:sp macro="" textlink="">
          <xdr:nvSpPr>
            <xdr:cNvPr id="1340" name="Check Box 316" hidden="1">
              <a:extLst>
                <a:ext uri="{63B3BB69-23CF-44E3-9099-C40C66FF867C}">
                  <a14:compatExt spid="_x0000_s1340"/>
                </a:ext>
                <a:ext uri="{FF2B5EF4-FFF2-40B4-BE49-F238E27FC236}">
                  <a16:creationId xmlns:a16="http://schemas.microsoft.com/office/drawing/2014/main" id="{7AFF96EE-8DFD-44BA-80FC-9CD3A17C1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317</xdr:row>
          <xdr:rowOff>9525</xdr:rowOff>
        </xdr:from>
        <xdr:ext cx="800100" cy="476250"/>
        <xdr:sp macro="" textlink="">
          <xdr:nvSpPr>
            <xdr:cNvPr id="1341" name="Check Box 317" hidden="1">
              <a:extLst>
                <a:ext uri="{63B3BB69-23CF-44E3-9099-C40C66FF867C}">
                  <a14:compatExt spid="_x0000_s1341"/>
                </a:ext>
                <a:ext uri="{FF2B5EF4-FFF2-40B4-BE49-F238E27FC236}">
                  <a16:creationId xmlns:a16="http://schemas.microsoft.com/office/drawing/2014/main" id="{601DD3CE-7E75-4990-AC3A-DEDD00BA9A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318</xdr:row>
          <xdr:rowOff>9525</xdr:rowOff>
        </xdr:from>
        <xdr:ext cx="800100" cy="476250"/>
        <xdr:sp macro="" textlink="">
          <xdr:nvSpPr>
            <xdr:cNvPr id="1342" name="Check Box 318" hidden="1">
              <a:extLst>
                <a:ext uri="{63B3BB69-23CF-44E3-9099-C40C66FF867C}">
                  <a14:compatExt spid="_x0000_s1342"/>
                </a:ext>
                <a:ext uri="{FF2B5EF4-FFF2-40B4-BE49-F238E27FC236}">
                  <a16:creationId xmlns:a16="http://schemas.microsoft.com/office/drawing/2014/main" id="{22447C47-6686-4B92-A661-42F506675B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319</xdr:row>
          <xdr:rowOff>9525</xdr:rowOff>
        </xdr:from>
        <xdr:ext cx="800100" cy="476250"/>
        <xdr:sp macro="" textlink="">
          <xdr:nvSpPr>
            <xdr:cNvPr id="1343" name="Check Box 319" hidden="1">
              <a:extLst>
                <a:ext uri="{63B3BB69-23CF-44E3-9099-C40C66FF867C}">
                  <a14:compatExt spid="_x0000_s1343"/>
                </a:ext>
                <a:ext uri="{FF2B5EF4-FFF2-40B4-BE49-F238E27FC236}">
                  <a16:creationId xmlns:a16="http://schemas.microsoft.com/office/drawing/2014/main" id="{57F436B2-E62C-4F78-8C30-7E717BA448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320</xdr:row>
          <xdr:rowOff>9525</xdr:rowOff>
        </xdr:from>
        <xdr:ext cx="800100" cy="476250"/>
        <xdr:sp macro="" textlink="">
          <xdr:nvSpPr>
            <xdr:cNvPr id="1344" name="Check Box 320" hidden="1">
              <a:extLst>
                <a:ext uri="{63B3BB69-23CF-44E3-9099-C40C66FF867C}">
                  <a14:compatExt spid="_x0000_s1344"/>
                </a:ext>
                <a:ext uri="{FF2B5EF4-FFF2-40B4-BE49-F238E27FC236}">
                  <a16:creationId xmlns:a16="http://schemas.microsoft.com/office/drawing/2014/main" id="{1C780EE0-B909-49CB-A6FF-4297BCD3C3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321</xdr:row>
          <xdr:rowOff>9525</xdr:rowOff>
        </xdr:from>
        <xdr:ext cx="800100" cy="476250"/>
        <xdr:sp macro="" textlink="">
          <xdr:nvSpPr>
            <xdr:cNvPr id="1345" name="Check Box 321" hidden="1">
              <a:extLst>
                <a:ext uri="{63B3BB69-23CF-44E3-9099-C40C66FF867C}">
                  <a14:compatExt spid="_x0000_s1345"/>
                </a:ext>
                <a:ext uri="{FF2B5EF4-FFF2-40B4-BE49-F238E27FC236}">
                  <a16:creationId xmlns:a16="http://schemas.microsoft.com/office/drawing/2014/main" id="{9A89623B-3D17-4AF2-AFEB-E0746E4EB9B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322</xdr:row>
          <xdr:rowOff>9525</xdr:rowOff>
        </xdr:from>
        <xdr:ext cx="800100" cy="476250"/>
        <xdr:sp macro="" textlink="">
          <xdr:nvSpPr>
            <xdr:cNvPr id="1346" name="Check Box 322" hidden="1">
              <a:extLst>
                <a:ext uri="{63B3BB69-23CF-44E3-9099-C40C66FF867C}">
                  <a14:compatExt spid="_x0000_s1346"/>
                </a:ext>
                <a:ext uri="{FF2B5EF4-FFF2-40B4-BE49-F238E27FC236}">
                  <a16:creationId xmlns:a16="http://schemas.microsoft.com/office/drawing/2014/main" id="{67CEC416-A6C0-4460-92ED-BBBB0A42EF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323</xdr:row>
          <xdr:rowOff>9525</xdr:rowOff>
        </xdr:from>
        <xdr:ext cx="800100" cy="476250"/>
        <xdr:sp macro="" textlink="">
          <xdr:nvSpPr>
            <xdr:cNvPr id="1347" name="Check Box 323" hidden="1">
              <a:extLst>
                <a:ext uri="{63B3BB69-23CF-44E3-9099-C40C66FF867C}">
                  <a14:compatExt spid="_x0000_s1347"/>
                </a:ext>
                <a:ext uri="{FF2B5EF4-FFF2-40B4-BE49-F238E27FC236}">
                  <a16:creationId xmlns:a16="http://schemas.microsoft.com/office/drawing/2014/main" id="{0B9815AB-F181-4171-9AAE-8E8F7087F1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324</xdr:row>
          <xdr:rowOff>9525</xdr:rowOff>
        </xdr:from>
        <xdr:ext cx="800100" cy="476250"/>
        <xdr:sp macro="" textlink="">
          <xdr:nvSpPr>
            <xdr:cNvPr id="1348" name="Check Box 324" hidden="1">
              <a:extLst>
                <a:ext uri="{63B3BB69-23CF-44E3-9099-C40C66FF867C}">
                  <a14:compatExt spid="_x0000_s1348"/>
                </a:ext>
                <a:ext uri="{FF2B5EF4-FFF2-40B4-BE49-F238E27FC236}">
                  <a16:creationId xmlns:a16="http://schemas.microsoft.com/office/drawing/2014/main" id="{D34AC351-50F8-4EBF-A333-C79540EDD1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325</xdr:row>
          <xdr:rowOff>9525</xdr:rowOff>
        </xdr:from>
        <xdr:ext cx="800100" cy="476250"/>
        <xdr:sp macro="" textlink="">
          <xdr:nvSpPr>
            <xdr:cNvPr id="1349" name="Check Box 325" hidden="1">
              <a:extLst>
                <a:ext uri="{63B3BB69-23CF-44E3-9099-C40C66FF867C}">
                  <a14:compatExt spid="_x0000_s1349"/>
                </a:ext>
                <a:ext uri="{FF2B5EF4-FFF2-40B4-BE49-F238E27FC236}">
                  <a16:creationId xmlns:a16="http://schemas.microsoft.com/office/drawing/2014/main" id="{2C6B7DCB-B2A3-413E-832F-60662432F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326</xdr:row>
          <xdr:rowOff>9525</xdr:rowOff>
        </xdr:from>
        <xdr:ext cx="800100" cy="476250"/>
        <xdr:sp macro="" textlink="">
          <xdr:nvSpPr>
            <xdr:cNvPr id="1350" name="Check Box 326" hidden="1">
              <a:extLst>
                <a:ext uri="{63B3BB69-23CF-44E3-9099-C40C66FF867C}">
                  <a14:compatExt spid="_x0000_s1350"/>
                </a:ext>
                <a:ext uri="{FF2B5EF4-FFF2-40B4-BE49-F238E27FC236}">
                  <a16:creationId xmlns:a16="http://schemas.microsoft.com/office/drawing/2014/main" id="{C4BA146D-25FC-491C-B3E1-16735F21307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327</xdr:row>
          <xdr:rowOff>9525</xdr:rowOff>
        </xdr:from>
        <xdr:ext cx="800100" cy="476250"/>
        <xdr:sp macro="" textlink="">
          <xdr:nvSpPr>
            <xdr:cNvPr id="1351" name="Check Box 327" hidden="1">
              <a:extLst>
                <a:ext uri="{63B3BB69-23CF-44E3-9099-C40C66FF867C}">
                  <a14:compatExt spid="_x0000_s1351"/>
                </a:ext>
                <a:ext uri="{FF2B5EF4-FFF2-40B4-BE49-F238E27FC236}">
                  <a16:creationId xmlns:a16="http://schemas.microsoft.com/office/drawing/2014/main" id="{9D855963-2238-4CB7-9B75-454A639630A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328</xdr:row>
          <xdr:rowOff>9525</xdr:rowOff>
        </xdr:from>
        <xdr:ext cx="800100" cy="476250"/>
        <xdr:sp macro="" textlink="">
          <xdr:nvSpPr>
            <xdr:cNvPr id="1352" name="Check Box 328" hidden="1">
              <a:extLst>
                <a:ext uri="{63B3BB69-23CF-44E3-9099-C40C66FF867C}">
                  <a14:compatExt spid="_x0000_s1352"/>
                </a:ext>
                <a:ext uri="{FF2B5EF4-FFF2-40B4-BE49-F238E27FC236}">
                  <a16:creationId xmlns:a16="http://schemas.microsoft.com/office/drawing/2014/main" id="{031168C1-3AFA-4837-9879-8406B0A4E2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329</xdr:row>
          <xdr:rowOff>9525</xdr:rowOff>
        </xdr:from>
        <xdr:ext cx="800100" cy="476250"/>
        <xdr:sp macro="" textlink="">
          <xdr:nvSpPr>
            <xdr:cNvPr id="1353" name="Check Box 329" hidden="1">
              <a:extLst>
                <a:ext uri="{63B3BB69-23CF-44E3-9099-C40C66FF867C}">
                  <a14:compatExt spid="_x0000_s1353"/>
                </a:ext>
                <a:ext uri="{FF2B5EF4-FFF2-40B4-BE49-F238E27FC236}">
                  <a16:creationId xmlns:a16="http://schemas.microsoft.com/office/drawing/2014/main" id="{D1D52981-2522-42B2-A360-1B12F84D44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330</xdr:row>
          <xdr:rowOff>9525</xdr:rowOff>
        </xdr:from>
        <xdr:ext cx="800100" cy="476250"/>
        <xdr:sp macro="" textlink="">
          <xdr:nvSpPr>
            <xdr:cNvPr id="1354" name="Check Box 330" hidden="1">
              <a:extLst>
                <a:ext uri="{63B3BB69-23CF-44E3-9099-C40C66FF867C}">
                  <a14:compatExt spid="_x0000_s1354"/>
                </a:ext>
                <a:ext uri="{FF2B5EF4-FFF2-40B4-BE49-F238E27FC236}">
                  <a16:creationId xmlns:a16="http://schemas.microsoft.com/office/drawing/2014/main" id="{6368E33C-3132-4A0E-8FF3-55D335EFF7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331</xdr:row>
          <xdr:rowOff>9525</xdr:rowOff>
        </xdr:from>
        <xdr:ext cx="800100" cy="476250"/>
        <xdr:sp macro="" textlink="">
          <xdr:nvSpPr>
            <xdr:cNvPr id="1355" name="Check Box 331" hidden="1">
              <a:extLst>
                <a:ext uri="{63B3BB69-23CF-44E3-9099-C40C66FF867C}">
                  <a14:compatExt spid="_x0000_s1355"/>
                </a:ext>
                <a:ext uri="{FF2B5EF4-FFF2-40B4-BE49-F238E27FC236}">
                  <a16:creationId xmlns:a16="http://schemas.microsoft.com/office/drawing/2014/main" id="{D1CB45B5-1B11-48CA-A30A-684D424750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332</xdr:row>
          <xdr:rowOff>9525</xdr:rowOff>
        </xdr:from>
        <xdr:ext cx="800100" cy="476250"/>
        <xdr:sp macro="" textlink="">
          <xdr:nvSpPr>
            <xdr:cNvPr id="1356" name="Check Box 332" hidden="1">
              <a:extLst>
                <a:ext uri="{63B3BB69-23CF-44E3-9099-C40C66FF867C}">
                  <a14:compatExt spid="_x0000_s1356"/>
                </a:ext>
                <a:ext uri="{FF2B5EF4-FFF2-40B4-BE49-F238E27FC236}">
                  <a16:creationId xmlns:a16="http://schemas.microsoft.com/office/drawing/2014/main" id="{83F9C976-F9D5-4597-89C8-6C7FEB27F3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333</xdr:row>
          <xdr:rowOff>9525</xdr:rowOff>
        </xdr:from>
        <xdr:ext cx="800100" cy="476250"/>
        <xdr:sp macro="" textlink="">
          <xdr:nvSpPr>
            <xdr:cNvPr id="1357" name="Check Box 333" hidden="1">
              <a:extLst>
                <a:ext uri="{63B3BB69-23CF-44E3-9099-C40C66FF867C}">
                  <a14:compatExt spid="_x0000_s1357"/>
                </a:ext>
                <a:ext uri="{FF2B5EF4-FFF2-40B4-BE49-F238E27FC236}">
                  <a16:creationId xmlns:a16="http://schemas.microsoft.com/office/drawing/2014/main" id="{49D27F7A-0425-47FD-91BF-91B68282D0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334</xdr:row>
          <xdr:rowOff>9525</xdr:rowOff>
        </xdr:from>
        <xdr:ext cx="800100" cy="476250"/>
        <xdr:sp macro="" textlink="">
          <xdr:nvSpPr>
            <xdr:cNvPr id="1358" name="Check Box 334" hidden="1">
              <a:extLst>
                <a:ext uri="{63B3BB69-23CF-44E3-9099-C40C66FF867C}">
                  <a14:compatExt spid="_x0000_s1358"/>
                </a:ext>
                <a:ext uri="{FF2B5EF4-FFF2-40B4-BE49-F238E27FC236}">
                  <a16:creationId xmlns:a16="http://schemas.microsoft.com/office/drawing/2014/main" id="{7215E424-E44C-4984-9415-D999DFDC61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335</xdr:row>
          <xdr:rowOff>9525</xdr:rowOff>
        </xdr:from>
        <xdr:ext cx="800100" cy="476250"/>
        <xdr:sp macro="" textlink="">
          <xdr:nvSpPr>
            <xdr:cNvPr id="1359" name="Check Box 335" hidden="1">
              <a:extLst>
                <a:ext uri="{63B3BB69-23CF-44E3-9099-C40C66FF867C}">
                  <a14:compatExt spid="_x0000_s1359"/>
                </a:ext>
                <a:ext uri="{FF2B5EF4-FFF2-40B4-BE49-F238E27FC236}">
                  <a16:creationId xmlns:a16="http://schemas.microsoft.com/office/drawing/2014/main" id="{DDC0A9EB-C435-4F66-9D76-9F28049282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336</xdr:row>
          <xdr:rowOff>9525</xdr:rowOff>
        </xdr:from>
        <xdr:ext cx="800100" cy="476250"/>
        <xdr:sp macro="" textlink="">
          <xdr:nvSpPr>
            <xdr:cNvPr id="1360" name="Check Box 336" hidden="1">
              <a:extLst>
                <a:ext uri="{63B3BB69-23CF-44E3-9099-C40C66FF867C}">
                  <a14:compatExt spid="_x0000_s1360"/>
                </a:ext>
                <a:ext uri="{FF2B5EF4-FFF2-40B4-BE49-F238E27FC236}">
                  <a16:creationId xmlns:a16="http://schemas.microsoft.com/office/drawing/2014/main" id="{4D2C9CF6-D6A4-4A14-9DE6-E6415AC48E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337</xdr:row>
          <xdr:rowOff>9525</xdr:rowOff>
        </xdr:from>
        <xdr:ext cx="800100" cy="476250"/>
        <xdr:sp macro="" textlink="">
          <xdr:nvSpPr>
            <xdr:cNvPr id="1361" name="Check Box 337" hidden="1">
              <a:extLst>
                <a:ext uri="{63B3BB69-23CF-44E3-9099-C40C66FF867C}">
                  <a14:compatExt spid="_x0000_s1361"/>
                </a:ext>
                <a:ext uri="{FF2B5EF4-FFF2-40B4-BE49-F238E27FC236}">
                  <a16:creationId xmlns:a16="http://schemas.microsoft.com/office/drawing/2014/main" id="{6DD93320-10B3-4A5C-84EF-9829D37080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338</xdr:row>
          <xdr:rowOff>9525</xdr:rowOff>
        </xdr:from>
        <xdr:ext cx="800100" cy="476250"/>
        <xdr:sp macro="" textlink="">
          <xdr:nvSpPr>
            <xdr:cNvPr id="1362" name="Check Box 338" hidden="1">
              <a:extLst>
                <a:ext uri="{63B3BB69-23CF-44E3-9099-C40C66FF867C}">
                  <a14:compatExt spid="_x0000_s1362"/>
                </a:ext>
                <a:ext uri="{FF2B5EF4-FFF2-40B4-BE49-F238E27FC236}">
                  <a16:creationId xmlns:a16="http://schemas.microsoft.com/office/drawing/2014/main" id="{920674BD-5AB7-4EA4-ABAC-AB04523B162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339</xdr:row>
          <xdr:rowOff>9525</xdr:rowOff>
        </xdr:from>
        <xdr:ext cx="800100" cy="476250"/>
        <xdr:sp macro="" textlink="">
          <xdr:nvSpPr>
            <xdr:cNvPr id="1363" name="Check Box 339" hidden="1">
              <a:extLst>
                <a:ext uri="{63B3BB69-23CF-44E3-9099-C40C66FF867C}">
                  <a14:compatExt spid="_x0000_s1363"/>
                </a:ext>
                <a:ext uri="{FF2B5EF4-FFF2-40B4-BE49-F238E27FC236}">
                  <a16:creationId xmlns:a16="http://schemas.microsoft.com/office/drawing/2014/main" id="{0CE2CE69-E198-4B7D-A618-89ECD4171D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340</xdr:row>
          <xdr:rowOff>9525</xdr:rowOff>
        </xdr:from>
        <xdr:ext cx="800100" cy="476250"/>
        <xdr:sp macro="" textlink="">
          <xdr:nvSpPr>
            <xdr:cNvPr id="1364" name="Check Box 340" hidden="1">
              <a:extLst>
                <a:ext uri="{63B3BB69-23CF-44E3-9099-C40C66FF867C}">
                  <a14:compatExt spid="_x0000_s1364"/>
                </a:ext>
                <a:ext uri="{FF2B5EF4-FFF2-40B4-BE49-F238E27FC236}">
                  <a16:creationId xmlns:a16="http://schemas.microsoft.com/office/drawing/2014/main" id="{B683D29F-9610-4FE8-92D6-E312DC1A87C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341</xdr:row>
          <xdr:rowOff>9525</xdr:rowOff>
        </xdr:from>
        <xdr:ext cx="800100" cy="476250"/>
        <xdr:sp macro="" textlink="">
          <xdr:nvSpPr>
            <xdr:cNvPr id="1365" name="Check Box 341" hidden="1">
              <a:extLst>
                <a:ext uri="{63B3BB69-23CF-44E3-9099-C40C66FF867C}">
                  <a14:compatExt spid="_x0000_s1365"/>
                </a:ext>
                <a:ext uri="{FF2B5EF4-FFF2-40B4-BE49-F238E27FC236}">
                  <a16:creationId xmlns:a16="http://schemas.microsoft.com/office/drawing/2014/main" id="{8E8BB0A1-99EA-408B-996A-DD9145D2A2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342</xdr:row>
          <xdr:rowOff>9525</xdr:rowOff>
        </xdr:from>
        <xdr:ext cx="800100" cy="476250"/>
        <xdr:sp macro="" textlink="">
          <xdr:nvSpPr>
            <xdr:cNvPr id="1366" name="Check Box 342" hidden="1">
              <a:extLst>
                <a:ext uri="{63B3BB69-23CF-44E3-9099-C40C66FF867C}">
                  <a14:compatExt spid="_x0000_s1366"/>
                </a:ext>
                <a:ext uri="{FF2B5EF4-FFF2-40B4-BE49-F238E27FC236}">
                  <a16:creationId xmlns:a16="http://schemas.microsoft.com/office/drawing/2014/main" id="{F9D9B34D-01FA-45BC-88BE-31B09CEF49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343</xdr:row>
          <xdr:rowOff>9525</xdr:rowOff>
        </xdr:from>
        <xdr:ext cx="800100" cy="476250"/>
        <xdr:sp macro="" textlink="">
          <xdr:nvSpPr>
            <xdr:cNvPr id="1367" name="Check Box 343" hidden="1">
              <a:extLst>
                <a:ext uri="{63B3BB69-23CF-44E3-9099-C40C66FF867C}">
                  <a14:compatExt spid="_x0000_s1367"/>
                </a:ext>
                <a:ext uri="{FF2B5EF4-FFF2-40B4-BE49-F238E27FC236}">
                  <a16:creationId xmlns:a16="http://schemas.microsoft.com/office/drawing/2014/main" id="{CBD50EF8-172D-4782-A191-04057D4B0CE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344</xdr:row>
          <xdr:rowOff>9525</xdr:rowOff>
        </xdr:from>
        <xdr:ext cx="800100" cy="476250"/>
        <xdr:sp macro="" textlink="">
          <xdr:nvSpPr>
            <xdr:cNvPr id="1368" name="Check Box 344" hidden="1">
              <a:extLst>
                <a:ext uri="{63B3BB69-23CF-44E3-9099-C40C66FF867C}">
                  <a14:compatExt spid="_x0000_s1368"/>
                </a:ext>
                <a:ext uri="{FF2B5EF4-FFF2-40B4-BE49-F238E27FC236}">
                  <a16:creationId xmlns:a16="http://schemas.microsoft.com/office/drawing/2014/main" id="{437F2563-CDB9-4A88-8FC9-F0464835D0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345</xdr:row>
          <xdr:rowOff>9525</xdr:rowOff>
        </xdr:from>
        <xdr:ext cx="800100" cy="476250"/>
        <xdr:sp macro="" textlink="">
          <xdr:nvSpPr>
            <xdr:cNvPr id="1369" name="Check Box 345" hidden="1">
              <a:extLst>
                <a:ext uri="{63B3BB69-23CF-44E3-9099-C40C66FF867C}">
                  <a14:compatExt spid="_x0000_s1369"/>
                </a:ext>
                <a:ext uri="{FF2B5EF4-FFF2-40B4-BE49-F238E27FC236}">
                  <a16:creationId xmlns:a16="http://schemas.microsoft.com/office/drawing/2014/main" id="{19D93842-0C51-4B25-BC3B-4B14929B3E2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346</xdr:row>
          <xdr:rowOff>9525</xdr:rowOff>
        </xdr:from>
        <xdr:ext cx="800100" cy="476250"/>
        <xdr:sp macro="" textlink="">
          <xdr:nvSpPr>
            <xdr:cNvPr id="1370" name="Check Box 346" hidden="1">
              <a:extLst>
                <a:ext uri="{63B3BB69-23CF-44E3-9099-C40C66FF867C}">
                  <a14:compatExt spid="_x0000_s1370"/>
                </a:ext>
                <a:ext uri="{FF2B5EF4-FFF2-40B4-BE49-F238E27FC236}">
                  <a16:creationId xmlns:a16="http://schemas.microsoft.com/office/drawing/2014/main" id="{E9292D91-E9B7-41C5-A7F7-F454B0A3DA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347</xdr:row>
          <xdr:rowOff>9525</xdr:rowOff>
        </xdr:from>
        <xdr:ext cx="800100" cy="476250"/>
        <xdr:sp macro="" textlink="">
          <xdr:nvSpPr>
            <xdr:cNvPr id="1371" name="Check Box 347" hidden="1">
              <a:extLst>
                <a:ext uri="{63B3BB69-23CF-44E3-9099-C40C66FF867C}">
                  <a14:compatExt spid="_x0000_s1371"/>
                </a:ext>
                <a:ext uri="{FF2B5EF4-FFF2-40B4-BE49-F238E27FC236}">
                  <a16:creationId xmlns:a16="http://schemas.microsoft.com/office/drawing/2014/main" id="{B16382BE-69B3-4047-9C91-7E950BDDB4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348</xdr:row>
          <xdr:rowOff>9525</xdr:rowOff>
        </xdr:from>
        <xdr:ext cx="800100" cy="476250"/>
        <xdr:sp macro="" textlink="">
          <xdr:nvSpPr>
            <xdr:cNvPr id="1372" name="Check Box 348" hidden="1">
              <a:extLst>
                <a:ext uri="{63B3BB69-23CF-44E3-9099-C40C66FF867C}">
                  <a14:compatExt spid="_x0000_s1372"/>
                </a:ext>
                <a:ext uri="{FF2B5EF4-FFF2-40B4-BE49-F238E27FC236}">
                  <a16:creationId xmlns:a16="http://schemas.microsoft.com/office/drawing/2014/main" id="{C93E2718-EB0A-4839-A808-8E91A48B91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349</xdr:row>
          <xdr:rowOff>9525</xdr:rowOff>
        </xdr:from>
        <xdr:ext cx="800100" cy="476250"/>
        <xdr:sp macro="" textlink="">
          <xdr:nvSpPr>
            <xdr:cNvPr id="1373" name="Check Box 349" hidden="1">
              <a:extLst>
                <a:ext uri="{63B3BB69-23CF-44E3-9099-C40C66FF867C}">
                  <a14:compatExt spid="_x0000_s1373"/>
                </a:ext>
                <a:ext uri="{FF2B5EF4-FFF2-40B4-BE49-F238E27FC236}">
                  <a16:creationId xmlns:a16="http://schemas.microsoft.com/office/drawing/2014/main" id="{0D550CDC-0426-49C5-A59A-A5764FB894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350</xdr:row>
          <xdr:rowOff>9525</xdr:rowOff>
        </xdr:from>
        <xdr:ext cx="800100" cy="476250"/>
        <xdr:sp macro="" textlink="">
          <xdr:nvSpPr>
            <xdr:cNvPr id="1374" name="Check Box 350" hidden="1">
              <a:extLst>
                <a:ext uri="{63B3BB69-23CF-44E3-9099-C40C66FF867C}">
                  <a14:compatExt spid="_x0000_s1374"/>
                </a:ext>
                <a:ext uri="{FF2B5EF4-FFF2-40B4-BE49-F238E27FC236}">
                  <a16:creationId xmlns:a16="http://schemas.microsoft.com/office/drawing/2014/main" id="{CD6E6E90-B020-4915-A562-5943286468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351</xdr:row>
          <xdr:rowOff>9525</xdr:rowOff>
        </xdr:from>
        <xdr:ext cx="800100" cy="476250"/>
        <xdr:sp macro="" textlink="">
          <xdr:nvSpPr>
            <xdr:cNvPr id="1375" name="Check Box 351" hidden="1">
              <a:extLst>
                <a:ext uri="{63B3BB69-23CF-44E3-9099-C40C66FF867C}">
                  <a14:compatExt spid="_x0000_s1375"/>
                </a:ext>
                <a:ext uri="{FF2B5EF4-FFF2-40B4-BE49-F238E27FC236}">
                  <a16:creationId xmlns:a16="http://schemas.microsoft.com/office/drawing/2014/main" id="{3DE2B4C0-F24E-433D-BD01-DE97BFE2A8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352</xdr:row>
          <xdr:rowOff>9525</xdr:rowOff>
        </xdr:from>
        <xdr:ext cx="800100" cy="476250"/>
        <xdr:sp macro="" textlink="">
          <xdr:nvSpPr>
            <xdr:cNvPr id="1376" name="Check Box 352" hidden="1">
              <a:extLst>
                <a:ext uri="{63B3BB69-23CF-44E3-9099-C40C66FF867C}">
                  <a14:compatExt spid="_x0000_s1376"/>
                </a:ext>
                <a:ext uri="{FF2B5EF4-FFF2-40B4-BE49-F238E27FC236}">
                  <a16:creationId xmlns:a16="http://schemas.microsoft.com/office/drawing/2014/main" id="{4BC91AE9-E0B4-4A4A-8632-09AF4B2A38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353</xdr:row>
          <xdr:rowOff>9525</xdr:rowOff>
        </xdr:from>
        <xdr:ext cx="800100" cy="476250"/>
        <xdr:sp macro="" textlink="">
          <xdr:nvSpPr>
            <xdr:cNvPr id="1377" name="Check Box 353" hidden="1">
              <a:extLst>
                <a:ext uri="{63B3BB69-23CF-44E3-9099-C40C66FF867C}">
                  <a14:compatExt spid="_x0000_s1377"/>
                </a:ext>
                <a:ext uri="{FF2B5EF4-FFF2-40B4-BE49-F238E27FC236}">
                  <a16:creationId xmlns:a16="http://schemas.microsoft.com/office/drawing/2014/main" id="{EDF6E8F4-EE7F-4D79-B0C5-6F0B45FE83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354</xdr:row>
          <xdr:rowOff>9525</xdr:rowOff>
        </xdr:from>
        <xdr:ext cx="800100" cy="476250"/>
        <xdr:sp macro="" textlink="">
          <xdr:nvSpPr>
            <xdr:cNvPr id="1378" name="Check Box 354" hidden="1">
              <a:extLst>
                <a:ext uri="{63B3BB69-23CF-44E3-9099-C40C66FF867C}">
                  <a14:compatExt spid="_x0000_s1378"/>
                </a:ext>
                <a:ext uri="{FF2B5EF4-FFF2-40B4-BE49-F238E27FC236}">
                  <a16:creationId xmlns:a16="http://schemas.microsoft.com/office/drawing/2014/main" id="{D413E331-157F-4370-B261-FF765F375C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355</xdr:row>
          <xdr:rowOff>9525</xdr:rowOff>
        </xdr:from>
        <xdr:ext cx="800100" cy="476250"/>
        <xdr:sp macro="" textlink="">
          <xdr:nvSpPr>
            <xdr:cNvPr id="1379" name="Check Box 355" hidden="1">
              <a:extLst>
                <a:ext uri="{63B3BB69-23CF-44E3-9099-C40C66FF867C}">
                  <a14:compatExt spid="_x0000_s1379"/>
                </a:ext>
                <a:ext uri="{FF2B5EF4-FFF2-40B4-BE49-F238E27FC236}">
                  <a16:creationId xmlns:a16="http://schemas.microsoft.com/office/drawing/2014/main" id="{DAD13002-8462-42DE-A6F2-BEFBF2732C5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356</xdr:row>
          <xdr:rowOff>9525</xdr:rowOff>
        </xdr:from>
        <xdr:ext cx="800100" cy="476250"/>
        <xdr:sp macro="" textlink="">
          <xdr:nvSpPr>
            <xdr:cNvPr id="1380" name="Check Box 356" hidden="1">
              <a:extLst>
                <a:ext uri="{63B3BB69-23CF-44E3-9099-C40C66FF867C}">
                  <a14:compatExt spid="_x0000_s1380"/>
                </a:ext>
                <a:ext uri="{FF2B5EF4-FFF2-40B4-BE49-F238E27FC236}">
                  <a16:creationId xmlns:a16="http://schemas.microsoft.com/office/drawing/2014/main" id="{E7541102-B3EE-4EBD-B10F-42C47327CC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357</xdr:row>
          <xdr:rowOff>9525</xdr:rowOff>
        </xdr:from>
        <xdr:ext cx="800100" cy="476250"/>
        <xdr:sp macro="" textlink="">
          <xdr:nvSpPr>
            <xdr:cNvPr id="1381" name="Check Box 357" hidden="1">
              <a:extLst>
                <a:ext uri="{63B3BB69-23CF-44E3-9099-C40C66FF867C}">
                  <a14:compatExt spid="_x0000_s1381"/>
                </a:ext>
                <a:ext uri="{FF2B5EF4-FFF2-40B4-BE49-F238E27FC236}">
                  <a16:creationId xmlns:a16="http://schemas.microsoft.com/office/drawing/2014/main" id="{65FF4190-AA9E-4133-A68B-D8494422C7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358</xdr:row>
          <xdr:rowOff>9525</xdr:rowOff>
        </xdr:from>
        <xdr:ext cx="800100" cy="476250"/>
        <xdr:sp macro="" textlink="">
          <xdr:nvSpPr>
            <xdr:cNvPr id="1382" name="Check Box 358" hidden="1">
              <a:extLst>
                <a:ext uri="{63B3BB69-23CF-44E3-9099-C40C66FF867C}">
                  <a14:compatExt spid="_x0000_s1382"/>
                </a:ext>
                <a:ext uri="{FF2B5EF4-FFF2-40B4-BE49-F238E27FC236}">
                  <a16:creationId xmlns:a16="http://schemas.microsoft.com/office/drawing/2014/main" id="{4C5AF21F-575B-4F52-AB97-210D0970F2C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359</xdr:row>
          <xdr:rowOff>9525</xdr:rowOff>
        </xdr:from>
        <xdr:ext cx="800100" cy="476250"/>
        <xdr:sp macro="" textlink="">
          <xdr:nvSpPr>
            <xdr:cNvPr id="1383" name="Check Box 359" hidden="1">
              <a:extLst>
                <a:ext uri="{63B3BB69-23CF-44E3-9099-C40C66FF867C}">
                  <a14:compatExt spid="_x0000_s1383"/>
                </a:ext>
                <a:ext uri="{FF2B5EF4-FFF2-40B4-BE49-F238E27FC236}">
                  <a16:creationId xmlns:a16="http://schemas.microsoft.com/office/drawing/2014/main" id="{DEF6D302-BDF7-4257-B34F-453D6DE4B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360</xdr:row>
          <xdr:rowOff>9525</xdr:rowOff>
        </xdr:from>
        <xdr:ext cx="800100" cy="476250"/>
        <xdr:sp macro="" textlink="">
          <xdr:nvSpPr>
            <xdr:cNvPr id="1384" name="Check Box 360" hidden="1">
              <a:extLst>
                <a:ext uri="{63B3BB69-23CF-44E3-9099-C40C66FF867C}">
                  <a14:compatExt spid="_x0000_s1384"/>
                </a:ext>
                <a:ext uri="{FF2B5EF4-FFF2-40B4-BE49-F238E27FC236}">
                  <a16:creationId xmlns:a16="http://schemas.microsoft.com/office/drawing/2014/main" id="{63D98607-7BE1-4A72-81AC-3E5AC64DBE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361</xdr:row>
          <xdr:rowOff>9525</xdr:rowOff>
        </xdr:from>
        <xdr:ext cx="800100" cy="476250"/>
        <xdr:sp macro="" textlink="">
          <xdr:nvSpPr>
            <xdr:cNvPr id="1385" name="Check Box 361" hidden="1">
              <a:extLst>
                <a:ext uri="{63B3BB69-23CF-44E3-9099-C40C66FF867C}">
                  <a14:compatExt spid="_x0000_s1385"/>
                </a:ext>
                <a:ext uri="{FF2B5EF4-FFF2-40B4-BE49-F238E27FC236}">
                  <a16:creationId xmlns:a16="http://schemas.microsoft.com/office/drawing/2014/main" id="{7CE688A9-9324-46A8-8D2E-F76054378E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362</xdr:row>
          <xdr:rowOff>9525</xdr:rowOff>
        </xdr:from>
        <xdr:ext cx="800100" cy="476250"/>
        <xdr:sp macro="" textlink="">
          <xdr:nvSpPr>
            <xdr:cNvPr id="1386" name="Check Box 362" hidden="1">
              <a:extLst>
                <a:ext uri="{63B3BB69-23CF-44E3-9099-C40C66FF867C}">
                  <a14:compatExt spid="_x0000_s1386"/>
                </a:ext>
                <a:ext uri="{FF2B5EF4-FFF2-40B4-BE49-F238E27FC236}">
                  <a16:creationId xmlns:a16="http://schemas.microsoft.com/office/drawing/2014/main" id="{C1AD2338-1CFF-4FF1-BCDB-35E7C4B94B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363</xdr:row>
          <xdr:rowOff>9525</xdr:rowOff>
        </xdr:from>
        <xdr:ext cx="800100" cy="476250"/>
        <xdr:sp macro="" textlink="">
          <xdr:nvSpPr>
            <xdr:cNvPr id="1387" name="Check Box 363" hidden="1">
              <a:extLst>
                <a:ext uri="{63B3BB69-23CF-44E3-9099-C40C66FF867C}">
                  <a14:compatExt spid="_x0000_s1387"/>
                </a:ext>
                <a:ext uri="{FF2B5EF4-FFF2-40B4-BE49-F238E27FC236}">
                  <a16:creationId xmlns:a16="http://schemas.microsoft.com/office/drawing/2014/main" id="{9BCD5F53-8A87-483C-8FBF-294A0FC6B8D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364</xdr:row>
          <xdr:rowOff>9525</xdr:rowOff>
        </xdr:from>
        <xdr:ext cx="800100" cy="476250"/>
        <xdr:sp macro="" textlink="">
          <xdr:nvSpPr>
            <xdr:cNvPr id="1388" name="Check Box 364" hidden="1">
              <a:extLst>
                <a:ext uri="{63B3BB69-23CF-44E3-9099-C40C66FF867C}">
                  <a14:compatExt spid="_x0000_s1388"/>
                </a:ext>
                <a:ext uri="{FF2B5EF4-FFF2-40B4-BE49-F238E27FC236}">
                  <a16:creationId xmlns:a16="http://schemas.microsoft.com/office/drawing/2014/main" id="{E2F809CE-4905-45B5-A0FB-CF761337A8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365</xdr:row>
          <xdr:rowOff>9525</xdr:rowOff>
        </xdr:from>
        <xdr:ext cx="800100" cy="476250"/>
        <xdr:sp macro="" textlink="">
          <xdr:nvSpPr>
            <xdr:cNvPr id="1389" name="Check Box 365" hidden="1">
              <a:extLst>
                <a:ext uri="{63B3BB69-23CF-44E3-9099-C40C66FF867C}">
                  <a14:compatExt spid="_x0000_s1389"/>
                </a:ext>
                <a:ext uri="{FF2B5EF4-FFF2-40B4-BE49-F238E27FC236}">
                  <a16:creationId xmlns:a16="http://schemas.microsoft.com/office/drawing/2014/main" id="{2406CCF2-45B9-409E-9B7E-BD5017EF9D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366</xdr:row>
          <xdr:rowOff>9525</xdr:rowOff>
        </xdr:from>
        <xdr:ext cx="800100" cy="476250"/>
        <xdr:sp macro="" textlink="">
          <xdr:nvSpPr>
            <xdr:cNvPr id="1390" name="Check Box 366" hidden="1">
              <a:extLst>
                <a:ext uri="{63B3BB69-23CF-44E3-9099-C40C66FF867C}">
                  <a14:compatExt spid="_x0000_s1390"/>
                </a:ext>
                <a:ext uri="{FF2B5EF4-FFF2-40B4-BE49-F238E27FC236}">
                  <a16:creationId xmlns:a16="http://schemas.microsoft.com/office/drawing/2014/main" id="{B0D0CA4F-B12A-4F2B-ABDA-E07168F837B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367</xdr:row>
          <xdr:rowOff>9525</xdr:rowOff>
        </xdr:from>
        <xdr:ext cx="800100" cy="476250"/>
        <xdr:sp macro="" textlink="">
          <xdr:nvSpPr>
            <xdr:cNvPr id="1391" name="Check Box 367" hidden="1">
              <a:extLst>
                <a:ext uri="{63B3BB69-23CF-44E3-9099-C40C66FF867C}">
                  <a14:compatExt spid="_x0000_s1391"/>
                </a:ext>
                <a:ext uri="{FF2B5EF4-FFF2-40B4-BE49-F238E27FC236}">
                  <a16:creationId xmlns:a16="http://schemas.microsoft.com/office/drawing/2014/main" id="{48D48B90-8213-4D04-84FE-23F5D3A10E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368</xdr:row>
          <xdr:rowOff>9525</xdr:rowOff>
        </xdr:from>
        <xdr:ext cx="800100" cy="476250"/>
        <xdr:sp macro="" textlink="">
          <xdr:nvSpPr>
            <xdr:cNvPr id="1392" name="Check Box 368" hidden="1">
              <a:extLst>
                <a:ext uri="{63B3BB69-23CF-44E3-9099-C40C66FF867C}">
                  <a14:compatExt spid="_x0000_s1392"/>
                </a:ext>
                <a:ext uri="{FF2B5EF4-FFF2-40B4-BE49-F238E27FC236}">
                  <a16:creationId xmlns:a16="http://schemas.microsoft.com/office/drawing/2014/main" id="{2FE50147-E91F-499C-B28B-E9F75B18D0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369</xdr:row>
          <xdr:rowOff>9525</xdr:rowOff>
        </xdr:from>
        <xdr:ext cx="800100" cy="476250"/>
        <xdr:sp macro="" textlink="">
          <xdr:nvSpPr>
            <xdr:cNvPr id="1393" name="Check Box 369" hidden="1">
              <a:extLst>
                <a:ext uri="{63B3BB69-23CF-44E3-9099-C40C66FF867C}">
                  <a14:compatExt spid="_x0000_s1393"/>
                </a:ext>
                <a:ext uri="{FF2B5EF4-FFF2-40B4-BE49-F238E27FC236}">
                  <a16:creationId xmlns:a16="http://schemas.microsoft.com/office/drawing/2014/main" id="{F6B20BB0-C830-4EE7-BC65-B1032476D6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370</xdr:row>
          <xdr:rowOff>9525</xdr:rowOff>
        </xdr:from>
        <xdr:ext cx="800100" cy="476250"/>
        <xdr:sp macro="" textlink="">
          <xdr:nvSpPr>
            <xdr:cNvPr id="1394" name="Check Box 370" hidden="1">
              <a:extLst>
                <a:ext uri="{63B3BB69-23CF-44E3-9099-C40C66FF867C}">
                  <a14:compatExt spid="_x0000_s1394"/>
                </a:ext>
                <a:ext uri="{FF2B5EF4-FFF2-40B4-BE49-F238E27FC236}">
                  <a16:creationId xmlns:a16="http://schemas.microsoft.com/office/drawing/2014/main" id="{BF8676C7-9490-43A4-9CDC-10B0E41738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371</xdr:row>
          <xdr:rowOff>9525</xdr:rowOff>
        </xdr:from>
        <xdr:ext cx="800100" cy="476250"/>
        <xdr:sp macro="" textlink="">
          <xdr:nvSpPr>
            <xdr:cNvPr id="1395" name="Check Box 371" hidden="1">
              <a:extLst>
                <a:ext uri="{63B3BB69-23CF-44E3-9099-C40C66FF867C}">
                  <a14:compatExt spid="_x0000_s1395"/>
                </a:ext>
                <a:ext uri="{FF2B5EF4-FFF2-40B4-BE49-F238E27FC236}">
                  <a16:creationId xmlns:a16="http://schemas.microsoft.com/office/drawing/2014/main" id="{E637044A-DF0D-445C-B540-AF71FC576D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372</xdr:row>
          <xdr:rowOff>9525</xdr:rowOff>
        </xdr:from>
        <xdr:ext cx="800100" cy="476250"/>
        <xdr:sp macro="" textlink="">
          <xdr:nvSpPr>
            <xdr:cNvPr id="1396" name="Check Box 372" hidden="1">
              <a:extLst>
                <a:ext uri="{63B3BB69-23CF-44E3-9099-C40C66FF867C}">
                  <a14:compatExt spid="_x0000_s1396"/>
                </a:ext>
                <a:ext uri="{FF2B5EF4-FFF2-40B4-BE49-F238E27FC236}">
                  <a16:creationId xmlns:a16="http://schemas.microsoft.com/office/drawing/2014/main" id="{DBC5E1F2-7BD5-4586-AFF5-A8E1574C77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373</xdr:row>
          <xdr:rowOff>9525</xdr:rowOff>
        </xdr:from>
        <xdr:ext cx="800100" cy="476250"/>
        <xdr:sp macro="" textlink="">
          <xdr:nvSpPr>
            <xdr:cNvPr id="1397" name="Check Box 373" hidden="1">
              <a:extLst>
                <a:ext uri="{63B3BB69-23CF-44E3-9099-C40C66FF867C}">
                  <a14:compatExt spid="_x0000_s1397"/>
                </a:ext>
                <a:ext uri="{FF2B5EF4-FFF2-40B4-BE49-F238E27FC236}">
                  <a16:creationId xmlns:a16="http://schemas.microsoft.com/office/drawing/2014/main" id="{DEFC8B2A-F3E6-4948-9C90-1677A63649C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374</xdr:row>
          <xdr:rowOff>9525</xdr:rowOff>
        </xdr:from>
        <xdr:ext cx="800100" cy="476250"/>
        <xdr:sp macro="" textlink="">
          <xdr:nvSpPr>
            <xdr:cNvPr id="1398" name="Check Box 374" hidden="1">
              <a:extLst>
                <a:ext uri="{63B3BB69-23CF-44E3-9099-C40C66FF867C}">
                  <a14:compatExt spid="_x0000_s1398"/>
                </a:ext>
                <a:ext uri="{FF2B5EF4-FFF2-40B4-BE49-F238E27FC236}">
                  <a16:creationId xmlns:a16="http://schemas.microsoft.com/office/drawing/2014/main" id="{F6FD870D-A0CB-4D88-8521-681484782D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375</xdr:row>
          <xdr:rowOff>9525</xdr:rowOff>
        </xdr:from>
        <xdr:ext cx="800100" cy="476250"/>
        <xdr:sp macro="" textlink="">
          <xdr:nvSpPr>
            <xdr:cNvPr id="1399" name="Check Box 375" hidden="1">
              <a:extLst>
                <a:ext uri="{63B3BB69-23CF-44E3-9099-C40C66FF867C}">
                  <a14:compatExt spid="_x0000_s1399"/>
                </a:ext>
                <a:ext uri="{FF2B5EF4-FFF2-40B4-BE49-F238E27FC236}">
                  <a16:creationId xmlns:a16="http://schemas.microsoft.com/office/drawing/2014/main" id="{19DD97E7-0CDA-46A3-9CB2-9EAC6CF60FD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376</xdr:row>
          <xdr:rowOff>9525</xdr:rowOff>
        </xdr:from>
        <xdr:ext cx="800100" cy="476250"/>
        <xdr:sp macro="" textlink="">
          <xdr:nvSpPr>
            <xdr:cNvPr id="1400" name="Check Box 376" hidden="1">
              <a:extLst>
                <a:ext uri="{63B3BB69-23CF-44E3-9099-C40C66FF867C}">
                  <a14:compatExt spid="_x0000_s1400"/>
                </a:ext>
                <a:ext uri="{FF2B5EF4-FFF2-40B4-BE49-F238E27FC236}">
                  <a16:creationId xmlns:a16="http://schemas.microsoft.com/office/drawing/2014/main" id="{7E968FC7-3DFA-4BB4-BDE8-3923399997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377</xdr:row>
          <xdr:rowOff>9525</xdr:rowOff>
        </xdr:from>
        <xdr:ext cx="800100" cy="476250"/>
        <xdr:sp macro="" textlink="">
          <xdr:nvSpPr>
            <xdr:cNvPr id="1401" name="Check Box 377" hidden="1">
              <a:extLst>
                <a:ext uri="{63B3BB69-23CF-44E3-9099-C40C66FF867C}">
                  <a14:compatExt spid="_x0000_s1401"/>
                </a:ext>
                <a:ext uri="{FF2B5EF4-FFF2-40B4-BE49-F238E27FC236}">
                  <a16:creationId xmlns:a16="http://schemas.microsoft.com/office/drawing/2014/main" id="{E9B7D430-070F-4727-8A55-A04DC9E0F6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378</xdr:row>
          <xdr:rowOff>9525</xdr:rowOff>
        </xdr:from>
        <xdr:ext cx="800100" cy="476250"/>
        <xdr:sp macro="" textlink="">
          <xdr:nvSpPr>
            <xdr:cNvPr id="1402" name="Check Box 378" hidden="1">
              <a:extLst>
                <a:ext uri="{63B3BB69-23CF-44E3-9099-C40C66FF867C}">
                  <a14:compatExt spid="_x0000_s1402"/>
                </a:ext>
                <a:ext uri="{FF2B5EF4-FFF2-40B4-BE49-F238E27FC236}">
                  <a16:creationId xmlns:a16="http://schemas.microsoft.com/office/drawing/2014/main" id="{3CFBD2E1-E452-43E7-89FD-6A1D799E4C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379</xdr:row>
          <xdr:rowOff>9525</xdr:rowOff>
        </xdr:from>
        <xdr:ext cx="800100" cy="476250"/>
        <xdr:sp macro="" textlink="">
          <xdr:nvSpPr>
            <xdr:cNvPr id="1403" name="Check Box 379" hidden="1">
              <a:extLst>
                <a:ext uri="{63B3BB69-23CF-44E3-9099-C40C66FF867C}">
                  <a14:compatExt spid="_x0000_s1403"/>
                </a:ext>
                <a:ext uri="{FF2B5EF4-FFF2-40B4-BE49-F238E27FC236}">
                  <a16:creationId xmlns:a16="http://schemas.microsoft.com/office/drawing/2014/main" id="{4C1188AB-4E0C-4EEE-9118-406619F836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380</xdr:row>
          <xdr:rowOff>9525</xdr:rowOff>
        </xdr:from>
        <xdr:ext cx="800100" cy="476250"/>
        <xdr:sp macro="" textlink="">
          <xdr:nvSpPr>
            <xdr:cNvPr id="1404" name="Check Box 380" hidden="1">
              <a:extLst>
                <a:ext uri="{63B3BB69-23CF-44E3-9099-C40C66FF867C}">
                  <a14:compatExt spid="_x0000_s1404"/>
                </a:ext>
                <a:ext uri="{FF2B5EF4-FFF2-40B4-BE49-F238E27FC236}">
                  <a16:creationId xmlns:a16="http://schemas.microsoft.com/office/drawing/2014/main" id="{D8FA6239-2811-4F08-A072-BA7A5EEB63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381</xdr:row>
          <xdr:rowOff>9525</xdr:rowOff>
        </xdr:from>
        <xdr:ext cx="800100" cy="476250"/>
        <xdr:sp macro="" textlink="">
          <xdr:nvSpPr>
            <xdr:cNvPr id="1405" name="Check Box 381" hidden="1">
              <a:extLst>
                <a:ext uri="{63B3BB69-23CF-44E3-9099-C40C66FF867C}">
                  <a14:compatExt spid="_x0000_s1405"/>
                </a:ext>
                <a:ext uri="{FF2B5EF4-FFF2-40B4-BE49-F238E27FC236}">
                  <a16:creationId xmlns:a16="http://schemas.microsoft.com/office/drawing/2014/main" id="{AB5ED79A-F610-46E5-AAED-F63CE60B95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382</xdr:row>
          <xdr:rowOff>9525</xdr:rowOff>
        </xdr:from>
        <xdr:ext cx="800100" cy="476250"/>
        <xdr:sp macro="" textlink="">
          <xdr:nvSpPr>
            <xdr:cNvPr id="1406" name="Check Box 382" hidden="1">
              <a:extLst>
                <a:ext uri="{63B3BB69-23CF-44E3-9099-C40C66FF867C}">
                  <a14:compatExt spid="_x0000_s1406"/>
                </a:ext>
                <a:ext uri="{FF2B5EF4-FFF2-40B4-BE49-F238E27FC236}">
                  <a16:creationId xmlns:a16="http://schemas.microsoft.com/office/drawing/2014/main" id="{3B447F56-CEA3-4791-B2B7-B485A9C735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383</xdr:row>
          <xdr:rowOff>9525</xdr:rowOff>
        </xdr:from>
        <xdr:ext cx="800100" cy="476250"/>
        <xdr:sp macro="" textlink="">
          <xdr:nvSpPr>
            <xdr:cNvPr id="1407" name="Check Box 383" hidden="1">
              <a:extLst>
                <a:ext uri="{63B3BB69-23CF-44E3-9099-C40C66FF867C}">
                  <a14:compatExt spid="_x0000_s1407"/>
                </a:ext>
                <a:ext uri="{FF2B5EF4-FFF2-40B4-BE49-F238E27FC236}">
                  <a16:creationId xmlns:a16="http://schemas.microsoft.com/office/drawing/2014/main" id="{3E9E9509-1C29-4260-A5B1-3039B9F031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384</xdr:row>
          <xdr:rowOff>9525</xdr:rowOff>
        </xdr:from>
        <xdr:ext cx="800100" cy="476250"/>
        <xdr:sp macro="" textlink="">
          <xdr:nvSpPr>
            <xdr:cNvPr id="1408" name="Check Box 384" hidden="1">
              <a:extLst>
                <a:ext uri="{63B3BB69-23CF-44E3-9099-C40C66FF867C}">
                  <a14:compatExt spid="_x0000_s1408"/>
                </a:ext>
                <a:ext uri="{FF2B5EF4-FFF2-40B4-BE49-F238E27FC236}">
                  <a16:creationId xmlns:a16="http://schemas.microsoft.com/office/drawing/2014/main" id="{A8D63F90-E4D4-40E9-B3A6-52942F215C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385</xdr:row>
          <xdr:rowOff>9525</xdr:rowOff>
        </xdr:from>
        <xdr:ext cx="800100" cy="476250"/>
        <xdr:sp macro="" textlink="">
          <xdr:nvSpPr>
            <xdr:cNvPr id="1409" name="Check Box 385" hidden="1">
              <a:extLst>
                <a:ext uri="{63B3BB69-23CF-44E3-9099-C40C66FF867C}">
                  <a14:compatExt spid="_x0000_s1409"/>
                </a:ext>
                <a:ext uri="{FF2B5EF4-FFF2-40B4-BE49-F238E27FC236}">
                  <a16:creationId xmlns:a16="http://schemas.microsoft.com/office/drawing/2014/main" id="{CE739102-B2AB-49D7-BA71-E0E9E39FB6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386</xdr:row>
          <xdr:rowOff>9525</xdr:rowOff>
        </xdr:from>
        <xdr:ext cx="800100" cy="476250"/>
        <xdr:sp macro="" textlink="">
          <xdr:nvSpPr>
            <xdr:cNvPr id="1410" name="Check Box 386" hidden="1">
              <a:extLst>
                <a:ext uri="{63B3BB69-23CF-44E3-9099-C40C66FF867C}">
                  <a14:compatExt spid="_x0000_s1410"/>
                </a:ext>
                <a:ext uri="{FF2B5EF4-FFF2-40B4-BE49-F238E27FC236}">
                  <a16:creationId xmlns:a16="http://schemas.microsoft.com/office/drawing/2014/main" id="{BAEC53A4-03AF-4B30-867A-DA9A641BCF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387</xdr:row>
          <xdr:rowOff>9525</xdr:rowOff>
        </xdr:from>
        <xdr:ext cx="800100" cy="476250"/>
        <xdr:sp macro="" textlink="">
          <xdr:nvSpPr>
            <xdr:cNvPr id="1411" name="Check Box 387" hidden="1">
              <a:extLst>
                <a:ext uri="{63B3BB69-23CF-44E3-9099-C40C66FF867C}">
                  <a14:compatExt spid="_x0000_s1411"/>
                </a:ext>
                <a:ext uri="{FF2B5EF4-FFF2-40B4-BE49-F238E27FC236}">
                  <a16:creationId xmlns:a16="http://schemas.microsoft.com/office/drawing/2014/main" id="{872074EE-988C-453C-8ECE-7EE8D0AFDE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388</xdr:row>
          <xdr:rowOff>9525</xdr:rowOff>
        </xdr:from>
        <xdr:ext cx="800100" cy="476250"/>
        <xdr:sp macro="" textlink="">
          <xdr:nvSpPr>
            <xdr:cNvPr id="1412" name="Check Box 388" hidden="1">
              <a:extLst>
                <a:ext uri="{63B3BB69-23CF-44E3-9099-C40C66FF867C}">
                  <a14:compatExt spid="_x0000_s1412"/>
                </a:ext>
                <a:ext uri="{FF2B5EF4-FFF2-40B4-BE49-F238E27FC236}">
                  <a16:creationId xmlns:a16="http://schemas.microsoft.com/office/drawing/2014/main" id="{48E9FEDB-6360-4C1E-90DD-5FFF1F68B1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389</xdr:row>
          <xdr:rowOff>9525</xdr:rowOff>
        </xdr:from>
        <xdr:ext cx="800100" cy="476250"/>
        <xdr:sp macro="" textlink="">
          <xdr:nvSpPr>
            <xdr:cNvPr id="1413" name="Check Box 389" hidden="1">
              <a:extLst>
                <a:ext uri="{63B3BB69-23CF-44E3-9099-C40C66FF867C}">
                  <a14:compatExt spid="_x0000_s1413"/>
                </a:ext>
                <a:ext uri="{FF2B5EF4-FFF2-40B4-BE49-F238E27FC236}">
                  <a16:creationId xmlns:a16="http://schemas.microsoft.com/office/drawing/2014/main" id="{C956C491-6D61-4C17-B168-1EAA3B6BC6F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390</xdr:row>
          <xdr:rowOff>9525</xdr:rowOff>
        </xdr:from>
        <xdr:ext cx="800100" cy="476250"/>
        <xdr:sp macro="" textlink="">
          <xdr:nvSpPr>
            <xdr:cNvPr id="1414" name="Check Box 390" hidden="1">
              <a:extLst>
                <a:ext uri="{63B3BB69-23CF-44E3-9099-C40C66FF867C}">
                  <a14:compatExt spid="_x0000_s1414"/>
                </a:ext>
                <a:ext uri="{FF2B5EF4-FFF2-40B4-BE49-F238E27FC236}">
                  <a16:creationId xmlns:a16="http://schemas.microsoft.com/office/drawing/2014/main" id="{C53A5668-5181-40A2-BFEA-DF1B0806F6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391</xdr:row>
          <xdr:rowOff>9525</xdr:rowOff>
        </xdr:from>
        <xdr:ext cx="800100" cy="476250"/>
        <xdr:sp macro="" textlink="">
          <xdr:nvSpPr>
            <xdr:cNvPr id="1415" name="Check Box 391" hidden="1">
              <a:extLst>
                <a:ext uri="{63B3BB69-23CF-44E3-9099-C40C66FF867C}">
                  <a14:compatExt spid="_x0000_s1415"/>
                </a:ext>
                <a:ext uri="{FF2B5EF4-FFF2-40B4-BE49-F238E27FC236}">
                  <a16:creationId xmlns:a16="http://schemas.microsoft.com/office/drawing/2014/main" id="{DC038272-ABAA-4BA3-B0DA-F27FA5631B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392</xdr:row>
          <xdr:rowOff>9525</xdr:rowOff>
        </xdr:from>
        <xdr:ext cx="800100" cy="476250"/>
        <xdr:sp macro="" textlink="">
          <xdr:nvSpPr>
            <xdr:cNvPr id="1416" name="Check Box 392" hidden="1">
              <a:extLst>
                <a:ext uri="{63B3BB69-23CF-44E3-9099-C40C66FF867C}">
                  <a14:compatExt spid="_x0000_s1416"/>
                </a:ext>
                <a:ext uri="{FF2B5EF4-FFF2-40B4-BE49-F238E27FC236}">
                  <a16:creationId xmlns:a16="http://schemas.microsoft.com/office/drawing/2014/main" id="{02BEE513-D30C-41CC-9119-7B9948CD64D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393</xdr:row>
          <xdr:rowOff>9525</xdr:rowOff>
        </xdr:from>
        <xdr:ext cx="800100" cy="476250"/>
        <xdr:sp macro="" textlink="">
          <xdr:nvSpPr>
            <xdr:cNvPr id="1417" name="Check Box 393" hidden="1">
              <a:extLst>
                <a:ext uri="{63B3BB69-23CF-44E3-9099-C40C66FF867C}">
                  <a14:compatExt spid="_x0000_s1417"/>
                </a:ext>
                <a:ext uri="{FF2B5EF4-FFF2-40B4-BE49-F238E27FC236}">
                  <a16:creationId xmlns:a16="http://schemas.microsoft.com/office/drawing/2014/main" id="{F5F66BBD-E02A-4D78-A0D8-98E8E2557D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394</xdr:row>
          <xdr:rowOff>9525</xdr:rowOff>
        </xdr:from>
        <xdr:ext cx="800100" cy="476250"/>
        <xdr:sp macro="" textlink="">
          <xdr:nvSpPr>
            <xdr:cNvPr id="1418" name="Check Box 394" hidden="1">
              <a:extLst>
                <a:ext uri="{63B3BB69-23CF-44E3-9099-C40C66FF867C}">
                  <a14:compatExt spid="_x0000_s1418"/>
                </a:ext>
                <a:ext uri="{FF2B5EF4-FFF2-40B4-BE49-F238E27FC236}">
                  <a16:creationId xmlns:a16="http://schemas.microsoft.com/office/drawing/2014/main" id="{D90A48A8-C4F5-4135-B5EB-BB59654299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395</xdr:row>
          <xdr:rowOff>9525</xdr:rowOff>
        </xdr:from>
        <xdr:ext cx="800100" cy="476250"/>
        <xdr:sp macro="" textlink="">
          <xdr:nvSpPr>
            <xdr:cNvPr id="1419" name="Check Box 395" hidden="1">
              <a:extLst>
                <a:ext uri="{63B3BB69-23CF-44E3-9099-C40C66FF867C}">
                  <a14:compatExt spid="_x0000_s1419"/>
                </a:ext>
                <a:ext uri="{FF2B5EF4-FFF2-40B4-BE49-F238E27FC236}">
                  <a16:creationId xmlns:a16="http://schemas.microsoft.com/office/drawing/2014/main" id="{67106A09-0A9D-48E2-84C0-F7189769A4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396</xdr:row>
          <xdr:rowOff>9525</xdr:rowOff>
        </xdr:from>
        <xdr:ext cx="800100" cy="476250"/>
        <xdr:sp macro="" textlink="">
          <xdr:nvSpPr>
            <xdr:cNvPr id="1420" name="Check Box 396" hidden="1">
              <a:extLst>
                <a:ext uri="{63B3BB69-23CF-44E3-9099-C40C66FF867C}">
                  <a14:compatExt spid="_x0000_s1420"/>
                </a:ext>
                <a:ext uri="{FF2B5EF4-FFF2-40B4-BE49-F238E27FC236}">
                  <a16:creationId xmlns:a16="http://schemas.microsoft.com/office/drawing/2014/main" id="{D254F33C-0565-4CE0-BF05-8F9D95AC7B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397</xdr:row>
          <xdr:rowOff>9525</xdr:rowOff>
        </xdr:from>
        <xdr:ext cx="800100" cy="476250"/>
        <xdr:sp macro="" textlink="">
          <xdr:nvSpPr>
            <xdr:cNvPr id="1421" name="Check Box 397" hidden="1">
              <a:extLst>
                <a:ext uri="{63B3BB69-23CF-44E3-9099-C40C66FF867C}">
                  <a14:compatExt spid="_x0000_s1421"/>
                </a:ext>
                <a:ext uri="{FF2B5EF4-FFF2-40B4-BE49-F238E27FC236}">
                  <a16:creationId xmlns:a16="http://schemas.microsoft.com/office/drawing/2014/main" id="{BE50ED22-8C4F-432D-97E8-6478089915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398</xdr:row>
          <xdr:rowOff>9525</xdr:rowOff>
        </xdr:from>
        <xdr:ext cx="800100" cy="476250"/>
        <xdr:sp macro="" textlink="">
          <xdr:nvSpPr>
            <xdr:cNvPr id="1422" name="Check Box 398" hidden="1">
              <a:extLst>
                <a:ext uri="{63B3BB69-23CF-44E3-9099-C40C66FF867C}">
                  <a14:compatExt spid="_x0000_s1422"/>
                </a:ext>
                <a:ext uri="{FF2B5EF4-FFF2-40B4-BE49-F238E27FC236}">
                  <a16:creationId xmlns:a16="http://schemas.microsoft.com/office/drawing/2014/main" id="{B13F1F89-C305-4193-992F-322E1B02CF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399</xdr:row>
          <xdr:rowOff>9525</xdr:rowOff>
        </xdr:from>
        <xdr:ext cx="800100" cy="476250"/>
        <xdr:sp macro="" textlink="">
          <xdr:nvSpPr>
            <xdr:cNvPr id="1423" name="Check Box 399" hidden="1">
              <a:extLst>
                <a:ext uri="{63B3BB69-23CF-44E3-9099-C40C66FF867C}">
                  <a14:compatExt spid="_x0000_s1423"/>
                </a:ext>
                <a:ext uri="{FF2B5EF4-FFF2-40B4-BE49-F238E27FC236}">
                  <a16:creationId xmlns:a16="http://schemas.microsoft.com/office/drawing/2014/main" id="{A7F93695-1E5A-4D5C-8AE1-5CB8CF7EEB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400</xdr:row>
          <xdr:rowOff>9525</xdr:rowOff>
        </xdr:from>
        <xdr:ext cx="800100" cy="476250"/>
        <xdr:sp macro="" textlink="">
          <xdr:nvSpPr>
            <xdr:cNvPr id="1424" name="Check Box 400" hidden="1">
              <a:extLst>
                <a:ext uri="{63B3BB69-23CF-44E3-9099-C40C66FF867C}">
                  <a14:compatExt spid="_x0000_s1424"/>
                </a:ext>
                <a:ext uri="{FF2B5EF4-FFF2-40B4-BE49-F238E27FC236}">
                  <a16:creationId xmlns:a16="http://schemas.microsoft.com/office/drawing/2014/main" id="{0A943B2C-B8D9-4375-B89A-65AB6DA98C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401</xdr:row>
          <xdr:rowOff>9525</xdr:rowOff>
        </xdr:from>
        <xdr:ext cx="800100" cy="476250"/>
        <xdr:sp macro="" textlink="">
          <xdr:nvSpPr>
            <xdr:cNvPr id="1425" name="Check Box 401" hidden="1">
              <a:extLst>
                <a:ext uri="{63B3BB69-23CF-44E3-9099-C40C66FF867C}">
                  <a14:compatExt spid="_x0000_s1425"/>
                </a:ext>
                <a:ext uri="{FF2B5EF4-FFF2-40B4-BE49-F238E27FC236}">
                  <a16:creationId xmlns:a16="http://schemas.microsoft.com/office/drawing/2014/main" id="{AC0A6F2E-4821-41F7-9006-5CAB8251D6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402</xdr:row>
          <xdr:rowOff>9525</xdr:rowOff>
        </xdr:from>
        <xdr:ext cx="800100" cy="476250"/>
        <xdr:sp macro="" textlink="">
          <xdr:nvSpPr>
            <xdr:cNvPr id="1426" name="Check Box 402" hidden="1">
              <a:extLst>
                <a:ext uri="{63B3BB69-23CF-44E3-9099-C40C66FF867C}">
                  <a14:compatExt spid="_x0000_s1426"/>
                </a:ext>
                <a:ext uri="{FF2B5EF4-FFF2-40B4-BE49-F238E27FC236}">
                  <a16:creationId xmlns:a16="http://schemas.microsoft.com/office/drawing/2014/main" id="{FDBC149F-563B-4299-8436-8A9309435B8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403</xdr:row>
          <xdr:rowOff>9525</xdr:rowOff>
        </xdr:from>
        <xdr:ext cx="800100" cy="476250"/>
        <xdr:sp macro="" textlink="">
          <xdr:nvSpPr>
            <xdr:cNvPr id="1427" name="Check Box 403" hidden="1">
              <a:extLst>
                <a:ext uri="{63B3BB69-23CF-44E3-9099-C40C66FF867C}">
                  <a14:compatExt spid="_x0000_s1427"/>
                </a:ext>
                <a:ext uri="{FF2B5EF4-FFF2-40B4-BE49-F238E27FC236}">
                  <a16:creationId xmlns:a16="http://schemas.microsoft.com/office/drawing/2014/main" id="{60F52A34-2F56-4806-A64A-4573622EB5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404</xdr:row>
          <xdr:rowOff>9525</xdr:rowOff>
        </xdr:from>
        <xdr:ext cx="800100" cy="476250"/>
        <xdr:sp macro="" textlink="">
          <xdr:nvSpPr>
            <xdr:cNvPr id="1428" name="Check Box 404" hidden="1">
              <a:extLst>
                <a:ext uri="{63B3BB69-23CF-44E3-9099-C40C66FF867C}">
                  <a14:compatExt spid="_x0000_s1428"/>
                </a:ext>
                <a:ext uri="{FF2B5EF4-FFF2-40B4-BE49-F238E27FC236}">
                  <a16:creationId xmlns:a16="http://schemas.microsoft.com/office/drawing/2014/main" id="{CDE3E74F-DE86-4E3C-8073-0BAAE2E402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405</xdr:row>
          <xdr:rowOff>9525</xdr:rowOff>
        </xdr:from>
        <xdr:ext cx="800100" cy="476250"/>
        <xdr:sp macro="" textlink="">
          <xdr:nvSpPr>
            <xdr:cNvPr id="1429" name="Check Box 405" hidden="1">
              <a:extLst>
                <a:ext uri="{63B3BB69-23CF-44E3-9099-C40C66FF867C}">
                  <a14:compatExt spid="_x0000_s1429"/>
                </a:ext>
                <a:ext uri="{FF2B5EF4-FFF2-40B4-BE49-F238E27FC236}">
                  <a16:creationId xmlns:a16="http://schemas.microsoft.com/office/drawing/2014/main" id="{95F0C7CD-38D4-48F2-B612-25D3BDB4D5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406</xdr:row>
          <xdr:rowOff>9525</xdr:rowOff>
        </xdr:from>
        <xdr:ext cx="800100" cy="476250"/>
        <xdr:sp macro="" textlink="">
          <xdr:nvSpPr>
            <xdr:cNvPr id="1430" name="Check Box 406" hidden="1">
              <a:extLst>
                <a:ext uri="{63B3BB69-23CF-44E3-9099-C40C66FF867C}">
                  <a14:compatExt spid="_x0000_s1430"/>
                </a:ext>
                <a:ext uri="{FF2B5EF4-FFF2-40B4-BE49-F238E27FC236}">
                  <a16:creationId xmlns:a16="http://schemas.microsoft.com/office/drawing/2014/main" id="{73B36754-038E-4627-84D3-3B073FC7A55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407</xdr:row>
          <xdr:rowOff>9525</xdr:rowOff>
        </xdr:from>
        <xdr:ext cx="800100" cy="476250"/>
        <xdr:sp macro="" textlink="">
          <xdr:nvSpPr>
            <xdr:cNvPr id="1431" name="Check Box 407" hidden="1">
              <a:extLst>
                <a:ext uri="{63B3BB69-23CF-44E3-9099-C40C66FF867C}">
                  <a14:compatExt spid="_x0000_s1431"/>
                </a:ext>
                <a:ext uri="{FF2B5EF4-FFF2-40B4-BE49-F238E27FC236}">
                  <a16:creationId xmlns:a16="http://schemas.microsoft.com/office/drawing/2014/main" id="{527AEFC7-7AFB-4751-A291-53376164A9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408</xdr:row>
          <xdr:rowOff>9525</xdr:rowOff>
        </xdr:from>
        <xdr:ext cx="800100" cy="476250"/>
        <xdr:sp macro="" textlink="">
          <xdr:nvSpPr>
            <xdr:cNvPr id="1432" name="Check Box 408" hidden="1">
              <a:extLst>
                <a:ext uri="{63B3BB69-23CF-44E3-9099-C40C66FF867C}">
                  <a14:compatExt spid="_x0000_s1432"/>
                </a:ext>
                <a:ext uri="{FF2B5EF4-FFF2-40B4-BE49-F238E27FC236}">
                  <a16:creationId xmlns:a16="http://schemas.microsoft.com/office/drawing/2014/main" id="{26731061-870B-4FB8-A751-F0C8A56F1A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409</xdr:row>
          <xdr:rowOff>9525</xdr:rowOff>
        </xdr:from>
        <xdr:ext cx="800100" cy="476250"/>
        <xdr:sp macro="" textlink="">
          <xdr:nvSpPr>
            <xdr:cNvPr id="1433" name="Check Box 409" hidden="1">
              <a:extLst>
                <a:ext uri="{63B3BB69-23CF-44E3-9099-C40C66FF867C}">
                  <a14:compatExt spid="_x0000_s1433"/>
                </a:ext>
                <a:ext uri="{FF2B5EF4-FFF2-40B4-BE49-F238E27FC236}">
                  <a16:creationId xmlns:a16="http://schemas.microsoft.com/office/drawing/2014/main" id="{1B5D185B-7BB6-4130-BA13-14FBC58C5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410</xdr:row>
          <xdr:rowOff>9525</xdr:rowOff>
        </xdr:from>
        <xdr:ext cx="800100" cy="476250"/>
        <xdr:sp macro="" textlink="">
          <xdr:nvSpPr>
            <xdr:cNvPr id="1434" name="Check Box 410" hidden="1">
              <a:extLst>
                <a:ext uri="{63B3BB69-23CF-44E3-9099-C40C66FF867C}">
                  <a14:compatExt spid="_x0000_s1434"/>
                </a:ext>
                <a:ext uri="{FF2B5EF4-FFF2-40B4-BE49-F238E27FC236}">
                  <a16:creationId xmlns:a16="http://schemas.microsoft.com/office/drawing/2014/main" id="{597F96AC-6744-46AB-9C65-D89C17DB68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411</xdr:row>
          <xdr:rowOff>9525</xdr:rowOff>
        </xdr:from>
        <xdr:ext cx="800100" cy="476250"/>
        <xdr:sp macro="" textlink="">
          <xdr:nvSpPr>
            <xdr:cNvPr id="1435" name="Check Box 411" hidden="1">
              <a:extLst>
                <a:ext uri="{63B3BB69-23CF-44E3-9099-C40C66FF867C}">
                  <a14:compatExt spid="_x0000_s1435"/>
                </a:ext>
                <a:ext uri="{FF2B5EF4-FFF2-40B4-BE49-F238E27FC236}">
                  <a16:creationId xmlns:a16="http://schemas.microsoft.com/office/drawing/2014/main" id="{1B81AD59-5CC9-4572-A39B-8FA1965839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412</xdr:row>
          <xdr:rowOff>9525</xdr:rowOff>
        </xdr:from>
        <xdr:ext cx="800100" cy="476250"/>
        <xdr:sp macro="" textlink="">
          <xdr:nvSpPr>
            <xdr:cNvPr id="1436" name="Check Box 412" hidden="1">
              <a:extLst>
                <a:ext uri="{63B3BB69-23CF-44E3-9099-C40C66FF867C}">
                  <a14:compatExt spid="_x0000_s1436"/>
                </a:ext>
                <a:ext uri="{FF2B5EF4-FFF2-40B4-BE49-F238E27FC236}">
                  <a16:creationId xmlns:a16="http://schemas.microsoft.com/office/drawing/2014/main" id="{38883CCC-1B41-4AB2-B1A8-6BCBD8DE7C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413</xdr:row>
          <xdr:rowOff>9525</xdr:rowOff>
        </xdr:from>
        <xdr:ext cx="800100" cy="476250"/>
        <xdr:sp macro="" textlink="">
          <xdr:nvSpPr>
            <xdr:cNvPr id="1437" name="Check Box 413" hidden="1">
              <a:extLst>
                <a:ext uri="{63B3BB69-23CF-44E3-9099-C40C66FF867C}">
                  <a14:compatExt spid="_x0000_s1437"/>
                </a:ext>
                <a:ext uri="{FF2B5EF4-FFF2-40B4-BE49-F238E27FC236}">
                  <a16:creationId xmlns:a16="http://schemas.microsoft.com/office/drawing/2014/main" id="{CF889145-AB30-4AAE-83D7-6DD8931699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414</xdr:row>
          <xdr:rowOff>9525</xdr:rowOff>
        </xdr:from>
        <xdr:ext cx="800100" cy="476250"/>
        <xdr:sp macro="" textlink="">
          <xdr:nvSpPr>
            <xdr:cNvPr id="1438" name="Check Box 414" hidden="1">
              <a:extLst>
                <a:ext uri="{63B3BB69-23CF-44E3-9099-C40C66FF867C}">
                  <a14:compatExt spid="_x0000_s1438"/>
                </a:ext>
                <a:ext uri="{FF2B5EF4-FFF2-40B4-BE49-F238E27FC236}">
                  <a16:creationId xmlns:a16="http://schemas.microsoft.com/office/drawing/2014/main" id="{BF087222-6C2E-4076-842D-B568CCE979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415</xdr:row>
          <xdr:rowOff>9525</xdr:rowOff>
        </xdr:from>
        <xdr:ext cx="800100" cy="476250"/>
        <xdr:sp macro="" textlink="">
          <xdr:nvSpPr>
            <xdr:cNvPr id="1439" name="Check Box 415" hidden="1">
              <a:extLst>
                <a:ext uri="{63B3BB69-23CF-44E3-9099-C40C66FF867C}">
                  <a14:compatExt spid="_x0000_s1439"/>
                </a:ext>
                <a:ext uri="{FF2B5EF4-FFF2-40B4-BE49-F238E27FC236}">
                  <a16:creationId xmlns:a16="http://schemas.microsoft.com/office/drawing/2014/main" id="{3130D928-8CF9-45A8-BA2E-E28F555B685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416</xdr:row>
          <xdr:rowOff>9525</xdr:rowOff>
        </xdr:from>
        <xdr:ext cx="800100" cy="476250"/>
        <xdr:sp macro="" textlink="">
          <xdr:nvSpPr>
            <xdr:cNvPr id="1440" name="Check Box 416" hidden="1">
              <a:extLst>
                <a:ext uri="{63B3BB69-23CF-44E3-9099-C40C66FF867C}">
                  <a14:compatExt spid="_x0000_s1440"/>
                </a:ext>
                <a:ext uri="{FF2B5EF4-FFF2-40B4-BE49-F238E27FC236}">
                  <a16:creationId xmlns:a16="http://schemas.microsoft.com/office/drawing/2014/main" id="{15F703AF-0128-40EB-BE23-43935DE387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417</xdr:row>
          <xdr:rowOff>9525</xdr:rowOff>
        </xdr:from>
        <xdr:ext cx="800100" cy="476250"/>
        <xdr:sp macro="" textlink="">
          <xdr:nvSpPr>
            <xdr:cNvPr id="1441" name="Check Box 417" hidden="1">
              <a:extLst>
                <a:ext uri="{63B3BB69-23CF-44E3-9099-C40C66FF867C}">
                  <a14:compatExt spid="_x0000_s1441"/>
                </a:ext>
                <a:ext uri="{FF2B5EF4-FFF2-40B4-BE49-F238E27FC236}">
                  <a16:creationId xmlns:a16="http://schemas.microsoft.com/office/drawing/2014/main" id="{B09D6083-2744-4CC7-A96E-BB62AAF02B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418</xdr:row>
          <xdr:rowOff>9525</xdr:rowOff>
        </xdr:from>
        <xdr:ext cx="800100" cy="476250"/>
        <xdr:sp macro="" textlink="">
          <xdr:nvSpPr>
            <xdr:cNvPr id="1442" name="Check Box 418" hidden="1">
              <a:extLst>
                <a:ext uri="{63B3BB69-23CF-44E3-9099-C40C66FF867C}">
                  <a14:compatExt spid="_x0000_s1442"/>
                </a:ext>
                <a:ext uri="{FF2B5EF4-FFF2-40B4-BE49-F238E27FC236}">
                  <a16:creationId xmlns:a16="http://schemas.microsoft.com/office/drawing/2014/main" id="{02CEABFD-8292-42DD-8B7D-16591EBDA7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419</xdr:row>
          <xdr:rowOff>9525</xdr:rowOff>
        </xdr:from>
        <xdr:ext cx="800100" cy="476250"/>
        <xdr:sp macro="" textlink="">
          <xdr:nvSpPr>
            <xdr:cNvPr id="1443" name="Check Box 419" hidden="1">
              <a:extLst>
                <a:ext uri="{63B3BB69-23CF-44E3-9099-C40C66FF867C}">
                  <a14:compatExt spid="_x0000_s1443"/>
                </a:ext>
                <a:ext uri="{FF2B5EF4-FFF2-40B4-BE49-F238E27FC236}">
                  <a16:creationId xmlns:a16="http://schemas.microsoft.com/office/drawing/2014/main" id="{808CBE99-5DD6-4EB7-A2DA-4AB4E6054B8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420</xdr:row>
          <xdr:rowOff>9525</xdr:rowOff>
        </xdr:from>
        <xdr:ext cx="800100" cy="476250"/>
        <xdr:sp macro="" textlink="">
          <xdr:nvSpPr>
            <xdr:cNvPr id="1444" name="Check Box 420" hidden="1">
              <a:extLst>
                <a:ext uri="{63B3BB69-23CF-44E3-9099-C40C66FF867C}">
                  <a14:compatExt spid="_x0000_s1444"/>
                </a:ext>
                <a:ext uri="{FF2B5EF4-FFF2-40B4-BE49-F238E27FC236}">
                  <a16:creationId xmlns:a16="http://schemas.microsoft.com/office/drawing/2014/main" id="{A93C790B-CDD3-47A4-964F-14F2FBBD8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421</xdr:row>
          <xdr:rowOff>9525</xdr:rowOff>
        </xdr:from>
        <xdr:ext cx="800100" cy="476250"/>
        <xdr:sp macro="" textlink="">
          <xdr:nvSpPr>
            <xdr:cNvPr id="1445" name="Check Box 421" hidden="1">
              <a:extLst>
                <a:ext uri="{63B3BB69-23CF-44E3-9099-C40C66FF867C}">
                  <a14:compatExt spid="_x0000_s1445"/>
                </a:ext>
                <a:ext uri="{FF2B5EF4-FFF2-40B4-BE49-F238E27FC236}">
                  <a16:creationId xmlns:a16="http://schemas.microsoft.com/office/drawing/2014/main" id="{40E5E7FC-C229-4F74-ACC7-6D0D4D5498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422</xdr:row>
          <xdr:rowOff>9525</xdr:rowOff>
        </xdr:from>
        <xdr:ext cx="800100" cy="476250"/>
        <xdr:sp macro="" textlink="">
          <xdr:nvSpPr>
            <xdr:cNvPr id="1446" name="Check Box 422" hidden="1">
              <a:extLst>
                <a:ext uri="{63B3BB69-23CF-44E3-9099-C40C66FF867C}">
                  <a14:compatExt spid="_x0000_s1446"/>
                </a:ext>
                <a:ext uri="{FF2B5EF4-FFF2-40B4-BE49-F238E27FC236}">
                  <a16:creationId xmlns:a16="http://schemas.microsoft.com/office/drawing/2014/main" id="{8B2026EF-3003-40E5-8666-97B76D2E8F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423</xdr:row>
          <xdr:rowOff>9525</xdr:rowOff>
        </xdr:from>
        <xdr:ext cx="800100" cy="476250"/>
        <xdr:sp macro="" textlink="">
          <xdr:nvSpPr>
            <xdr:cNvPr id="1447" name="Check Box 423" hidden="1">
              <a:extLst>
                <a:ext uri="{63B3BB69-23CF-44E3-9099-C40C66FF867C}">
                  <a14:compatExt spid="_x0000_s1447"/>
                </a:ext>
                <a:ext uri="{FF2B5EF4-FFF2-40B4-BE49-F238E27FC236}">
                  <a16:creationId xmlns:a16="http://schemas.microsoft.com/office/drawing/2014/main" id="{9AFFD39F-61C3-4F2A-9245-D1D0BA850A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424</xdr:row>
          <xdr:rowOff>9525</xdr:rowOff>
        </xdr:from>
        <xdr:ext cx="800100" cy="476250"/>
        <xdr:sp macro="" textlink="">
          <xdr:nvSpPr>
            <xdr:cNvPr id="1448" name="Check Box 424" hidden="1">
              <a:extLst>
                <a:ext uri="{63B3BB69-23CF-44E3-9099-C40C66FF867C}">
                  <a14:compatExt spid="_x0000_s1448"/>
                </a:ext>
                <a:ext uri="{FF2B5EF4-FFF2-40B4-BE49-F238E27FC236}">
                  <a16:creationId xmlns:a16="http://schemas.microsoft.com/office/drawing/2014/main" id="{2EB1A2FB-C653-41F3-B774-2F79523D4D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425</xdr:row>
          <xdr:rowOff>9525</xdr:rowOff>
        </xdr:from>
        <xdr:ext cx="800100" cy="476250"/>
        <xdr:sp macro="" textlink="">
          <xdr:nvSpPr>
            <xdr:cNvPr id="1449" name="Check Box 425" hidden="1">
              <a:extLst>
                <a:ext uri="{63B3BB69-23CF-44E3-9099-C40C66FF867C}">
                  <a14:compatExt spid="_x0000_s1449"/>
                </a:ext>
                <a:ext uri="{FF2B5EF4-FFF2-40B4-BE49-F238E27FC236}">
                  <a16:creationId xmlns:a16="http://schemas.microsoft.com/office/drawing/2014/main" id="{E79340E9-055D-417F-8DBF-857C8CD79E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426</xdr:row>
          <xdr:rowOff>9525</xdr:rowOff>
        </xdr:from>
        <xdr:ext cx="800100" cy="476250"/>
        <xdr:sp macro="" textlink="">
          <xdr:nvSpPr>
            <xdr:cNvPr id="1450" name="Check Box 426" hidden="1">
              <a:extLst>
                <a:ext uri="{63B3BB69-23CF-44E3-9099-C40C66FF867C}">
                  <a14:compatExt spid="_x0000_s1450"/>
                </a:ext>
                <a:ext uri="{FF2B5EF4-FFF2-40B4-BE49-F238E27FC236}">
                  <a16:creationId xmlns:a16="http://schemas.microsoft.com/office/drawing/2014/main" id="{CFA68F54-7E42-4F7A-87FA-CAA10ADCC4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427</xdr:row>
          <xdr:rowOff>9525</xdr:rowOff>
        </xdr:from>
        <xdr:ext cx="800100" cy="476250"/>
        <xdr:sp macro="" textlink="">
          <xdr:nvSpPr>
            <xdr:cNvPr id="1451" name="Check Box 427" hidden="1">
              <a:extLst>
                <a:ext uri="{63B3BB69-23CF-44E3-9099-C40C66FF867C}">
                  <a14:compatExt spid="_x0000_s1451"/>
                </a:ext>
                <a:ext uri="{FF2B5EF4-FFF2-40B4-BE49-F238E27FC236}">
                  <a16:creationId xmlns:a16="http://schemas.microsoft.com/office/drawing/2014/main" id="{7A728EAD-ADCA-408C-934F-B75EA32329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428</xdr:row>
          <xdr:rowOff>9525</xdr:rowOff>
        </xdr:from>
        <xdr:ext cx="800100" cy="476250"/>
        <xdr:sp macro="" textlink="">
          <xdr:nvSpPr>
            <xdr:cNvPr id="1452" name="Check Box 428" hidden="1">
              <a:extLst>
                <a:ext uri="{63B3BB69-23CF-44E3-9099-C40C66FF867C}">
                  <a14:compatExt spid="_x0000_s1452"/>
                </a:ext>
                <a:ext uri="{FF2B5EF4-FFF2-40B4-BE49-F238E27FC236}">
                  <a16:creationId xmlns:a16="http://schemas.microsoft.com/office/drawing/2014/main" id="{65637C09-FA76-4A81-84BC-F2501CFBC1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429</xdr:row>
          <xdr:rowOff>9525</xdr:rowOff>
        </xdr:from>
        <xdr:ext cx="800100" cy="476250"/>
        <xdr:sp macro="" textlink="">
          <xdr:nvSpPr>
            <xdr:cNvPr id="1453" name="Check Box 429" hidden="1">
              <a:extLst>
                <a:ext uri="{63B3BB69-23CF-44E3-9099-C40C66FF867C}">
                  <a14:compatExt spid="_x0000_s1453"/>
                </a:ext>
                <a:ext uri="{FF2B5EF4-FFF2-40B4-BE49-F238E27FC236}">
                  <a16:creationId xmlns:a16="http://schemas.microsoft.com/office/drawing/2014/main" id="{6E46C7B6-B703-4C9A-BEB0-16B4C31CF18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430</xdr:row>
          <xdr:rowOff>9525</xdr:rowOff>
        </xdr:from>
        <xdr:ext cx="800100" cy="476250"/>
        <xdr:sp macro="" textlink="">
          <xdr:nvSpPr>
            <xdr:cNvPr id="1454" name="Check Box 430" hidden="1">
              <a:extLst>
                <a:ext uri="{63B3BB69-23CF-44E3-9099-C40C66FF867C}">
                  <a14:compatExt spid="_x0000_s1454"/>
                </a:ext>
                <a:ext uri="{FF2B5EF4-FFF2-40B4-BE49-F238E27FC236}">
                  <a16:creationId xmlns:a16="http://schemas.microsoft.com/office/drawing/2014/main" id="{A9AF3C4D-9688-40BA-8BB2-4BB387B51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431</xdr:row>
          <xdr:rowOff>9525</xdr:rowOff>
        </xdr:from>
        <xdr:ext cx="800100" cy="476250"/>
        <xdr:sp macro="" textlink="">
          <xdr:nvSpPr>
            <xdr:cNvPr id="1455" name="Check Box 431" hidden="1">
              <a:extLst>
                <a:ext uri="{63B3BB69-23CF-44E3-9099-C40C66FF867C}">
                  <a14:compatExt spid="_x0000_s1455"/>
                </a:ext>
                <a:ext uri="{FF2B5EF4-FFF2-40B4-BE49-F238E27FC236}">
                  <a16:creationId xmlns:a16="http://schemas.microsoft.com/office/drawing/2014/main" id="{D3F657E3-7352-435D-91C1-FC9A6F0A90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432</xdr:row>
          <xdr:rowOff>9525</xdr:rowOff>
        </xdr:from>
        <xdr:ext cx="800100" cy="476250"/>
        <xdr:sp macro="" textlink="">
          <xdr:nvSpPr>
            <xdr:cNvPr id="1456" name="Check Box 432" hidden="1">
              <a:extLst>
                <a:ext uri="{63B3BB69-23CF-44E3-9099-C40C66FF867C}">
                  <a14:compatExt spid="_x0000_s1456"/>
                </a:ext>
                <a:ext uri="{FF2B5EF4-FFF2-40B4-BE49-F238E27FC236}">
                  <a16:creationId xmlns:a16="http://schemas.microsoft.com/office/drawing/2014/main" id="{CC30911D-EE89-440A-8B03-80178C1E5C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433</xdr:row>
          <xdr:rowOff>9525</xdr:rowOff>
        </xdr:from>
        <xdr:ext cx="800100" cy="476250"/>
        <xdr:sp macro="" textlink="">
          <xdr:nvSpPr>
            <xdr:cNvPr id="1457" name="Check Box 433" hidden="1">
              <a:extLst>
                <a:ext uri="{63B3BB69-23CF-44E3-9099-C40C66FF867C}">
                  <a14:compatExt spid="_x0000_s1457"/>
                </a:ext>
                <a:ext uri="{FF2B5EF4-FFF2-40B4-BE49-F238E27FC236}">
                  <a16:creationId xmlns:a16="http://schemas.microsoft.com/office/drawing/2014/main" id="{F47FD6D1-523D-44E9-834B-B779397702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434</xdr:row>
          <xdr:rowOff>9525</xdr:rowOff>
        </xdr:from>
        <xdr:ext cx="800100" cy="476250"/>
        <xdr:sp macro="" textlink="">
          <xdr:nvSpPr>
            <xdr:cNvPr id="1458" name="Check Box 434" hidden="1">
              <a:extLst>
                <a:ext uri="{63B3BB69-23CF-44E3-9099-C40C66FF867C}">
                  <a14:compatExt spid="_x0000_s1458"/>
                </a:ext>
                <a:ext uri="{FF2B5EF4-FFF2-40B4-BE49-F238E27FC236}">
                  <a16:creationId xmlns:a16="http://schemas.microsoft.com/office/drawing/2014/main" id="{BFFF50FB-4398-465F-B1C7-767AFF1B9F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435</xdr:row>
          <xdr:rowOff>9525</xdr:rowOff>
        </xdr:from>
        <xdr:ext cx="800100" cy="476250"/>
        <xdr:sp macro="" textlink="">
          <xdr:nvSpPr>
            <xdr:cNvPr id="1459" name="Check Box 435" hidden="1">
              <a:extLst>
                <a:ext uri="{63B3BB69-23CF-44E3-9099-C40C66FF867C}">
                  <a14:compatExt spid="_x0000_s1459"/>
                </a:ext>
                <a:ext uri="{FF2B5EF4-FFF2-40B4-BE49-F238E27FC236}">
                  <a16:creationId xmlns:a16="http://schemas.microsoft.com/office/drawing/2014/main" id="{F0C82C8C-BBAD-4F1F-B753-495258B041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436</xdr:row>
          <xdr:rowOff>9525</xdr:rowOff>
        </xdr:from>
        <xdr:ext cx="800100" cy="476250"/>
        <xdr:sp macro="" textlink="">
          <xdr:nvSpPr>
            <xdr:cNvPr id="1460" name="Check Box 436" hidden="1">
              <a:extLst>
                <a:ext uri="{63B3BB69-23CF-44E3-9099-C40C66FF867C}">
                  <a14:compatExt spid="_x0000_s1460"/>
                </a:ext>
                <a:ext uri="{FF2B5EF4-FFF2-40B4-BE49-F238E27FC236}">
                  <a16:creationId xmlns:a16="http://schemas.microsoft.com/office/drawing/2014/main" id="{257FF074-5F48-4D79-9357-A761BDEC73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437</xdr:row>
          <xdr:rowOff>9525</xdr:rowOff>
        </xdr:from>
        <xdr:ext cx="800100" cy="476250"/>
        <xdr:sp macro="" textlink="">
          <xdr:nvSpPr>
            <xdr:cNvPr id="1461" name="Check Box 437" hidden="1">
              <a:extLst>
                <a:ext uri="{63B3BB69-23CF-44E3-9099-C40C66FF867C}">
                  <a14:compatExt spid="_x0000_s1461"/>
                </a:ext>
                <a:ext uri="{FF2B5EF4-FFF2-40B4-BE49-F238E27FC236}">
                  <a16:creationId xmlns:a16="http://schemas.microsoft.com/office/drawing/2014/main" id="{1362F5F6-01DE-4788-A473-B3CC48B120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438</xdr:row>
          <xdr:rowOff>9525</xdr:rowOff>
        </xdr:from>
        <xdr:ext cx="800100" cy="476250"/>
        <xdr:sp macro="" textlink="">
          <xdr:nvSpPr>
            <xdr:cNvPr id="1462" name="Check Box 438" hidden="1">
              <a:extLst>
                <a:ext uri="{63B3BB69-23CF-44E3-9099-C40C66FF867C}">
                  <a14:compatExt spid="_x0000_s1462"/>
                </a:ext>
                <a:ext uri="{FF2B5EF4-FFF2-40B4-BE49-F238E27FC236}">
                  <a16:creationId xmlns:a16="http://schemas.microsoft.com/office/drawing/2014/main" id="{07A8F6EA-90F6-4A81-9BF0-3E1462F010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439</xdr:row>
          <xdr:rowOff>9525</xdr:rowOff>
        </xdr:from>
        <xdr:ext cx="800100" cy="476250"/>
        <xdr:sp macro="" textlink="">
          <xdr:nvSpPr>
            <xdr:cNvPr id="1463" name="Check Box 439" hidden="1">
              <a:extLst>
                <a:ext uri="{63B3BB69-23CF-44E3-9099-C40C66FF867C}">
                  <a14:compatExt spid="_x0000_s1463"/>
                </a:ext>
                <a:ext uri="{FF2B5EF4-FFF2-40B4-BE49-F238E27FC236}">
                  <a16:creationId xmlns:a16="http://schemas.microsoft.com/office/drawing/2014/main" id="{6D312044-59FC-4598-8125-2061931CBC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440</xdr:row>
          <xdr:rowOff>9525</xdr:rowOff>
        </xdr:from>
        <xdr:ext cx="800100" cy="476250"/>
        <xdr:sp macro="" textlink="">
          <xdr:nvSpPr>
            <xdr:cNvPr id="1464" name="Check Box 440" hidden="1">
              <a:extLst>
                <a:ext uri="{63B3BB69-23CF-44E3-9099-C40C66FF867C}">
                  <a14:compatExt spid="_x0000_s1464"/>
                </a:ext>
                <a:ext uri="{FF2B5EF4-FFF2-40B4-BE49-F238E27FC236}">
                  <a16:creationId xmlns:a16="http://schemas.microsoft.com/office/drawing/2014/main" id="{93072C5A-38FE-422F-813B-8BE587861E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441</xdr:row>
          <xdr:rowOff>9525</xdr:rowOff>
        </xdr:from>
        <xdr:ext cx="800100" cy="476250"/>
        <xdr:sp macro="" textlink="">
          <xdr:nvSpPr>
            <xdr:cNvPr id="1465" name="Check Box 441" hidden="1">
              <a:extLst>
                <a:ext uri="{63B3BB69-23CF-44E3-9099-C40C66FF867C}">
                  <a14:compatExt spid="_x0000_s1465"/>
                </a:ext>
                <a:ext uri="{FF2B5EF4-FFF2-40B4-BE49-F238E27FC236}">
                  <a16:creationId xmlns:a16="http://schemas.microsoft.com/office/drawing/2014/main" id="{6E1BF99B-FE78-45EC-82D2-B015A9920C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442</xdr:row>
          <xdr:rowOff>9525</xdr:rowOff>
        </xdr:from>
        <xdr:ext cx="800100" cy="476250"/>
        <xdr:sp macro="" textlink="">
          <xdr:nvSpPr>
            <xdr:cNvPr id="1466" name="Check Box 442" hidden="1">
              <a:extLst>
                <a:ext uri="{63B3BB69-23CF-44E3-9099-C40C66FF867C}">
                  <a14:compatExt spid="_x0000_s1466"/>
                </a:ext>
                <a:ext uri="{FF2B5EF4-FFF2-40B4-BE49-F238E27FC236}">
                  <a16:creationId xmlns:a16="http://schemas.microsoft.com/office/drawing/2014/main" id="{498D171B-0A60-45EC-ABF5-5D162AFD26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443</xdr:row>
          <xdr:rowOff>9525</xdr:rowOff>
        </xdr:from>
        <xdr:ext cx="800100" cy="476250"/>
        <xdr:sp macro="" textlink="">
          <xdr:nvSpPr>
            <xdr:cNvPr id="1467" name="Check Box 443" hidden="1">
              <a:extLst>
                <a:ext uri="{63B3BB69-23CF-44E3-9099-C40C66FF867C}">
                  <a14:compatExt spid="_x0000_s1467"/>
                </a:ext>
                <a:ext uri="{FF2B5EF4-FFF2-40B4-BE49-F238E27FC236}">
                  <a16:creationId xmlns:a16="http://schemas.microsoft.com/office/drawing/2014/main" id="{2A3ADCBB-4010-48D8-9B75-8A7F155653A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444</xdr:row>
          <xdr:rowOff>9525</xdr:rowOff>
        </xdr:from>
        <xdr:ext cx="800100" cy="476250"/>
        <xdr:sp macro="" textlink="">
          <xdr:nvSpPr>
            <xdr:cNvPr id="1468" name="Check Box 444" hidden="1">
              <a:extLst>
                <a:ext uri="{63B3BB69-23CF-44E3-9099-C40C66FF867C}">
                  <a14:compatExt spid="_x0000_s1468"/>
                </a:ext>
                <a:ext uri="{FF2B5EF4-FFF2-40B4-BE49-F238E27FC236}">
                  <a16:creationId xmlns:a16="http://schemas.microsoft.com/office/drawing/2014/main" id="{C71DCB4E-7AC7-417E-BFE4-2771953DCA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445</xdr:row>
          <xdr:rowOff>9525</xdr:rowOff>
        </xdr:from>
        <xdr:ext cx="800100" cy="476250"/>
        <xdr:sp macro="" textlink="">
          <xdr:nvSpPr>
            <xdr:cNvPr id="1469" name="Check Box 445" hidden="1">
              <a:extLst>
                <a:ext uri="{63B3BB69-23CF-44E3-9099-C40C66FF867C}">
                  <a14:compatExt spid="_x0000_s1469"/>
                </a:ext>
                <a:ext uri="{FF2B5EF4-FFF2-40B4-BE49-F238E27FC236}">
                  <a16:creationId xmlns:a16="http://schemas.microsoft.com/office/drawing/2014/main" id="{C10D8E65-06FC-42B0-AF9A-00D6934EC4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446</xdr:row>
          <xdr:rowOff>9525</xdr:rowOff>
        </xdr:from>
        <xdr:ext cx="800100" cy="476250"/>
        <xdr:sp macro="" textlink="">
          <xdr:nvSpPr>
            <xdr:cNvPr id="1470" name="Check Box 446" hidden="1">
              <a:extLst>
                <a:ext uri="{63B3BB69-23CF-44E3-9099-C40C66FF867C}">
                  <a14:compatExt spid="_x0000_s1470"/>
                </a:ext>
                <a:ext uri="{FF2B5EF4-FFF2-40B4-BE49-F238E27FC236}">
                  <a16:creationId xmlns:a16="http://schemas.microsoft.com/office/drawing/2014/main" id="{15D60A2A-2FD4-429C-A08D-80121B570D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447</xdr:row>
          <xdr:rowOff>9525</xdr:rowOff>
        </xdr:from>
        <xdr:ext cx="800100" cy="476250"/>
        <xdr:sp macro="" textlink="">
          <xdr:nvSpPr>
            <xdr:cNvPr id="1471" name="Check Box 447" hidden="1">
              <a:extLst>
                <a:ext uri="{63B3BB69-23CF-44E3-9099-C40C66FF867C}">
                  <a14:compatExt spid="_x0000_s1471"/>
                </a:ext>
                <a:ext uri="{FF2B5EF4-FFF2-40B4-BE49-F238E27FC236}">
                  <a16:creationId xmlns:a16="http://schemas.microsoft.com/office/drawing/2014/main" id="{A2E93EBD-2AF1-4C9D-8456-96D54F7DCB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448</xdr:row>
          <xdr:rowOff>9525</xdr:rowOff>
        </xdr:from>
        <xdr:ext cx="800100" cy="476250"/>
        <xdr:sp macro="" textlink="">
          <xdr:nvSpPr>
            <xdr:cNvPr id="1472" name="Check Box 448" hidden="1">
              <a:extLst>
                <a:ext uri="{63B3BB69-23CF-44E3-9099-C40C66FF867C}">
                  <a14:compatExt spid="_x0000_s1472"/>
                </a:ext>
                <a:ext uri="{FF2B5EF4-FFF2-40B4-BE49-F238E27FC236}">
                  <a16:creationId xmlns:a16="http://schemas.microsoft.com/office/drawing/2014/main" id="{8260FD5E-2AFB-45F1-84C8-973906643CF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449</xdr:row>
          <xdr:rowOff>9525</xdr:rowOff>
        </xdr:from>
        <xdr:ext cx="800100" cy="476250"/>
        <xdr:sp macro="" textlink="">
          <xdr:nvSpPr>
            <xdr:cNvPr id="1473" name="Check Box 449" hidden="1">
              <a:extLst>
                <a:ext uri="{63B3BB69-23CF-44E3-9099-C40C66FF867C}">
                  <a14:compatExt spid="_x0000_s1473"/>
                </a:ext>
                <a:ext uri="{FF2B5EF4-FFF2-40B4-BE49-F238E27FC236}">
                  <a16:creationId xmlns:a16="http://schemas.microsoft.com/office/drawing/2014/main" id="{3C366B93-BE7D-43E3-8ADB-59258008D3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450</xdr:row>
          <xdr:rowOff>9525</xdr:rowOff>
        </xdr:from>
        <xdr:ext cx="800100" cy="476250"/>
        <xdr:sp macro="" textlink="">
          <xdr:nvSpPr>
            <xdr:cNvPr id="1474" name="Check Box 450" hidden="1">
              <a:extLst>
                <a:ext uri="{63B3BB69-23CF-44E3-9099-C40C66FF867C}">
                  <a14:compatExt spid="_x0000_s1474"/>
                </a:ext>
                <a:ext uri="{FF2B5EF4-FFF2-40B4-BE49-F238E27FC236}">
                  <a16:creationId xmlns:a16="http://schemas.microsoft.com/office/drawing/2014/main" id="{71EEC7BC-00EF-4C99-AB29-979EFA753F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451</xdr:row>
          <xdr:rowOff>9525</xdr:rowOff>
        </xdr:from>
        <xdr:ext cx="800100" cy="476250"/>
        <xdr:sp macro="" textlink="">
          <xdr:nvSpPr>
            <xdr:cNvPr id="1475" name="Check Box 451" hidden="1">
              <a:extLst>
                <a:ext uri="{63B3BB69-23CF-44E3-9099-C40C66FF867C}">
                  <a14:compatExt spid="_x0000_s1475"/>
                </a:ext>
                <a:ext uri="{FF2B5EF4-FFF2-40B4-BE49-F238E27FC236}">
                  <a16:creationId xmlns:a16="http://schemas.microsoft.com/office/drawing/2014/main" id="{C6BFA178-4E12-48F7-BA45-C82E230E25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452</xdr:row>
          <xdr:rowOff>9525</xdr:rowOff>
        </xdr:from>
        <xdr:ext cx="800100" cy="476250"/>
        <xdr:sp macro="" textlink="">
          <xdr:nvSpPr>
            <xdr:cNvPr id="1476" name="Check Box 452" hidden="1">
              <a:extLst>
                <a:ext uri="{63B3BB69-23CF-44E3-9099-C40C66FF867C}">
                  <a14:compatExt spid="_x0000_s1476"/>
                </a:ext>
                <a:ext uri="{FF2B5EF4-FFF2-40B4-BE49-F238E27FC236}">
                  <a16:creationId xmlns:a16="http://schemas.microsoft.com/office/drawing/2014/main" id="{4DABFF71-E9AD-4A85-B59F-36E766750A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453</xdr:row>
          <xdr:rowOff>9525</xdr:rowOff>
        </xdr:from>
        <xdr:ext cx="800100" cy="476250"/>
        <xdr:sp macro="" textlink="">
          <xdr:nvSpPr>
            <xdr:cNvPr id="1477" name="Check Box 453" hidden="1">
              <a:extLst>
                <a:ext uri="{63B3BB69-23CF-44E3-9099-C40C66FF867C}">
                  <a14:compatExt spid="_x0000_s1477"/>
                </a:ext>
                <a:ext uri="{FF2B5EF4-FFF2-40B4-BE49-F238E27FC236}">
                  <a16:creationId xmlns:a16="http://schemas.microsoft.com/office/drawing/2014/main" id="{2A100DE5-06C0-420A-8F5E-3E0703AB6DF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454</xdr:row>
          <xdr:rowOff>9525</xdr:rowOff>
        </xdr:from>
        <xdr:ext cx="800100" cy="476250"/>
        <xdr:sp macro="" textlink="">
          <xdr:nvSpPr>
            <xdr:cNvPr id="1478" name="Check Box 454" hidden="1">
              <a:extLst>
                <a:ext uri="{63B3BB69-23CF-44E3-9099-C40C66FF867C}">
                  <a14:compatExt spid="_x0000_s1478"/>
                </a:ext>
                <a:ext uri="{FF2B5EF4-FFF2-40B4-BE49-F238E27FC236}">
                  <a16:creationId xmlns:a16="http://schemas.microsoft.com/office/drawing/2014/main" id="{AC5D6D93-D7E2-4967-8F83-29A8CDB175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455</xdr:row>
          <xdr:rowOff>9525</xdr:rowOff>
        </xdr:from>
        <xdr:ext cx="800100" cy="476250"/>
        <xdr:sp macro="" textlink="">
          <xdr:nvSpPr>
            <xdr:cNvPr id="1479" name="Check Box 455" hidden="1">
              <a:extLst>
                <a:ext uri="{63B3BB69-23CF-44E3-9099-C40C66FF867C}">
                  <a14:compatExt spid="_x0000_s1479"/>
                </a:ext>
                <a:ext uri="{FF2B5EF4-FFF2-40B4-BE49-F238E27FC236}">
                  <a16:creationId xmlns:a16="http://schemas.microsoft.com/office/drawing/2014/main" id="{02C671D8-A9ED-41D5-AE02-F05D9E31E4E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456</xdr:row>
          <xdr:rowOff>9525</xdr:rowOff>
        </xdr:from>
        <xdr:ext cx="800100" cy="476250"/>
        <xdr:sp macro="" textlink="">
          <xdr:nvSpPr>
            <xdr:cNvPr id="1480" name="Check Box 456" hidden="1">
              <a:extLst>
                <a:ext uri="{63B3BB69-23CF-44E3-9099-C40C66FF867C}">
                  <a14:compatExt spid="_x0000_s1480"/>
                </a:ext>
                <a:ext uri="{FF2B5EF4-FFF2-40B4-BE49-F238E27FC236}">
                  <a16:creationId xmlns:a16="http://schemas.microsoft.com/office/drawing/2014/main" id="{E9A9BCBB-0531-4585-89E2-4B38F2C4A86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457</xdr:row>
          <xdr:rowOff>9525</xdr:rowOff>
        </xdr:from>
        <xdr:ext cx="800100" cy="476250"/>
        <xdr:sp macro="" textlink="">
          <xdr:nvSpPr>
            <xdr:cNvPr id="1481" name="Check Box 457" hidden="1">
              <a:extLst>
                <a:ext uri="{63B3BB69-23CF-44E3-9099-C40C66FF867C}">
                  <a14:compatExt spid="_x0000_s1481"/>
                </a:ext>
                <a:ext uri="{FF2B5EF4-FFF2-40B4-BE49-F238E27FC236}">
                  <a16:creationId xmlns:a16="http://schemas.microsoft.com/office/drawing/2014/main" id="{A1EFFD64-1270-47AD-8B58-B1736F92BE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458</xdr:row>
          <xdr:rowOff>9525</xdr:rowOff>
        </xdr:from>
        <xdr:ext cx="800100" cy="476250"/>
        <xdr:sp macro="" textlink="">
          <xdr:nvSpPr>
            <xdr:cNvPr id="1482" name="Check Box 458" hidden="1">
              <a:extLst>
                <a:ext uri="{63B3BB69-23CF-44E3-9099-C40C66FF867C}">
                  <a14:compatExt spid="_x0000_s1482"/>
                </a:ext>
                <a:ext uri="{FF2B5EF4-FFF2-40B4-BE49-F238E27FC236}">
                  <a16:creationId xmlns:a16="http://schemas.microsoft.com/office/drawing/2014/main" id="{43FB14B8-54DB-4EDF-892C-6CCFC9E8F9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459</xdr:row>
          <xdr:rowOff>9525</xdr:rowOff>
        </xdr:from>
        <xdr:ext cx="800100" cy="476250"/>
        <xdr:sp macro="" textlink="">
          <xdr:nvSpPr>
            <xdr:cNvPr id="1483" name="Check Box 459" hidden="1">
              <a:extLst>
                <a:ext uri="{63B3BB69-23CF-44E3-9099-C40C66FF867C}">
                  <a14:compatExt spid="_x0000_s1483"/>
                </a:ext>
                <a:ext uri="{FF2B5EF4-FFF2-40B4-BE49-F238E27FC236}">
                  <a16:creationId xmlns:a16="http://schemas.microsoft.com/office/drawing/2014/main" id="{B96C0CC0-D3F8-423B-838E-9C2BE573C6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460</xdr:row>
          <xdr:rowOff>9525</xdr:rowOff>
        </xdr:from>
        <xdr:ext cx="800100" cy="476250"/>
        <xdr:sp macro="" textlink="">
          <xdr:nvSpPr>
            <xdr:cNvPr id="1484" name="Check Box 460" hidden="1">
              <a:extLst>
                <a:ext uri="{63B3BB69-23CF-44E3-9099-C40C66FF867C}">
                  <a14:compatExt spid="_x0000_s1484"/>
                </a:ext>
                <a:ext uri="{FF2B5EF4-FFF2-40B4-BE49-F238E27FC236}">
                  <a16:creationId xmlns:a16="http://schemas.microsoft.com/office/drawing/2014/main" id="{DA5BCFD1-8958-4AF8-8F64-948006CBCEE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461</xdr:row>
          <xdr:rowOff>9525</xdr:rowOff>
        </xdr:from>
        <xdr:ext cx="800100" cy="476250"/>
        <xdr:sp macro="" textlink="">
          <xdr:nvSpPr>
            <xdr:cNvPr id="1485" name="Check Box 461" hidden="1">
              <a:extLst>
                <a:ext uri="{63B3BB69-23CF-44E3-9099-C40C66FF867C}">
                  <a14:compatExt spid="_x0000_s1485"/>
                </a:ext>
                <a:ext uri="{FF2B5EF4-FFF2-40B4-BE49-F238E27FC236}">
                  <a16:creationId xmlns:a16="http://schemas.microsoft.com/office/drawing/2014/main" id="{40505B90-36DA-45F6-804D-B1D23AE302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462</xdr:row>
          <xdr:rowOff>9525</xdr:rowOff>
        </xdr:from>
        <xdr:ext cx="800100" cy="476250"/>
        <xdr:sp macro="" textlink="">
          <xdr:nvSpPr>
            <xdr:cNvPr id="1486" name="Check Box 462" hidden="1">
              <a:extLst>
                <a:ext uri="{63B3BB69-23CF-44E3-9099-C40C66FF867C}">
                  <a14:compatExt spid="_x0000_s1486"/>
                </a:ext>
                <a:ext uri="{FF2B5EF4-FFF2-40B4-BE49-F238E27FC236}">
                  <a16:creationId xmlns:a16="http://schemas.microsoft.com/office/drawing/2014/main" id="{36C785A1-56B2-4D92-A29E-F384D9BAE8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463</xdr:row>
          <xdr:rowOff>9525</xdr:rowOff>
        </xdr:from>
        <xdr:ext cx="800100" cy="476250"/>
        <xdr:sp macro="" textlink="">
          <xdr:nvSpPr>
            <xdr:cNvPr id="1487" name="Check Box 463" hidden="1">
              <a:extLst>
                <a:ext uri="{63B3BB69-23CF-44E3-9099-C40C66FF867C}">
                  <a14:compatExt spid="_x0000_s1487"/>
                </a:ext>
                <a:ext uri="{FF2B5EF4-FFF2-40B4-BE49-F238E27FC236}">
                  <a16:creationId xmlns:a16="http://schemas.microsoft.com/office/drawing/2014/main" id="{AFE3BB22-9AF5-4A32-8D1B-ACB2E526A7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464</xdr:row>
          <xdr:rowOff>9525</xdr:rowOff>
        </xdr:from>
        <xdr:ext cx="800100" cy="476250"/>
        <xdr:sp macro="" textlink="">
          <xdr:nvSpPr>
            <xdr:cNvPr id="1488" name="Check Box 464" hidden="1">
              <a:extLst>
                <a:ext uri="{63B3BB69-23CF-44E3-9099-C40C66FF867C}">
                  <a14:compatExt spid="_x0000_s1488"/>
                </a:ext>
                <a:ext uri="{FF2B5EF4-FFF2-40B4-BE49-F238E27FC236}">
                  <a16:creationId xmlns:a16="http://schemas.microsoft.com/office/drawing/2014/main" id="{CAEF5601-9E7F-4B2D-B6E3-0547DD6D9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465</xdr:row>
          <xdr:rowOff>9525</xdr:rowOff>
        </xdr:from>
        <xdr:ext cx="800100" cy="476250"/>
        <xdr:sp macro="" textlink="">
          <xdr:nvSpPr>
            <xdr:cNvPr id="1489" name="Check Box 465" hidden="1">
              <a:extLst>
                <a:ext uri="{63B3BB69-23CF-44E3-9099-C40C66FF867C}">
                  <a14:compatExt spid="_x0000_s1489"/>
                </a:ext>
                <a:ext uri="{FF2B5EF4-FFF2-40B4-BE49-F238E27FC236}">
                  <a16:creationId xmlns:a16="http://schemas.microsoft.com/office/drawing/2014/main" id="{F8091EB2-3317-44CF-B943-DCB51B4F4F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466</xdr:row>
          <xdr:rowOff>9525</xdr:rowOff>
        </xdr:from>
        <xdr:ext cx="800100" cy="476250"/>
        <xdr:sp macro="" textlink="">
          <xdr:nvSpPr>
            <xdr:cNvPr id="1490" name="Check Box 466" hidden="1">
              <a:extLst>
                <a:ext uri="{63B3BB69-23CF-44E3-9099-C40C66FF867C}">
                  <a14:compatExt spid="_x0000_s1490"/>
                </a:ext>
                <a:ext uri="{FF2B5EF4-FFF2-40B4-BE49-F238E27FC236}">
                  <a16:creationId xmlns:a16="http://schemas.microsoft.com/office/drawing/2014/main" id="{050894D8-F2BE-4D99-9847-B9029F20CA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276225</xdr:colOff>
          <xdr:row>467</xdr:row>
          <xdr:rowOff>9525</xdr:rowOff>
        </xdr:from>
        <xdr:ext cx="800100" cy="476250"/>
        <xdr:sp macro="" textlink="">
          <xdr:nvSpPr>
            <xdr:cNvPr id="1491" name="Check Box 467" hidden="1">
              <a:extLst>
                <a:ext uri="{63B3BB69-23CF-44E3-9099-C40C66FF867C}">
                  <a14:compatExt spid="_x0000_s1491"/>
                </a:ext>
                <a:ext uri="{FF2B5EF4-FFF2-40B4-BE49-F238E27FC236}">
                  <a16:creationId xmlns:a16="http://schemas.microsoft.com/office/drawing/2014/main" id="{936CB26E-EDB5-403C-9A09-66361A576C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99" Type="http://schemas.openxmlformats.org/officeDocument/2006/relationships/ctrlProp" Target="../ctrlProps/ctrlProp297.xml"/><Relationship Id="rId21" Type="http://schemas.openxmlformats.org/officeDocument/2006/relationships/ctrlProp" Target="../ctrlProps/ctrlProp19.xml"/><Relationship Id="rId63" Type="http://schemas.openxmlformats.org/officeDocument/2006/relationships/ctrlProp" Target="../ctrlProps/ctrlProp61.xml"/><Relationship Id="rId159" Type="http://schemas.openxmlformats.org/officeDocument/2006/relationships/ctrlProp" Target="../ctrlProps/ctrlProp157.xml"/><Relationship Id="rId324" Type="http://schemas.openxmlformats.org/officeDocument/2006/relationships/ctrlProp" Target="../ctrlProps/ctrlProp322.xml"/><Relationship Id="rId366" Type="http://schemas.openxmlformats.org/officeDocument/2006/relationships/ctrlProp" Target="../ctrlProps/ctrlProp364.xml"/><Relationship Id="rId170" Type="http://schemas.openxmlformats.org/officeDocument/2006/relationships/ctrlProp" Target="../ctrlProps/ctrlProp168.xml"/><Relationship Id="rId226" Type="http://schemas.openxmlformats.org/officeDocument/2006/relationships/ctrlProp" Target="../ctrlProps/ctrlProp224.xml"/><Relationship Id="rId433" Type="http://schemas.openxmlformats.org/officeDocument/2006/relationships/ctrlProp" Target="../ctrlProps/ctrlProp431.xml"/><Relationship Id="rId268" Type="http://schemas.openxmlformats.org/officeDocument/2006/relationships/ctrlProp" Target="../ctrlProps/ctrlProp266.xml"/><Relationship Id="rId32" Type="http://schemas.openxmlformats.org/officeDocument/2006/relationships/ctrlProp" Target="../ctrlProps/ctrlProp30.xml"/><Relationship Id="rId74" Type="http://schemas.openxmlformats.org/officeDocument/2006/relationships/ctrlProp" Target="../ctrlProps/ctrlProp72.xml"/><Relationship Id="rId128" Type="http://schemas.openxmlformats.org/officeDocument/2006/relationships/ctrlProp" Target="../ctrlProps/ctrlProp126.xml"/><Relationship Id="rId335" Type="http://schemas.openxmlformats.org/officeDocument/2006/relationships/ctrlProp" Target="../ctrlProps/ctrlProp333.xml"/><Relationship Id="rId377" Type="http://schemas.openxmlformats.org/officeDocument/2006/relationships/ctrlProp" Target="../ctrlProps/ctrlProp375.xml"/><Relationship Id="rId5" Type="http://schemas.openxmlformats.org/officeDocument/2006/relationships/ctrlProp" Target="../ctrlProps/ctrlProp3.xml"/><Relationship Id="rId181" Type="http://schemas.openxmlformats.org/officeDocument/2006/relationships/ctrlProp" Target="../ctrlProps/ctrlProp179.xml"/><Relationship Id="rId237" Type="http://schemas.openxmlformats.org/officeDocument/2006/relationships/ctrlProp" Target="../ctrlProps/ctrlProp235.xml"/><Relationship Id="rId402" Type="http://schemas.openxmlformats.org/officeDocument/2006/relationships/ctrlProp" Target="../ctrlProps/ctrlProp400.xml"/><Relationship Id="rId279" Type="http://schemas.openxmlformats.org/officeDocument/2006/relationships/ctrlProp" Target="../ctrlProps/ctrlProp277.xml"/><Relationship Id="rId444" Type="http://schemas.openxmlformats.org/officeDocument/2006/relationships/ctrlProp" Target="../ctrlProps/ctrlProp442.xml"/><Relationship Id="rId43" Type="http://schemas.openxmlformats.org/officeDocument/2006/relationships/ctrlProp" Target="../ctrlProps/ctrlProp41.xml"/><Relationship Id="rId139" Type="http://schemas.openxmlformats.org/officeDocument/2006/relationships/ctrlProp" Target="../ctrlProps/ctrlProp137.xml"/><Relationship Id="rId290" Type="http://schemas.openxmlformats.org/officeDocument/2006/relationships/ctrlProp" Target="../ctrlProps/ctrlProp288.xml"/><Relationship Id="rId304" Type="http://schemas.openxmlformats.org/officeDocument/2006/relationships/ctrlProp" Target="../ctrlProps/ctrlProp302.xml"/><Relationship Id="rId346" Type="http://schemas.openxmlformats.org/officeDocument/2006/relationships/ctrlProp" Target="../ctrlProps/ctrlProp344.xml"/><Relationship Id="rId388" Type="http://schemas.openxmlformats.org/officeDocument/2006/relationships/ctrlProp" Target="../ctrlProps/ctrlProp386.xml"/><Relationship Id="rId85" Type="http://schemas.openxmlformats.org/officeDocument/2006/relationships/ctrlProp" Target="../ctrlProps/ctrlProp83.xml"/><Relationship Id="rId150" Type="http://schemas.openxmlformats.org/officeDocument/2006/relationships/ctrlProp" Target="../ctrlProps/ctrlProp148.xml"/><Relationship Id="rId192" Type="http://schemas.openxmlformats.org/officeDocument/2006/relationships/ctrlProp" Target="../ctrlProps/ctrlProp190.xml"/><Relationship Id="rId206" Type="http://schemas.openxmlformats.org/officeDocument/2006/relationships/ctrlProp" Target="../ctrlProps/ctrlProp204.xml"/><Relationship Id="rId413" Type="http://schemas.openxmlformats.org/officeDocument/2006/relationships/ctrlProp" Target="../ctrlProps/ctrlProp411.xml"/><Relationship Id="rId248" Type="http://schemas.openxmlformats.org/officeDocument/2006/relationships/ctrlProp" Target="../ctrlProps/ctrlProp246.xml"/><Relationship Id="rId455" Type="http://schemas.openxmlformats.org/officeDocument/2006/relationships/ctrlProp" Target="../ctrlProps/ctrlProp453.xml"/><Relationship Id="rId12" Type="http://schemas.openxmlformats.org/officeDocument/2006/relationships/ctrlProp" Target="../ctrlProps/ctrlProp10.xml"/><Relationship Id="rId108" Type="http://schemas.openxmlformats.org/officeDocument/2006/relationships/ctrlProp" Target="../ctrlProps/ctrlProp106.xml"/><Relationship Id="rId315" Type="http://schemas.openxmlformats.org/officeDocument/2006/relationships/ctrlProp" Target="../ctrlProps/ctrlProp313.xml"/><Relationship Id="rId357" Type="http://schemas.openxmlformats.org/officeDocument/2006/relationships/ctrlProp" Target="../ctrlProps/ctrlProp355.xml"/><Relationship Id="rId54" Type="http://schemas.openxmlformats.org/officeDocument/2006/relationships/ctrlProp" Target="../ctrlProps/ctrlProp52.xml"/><Relationship Id="rId96" Type="http://schemas.openxmlformats.org/officeDocument/2006/relationships/ctrlProp" Target="../ctrlProps/ctrlProp94.xml"/><Relationship Id="rId161" Type="http://schemas.openxmlformats.org/officeDocument/2006/relationships/ctrlProp" Target="../ctrlProps/ctrlProp159.xml"/><Relationship Id="rId217" Type="http://schemas.openxmlformats.org/officeDocument/2006/relationships/ctrlProp" Target="../ctrlProps/ctrlProp215.xml"/><Relationship Id="rId399" Type="http://schemas.openxmlformats.org/officeDocument/2006/relationships/ctrlProp" Target="../ctrlProps/ctrlProp397.xml"/><Relationship Id="rId259" Type="http://schemas.openxmlformats.org/officeDocument/2006/relationships/ctrlProp" Target="../ctrlProps/ctrlProp257.xml"/><Relationship Id="rId424" Type="http://schemas.openxmlformats.org/officeDocument/2006/relationships/ctrlProp" Target="../ctrlProps/ctrlProp422.xml"/><Relationship Id="rId466" Type="http://schemas.openxmlformats.org/officeDocument/2006/relationships/ctrlProp" Target="../ctrlProps/ctrlProp464.xml"/><Relationship Id="rId23" Type="http://schemas.openxmlformats.org/officeDocument/2006/relationships/ctrlProp" Target="../ctrlProps/ctrlProp21.xml"/><Relationship Id="rId119" Type="http://schemas.openxmlformats.org/officeDocument/2006/relationships/ctrlProp" Target="../ctrlProps/ctrlProp117.xml"/><Relationship Id="rId270" Type="http://schemas.openxmlformats.org/officeDocument/2006/relationships/ctrlProp" Target="../ctrlProps/ctrlProp268.xml"/><Relationship Id="rId326" Type="http://schemas.openxmlformats.org/officeDocument/2006/relationships/ctrlProp" Target="../ctrlProps/ctrlProp324.xml"/><Relationship Id="rId65" Type="http://schemas.openxmlformats.org/officeDocument/2006/relationships/ctrlProp" Target="../ctrlProps/ctrlProp63.xml"/><Relationship Id="rId130" Type="http://schemas.openxmlformats.org/officeDocument/2006/relationships/ctrlProp" Target="../ctrlProps/ctrlProp128.xml"/><Relationship Id="rId368" Type="http://schemas.openxmlformats.org/officeDocument/2006/relationships/ctrlProp" Target="../ctrlProps/ctrlProp366.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228" Type="http://schemas.openxmlformats.org/officeDocument/2006/relationships/ctrlProp" Target="../ctrlProps/ctrlProp226.xml"/><Relationship Id="rId249" Type="http://schemas.openxmlformats.org/officeDocument/2006/relationships/ctrlProp" Target="../ctrlProps/ctrlProp247.xml"/><Relationship Id="rId414" Type="http://schemas.openxmlformats.org/officeDocument/2006/relationships/ctrlProp" Target="../ctrlProps/ctrlProp412.xml"/><Relationship Id="rId435" Type="http://schemas.openxmlformats.org/officeDocument/2006/relationships/ctrlProp" Target="../ctrlProps/ctrlProp433.xml"/><Relationship Id="rId456" Type="http://schemas.openxmlformats.org/officeDocument/2006/relationships/ctrlProp" Target="../ctrlProps/ctrlProp454.xml"/><Relationship Id="rId13" Type="http://schemas.openxmlformats.org/officeDocument/2006/relationships/ctrlProp" Target="../ctrlProps/ctrlProp11.xml"/><Relationship Id="rId109" Type="http://schemas.openxmlformats.org/officeDocument/2006/relationships/ctrlProp" Target="../ctrlProps/ctrlProp107.xml"/><Relationship Id="rId260" Type="http://schemas.openxmlformats.org/officeDocument/2006/relationships/ctrlProp" Target="../ctrlProps/ctrlProp258.xml"/><Relationship Id="rId281" Type="http://schemas.openxmlformats.org/officeDocument/2006/relationships/ctrlProp" Target="../ctrlProps/ctrlProp279.xml"/><Relationship Id="rId316" Type="http://schemas.openxmlformats.org/officeDocument/2006/relationships/ctrlProp" Target="../ctrlProps/ctrlProp314.xml"/><Relationship Id="rId337" Type="http://schemas.openxmlformats.org/officeDocument/2006/relationships/ctrlProp" Target="../ctrlProps/ctrlProp335.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358" Type="http://schemas.openxmlformats.org/officeDocument/2006/relationships/ctrlProp" Target="../ctrlProps/ctrlProp356.xml"/><Relationship Id="rId379" Type="http://schemas.openxmlformats.org/officeDocument/2006/relationships/ctrlProp" Target="../ctrlProps/ctrlProp377.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39" Type="http://schemas.openxmlformats.org/officeDocument/2006/relationships/ctrlProp" Target="../ctrlProps/ctrlProp237.xml"/><Relationship Id="rId390" Type="http://schemas.openxmlformats.org/officeDocument/2006/relationships/ctrlProp" Target="../ctrlProps/ctrlProp388.xml"/><Relationship Id="rId404" Type="http://schemas.openxmlformats.org/officeDocument/2006/relationships/ctrlProp" Target="../ctrlProps/ctrlProp402.xml"/><Relationship Id="rId425" Type="http://schemas.openxmlformats.org/officeDocument/2006/relationships/ctrlProp" Target="../ctrlProps/ctrlProp423.xml"/><Relationship Id="rId446" Type="http://schemas.openxmlformats.org/officeDocument/2006/relationships/ctrlProp" Target="../ctrlProps/ctrlProp444.xml"/><Relationship Id="rId467" Type="http://schemas.openxmlformats.org/officeDocument/2006/relationships/ctrlProp" Target="../ctrlProps/ctrlProp465.xml"/><Relationship Id="rId250" Type="http://schemas.openxmlformats.org/officeDocument/2006/relationships/ctrlProp" Target="../ctrlProps/ctrlProp248.xml"/><Relationship Id="rId271" Type="http://schemas.openxmlformats.org/officeDocument/2006/relationships/ctrlProp" Target="../ctrlProps/ctrlProp269.xml"/><Relationship Id="rId292" Type="http://schemas.openxmlformats.org/officeDocument/2006/relationships/ctrlProp" Target="../ctrlProps/ctrlProp290.xml"/><Relationship Id="rId306" Type="http://schemas.openxmlformats.org/officeDocument/2006/relationships/ctrlProp" Target="../ctrlProps/ctrlProp304.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327" Type="http://schemas.openxmlformats.org/officeDocument/2006/relationships/ctrlProp" Target="../ctrlProps/ctrlProp325.xml"/><Relationship Id="rId348" Type="http://schemas.openxmlformats.org/officeDocument/2006/relationships/ctrlProp" Target="../ctrlProps/ctrlProp346.xml"/><Relationship Id="rId369" Type="http://schemas.openxmlformats.org/officeDocument/2006/relationships/ctrlProp" Target="../ctrlProps/ctrlProp367.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229" Type="http://schemas.openxmlformats.org/officeDocument/2006/relationships/ctrlProp" Target="../ctrlProps/ctrlProp227.xml"/><Relationship Id="rId380" Type="http://schemas.openxmlformats.org/officeDocument/2006/relationships/ctrlProp" Target="../ctrlProps/ctrlProp378.xml"/><Relationship Id="rId415" Type="http://schemas.openxmlformats.org/officeDocument/2006/relationships/ctrlProp" Target="../ctrlProps/ctrlProp413.xml"/><Relationship Id="rId436" Type="http://schemas.openxmlformats.org/officeDocument/2006/relationships/ctrlProp" Target="../ctrlProps/ctrlProp434.xml"/><Relationship Id="rId457" Type="http://schemas.openxmlformats.org/officeDocument/2006/relationships/ctrlProp" Target="../ctrlProps/ctrlProp455.xml"/><Relationship Id="rId240" Type="http://schemas.openxmlformats.org/officeDocument/2006/relationships/ctrlProp" Target="../ctrlProps/ctrlProp238.xml"/><Relationship Id="rId261" Type="http://schemas.openxmlformats.org/officeDocument/2006/relationships/ctrlProp" Target="../ctrlProps/ctrlProp259.xml"/><Relationship Id="rId14" Type="http://schemas.openxmlformats.org/officeDocument/2006/relationships/ctrlProp" Target="../ctrlProps/ctrlProp12.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282" Type="http://schemas.openxmlformats.org/officeDocument/2006/relationships/ctrlProp" Target="../ctrlProps/ctrlProp280.xml"/><Relationship Id="rId317" Type="http://schemas.openxmlformats.org/officeDocument/2006/relationships/ctrlProp" Target="../ctrlProps/ctrlProp315.xml"/><Relationship Id="rId338" Type="http://schemas.openxmlformats.org/officeDocument/2006/relationships/ctrlProp" Target="../ctrlProps/ctrlProp336.xml"/><Relationship Id="rId359" Type="http://schemas.openxmlformats.org/officeDocument/2006/relationships/ctrlProp" Target="../ctrlProps/ctrlProp357.xml"/><Relationship Id="rId8" Type="http://schemas.openxmlformats.org/officeDocument/2006/relationships/ctrlProp" Target="../ctrlProps/ctrlProp6.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219" Type="http://schemas.openxmlformats.org/officeDocument/2006/relationships/ctrlProp" Target="../ctrlProps/ctrlProp217.xml"/><Relationship Id="rId370" Type="http://schemas.openxmlformats.org/officeDocument/2006/relationships/ctrlProp" Target="../ctrlProps/ctrlProp368.xml"/><Relationship Id="rId391" Type="http://schemas.openxmlformats.org/officeDocument/2006/relationships/ctrlProp" Target="../ctrlProps/ctrlProp389.xml"/><Relationship Id="rId405" Type="http://schemas.openxmlformats.org/officeDocument/2006/relationships/ctrlProp" Target="../ctrlProps/ctrlProp403.xml"/><Relationship Id="rId426" Type="http://schemas.openxmlformats.org/officeDocument/2006/relationships/ctrlProp" Target="../ctrlProps/ctrlProp424.xml"/><Relationship Id="rId447" Type="http://schemas.openxmlformats.org/officeDocument/2006/relationships/ctrlProp" Target="../ctrlProps/ctrlProp445.xml"/><Relationship Id="rId230" Type="http://schemas.openxmlformats.org/officeDocument/2006/relationships/ctrlProp" Target="../ctrlProps/ctrlProp228.xml"/><Relationship Id="rId251" Type="http://schemas.openxmlformats.org/officeDocument/2006/relationships/ctrlProp" Target="../ctrlProps/ctrlProp249.xml"/><Relationship Id="rId468" Type="http://schemas.openxmlformats.org/officeDocument/2006/relationships/ctrlProp" Target="../ctrlProps/ctrlProp466.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272" Type="http://schemas.openxmlformats.org/officeDocument/2006/relationships/ctrlProp" Target="../ctrlProps/ctrlProp270.xml"/><Relationship Id="rId293" Type="http://schemas.openxmlformats.org/officeDocument/2006/relationships/ctrlProp" Target="../ctrlProps/ctrlProp291.xml"/><Relationship Id="rId307" Type="http://schemas.openxmlformats.org/officeDocument/2006/relationships/ctrlProp" Target="../ctrlProps/ctrlProp305.xml"/><Relationship Id="rId328" Type="http://schemas.openxmlformats.org/officeDocument/2006/relationships/ctrlProp" Target="../ctrlProps/ctrlProp326.xml"/><Relationship Id="rId349" Type="http://schemas.openxmlformats.org/officeDocument/2006/relationships/ctrlProp" Target="../ctrlProps/ctrlProp347.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95" Type="http://schemas.openxmlformats.org/officeDocument/2006/relationships/ctrlProp" Target="../ctrlProps/ctrlProp193.xml"/><Relationship Id="rId209" Type="http://schemas.openxmlformats.org/officeDocument/2006/relationships/ctrlProp" Target="../ctrlProps/ctrlProp207.xml"/><Relationship Id="rId360" Type="http://schemas.openxmlformats.org/officeDocument/2006/relationships/ctrlProp" Target="../ctrlProps/ctrlProp358.xml"/><Relationship Id="rId381" Type="http://schemas.openxmlformats.org/officeDocument/2006/relationships/ctrlProp" Target="../ctrlProps/ctrlProp379.xml"/><Relationship Id="rId416" Type="http://schemas.openxmlformats.org/officeDocument/2006/relationships/ctrlProp" Target="../ctrlProps/ctrlProp414.xml"/><Relationship Id="rId220" Type="http://schemas.openxmlformats.org/officeDocument/2006/relationships/ctrlProp" Target="../ctrlProps/ctrlProp218.xml"/><Relationship Id="rId241" Type="http://schemas.openxmlformats.org/officeDocument/2006/relationships/ctrlProp" Target="../ctrlProps/ctrlProp239.xml"/><Relationship Id="rId437" Type="http://schemas.openxmlformats.org/officeDocument/2006/relationships/ctrlProp" Target="../ctrlProps/ctrlProp435.xml"/><Relationship Id="rId458" Type="http://schemas.openxmlformats.org/officeDocument/2006/relationships/ctrlProp" Target="../ctrlProps/ctrlProp456.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262" Type="http://schemas.openxmlformats.org/officeDocument/2006/relationships/ctrlProp" Target="../ctrlProps/ctrlProp260.xml"/><Relationship Id="rId283" Type="http://schemas.openxmlformats.org/officeDocument/2006/relationships/ctrlProp" Target="../ctrlProps/ctrlProp281.xml"/><Relationship Id="rId318" Type="http://schemas.openxmlformats.org/officeDocument/2006/relationships/ctrlProp" Target="../ctrlProps/ctrlProp316.xml"/><Relationship Id="rId339" Type="http://schemas.openxmlformats.org/officeDocument/2006/relationships/ctrlProp" Target="../ctrlProps/ctrlProp337.xml"/><Relationship Id="rId78" Type="http://schemas.openxmlformats.org/officeDocument/2006/relationships/ctrlProp" Target="../ctrlProps/ctrlProp76.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64" Type="http://schemas.openxmlformats.org/officeDocument/2006/relationships/ctrlProp" Target="../ctrlProps/ctrlProp162.xml"/><Relationship Id="rId185" Type="http://schemas.openxmlformats.org/officeDocument/2006/relationships/ctrlProp" Target="../ctrlProps/ctrlProp183.xml"/><Relationship Id="rId350" Type="http://schemas.openxmlformats.org/officeDocument/2006/relationships/ctrlProp" Target="../ctrlProps/ctrlProp348.xml"/><Relationship Id="rId371" Type="http://schemas.openxmlformats.org/officeDocument/2006/relationships/ctrlProp" Target="../ctrlProps/ctrlProp369.xml"/><Relationship Id="rId406" Type="http://schemas.openxmlformats.org/officeDocument/2006/relationships/ctrlProp" Target="../ctrlProps/ctrlProp404.xml"/><Relationship Id="rId9" Type="http://schemas.openxmlformats.org/officeDocument/2006/relationships/ctrlProp" Target="../ctrlProps/ctrlProp7.xml"/><Relationship Id="rId210" Type="http://schemas.openxmlformats.org/officeDocument/2006/relationships/ctrlProp" Target="../ctrlProps/ctrlProp208.xml"/><Relationship Id="rId392" Type="http://schemas.openxmlformats.org/officeDocument/2006/relationships/ctrlProp" Target="../ctrlProps/ctrlProp390.xml"/><Relationship Id="rId427" Type="http://schemas.openxmlformats.org/officeDocument/2006/relationships/ctrlProp" Target="../ctrlProps/ctrlProp425.xml"/><Relationship Id="rId448" Type="http://schemas.openxmlformats.org/officeDocument/2006/relationships/ctrlProp" Target="../ctrlProps/ctrlProp446.xml"/><Relationship Id="rId469" Type="http://schemas.openxmlformats.org/officeDocument/2006/relationships/ctrlProp" Target="../ctrlProps/ctrlProp467.xml"/><Relationship Id="rId26" Type="http://schemas.openxmlformats.org/officeDocument/2006/relationships/ctrlProp" Target="../ctrlProps/ctrlProp24.xml"/><Relationship Id="rId231" Type="http://schemas.openxmlformats.org/officeDocument/2006/relationships/ctrlProp" Target="../ctrlProps/ctrlProp229.xml"/><Relationship Id="rId252" Type="http://schemas.openxmlformats.org/officeDocument/2006/relationships/ctrlProp" Target="../ctrlProps/ctrlProp250.xml"/><Relationship Id="rId273" Type="http://schemas.openxmlformats.org/officeDocument/2006/relationships/ctrlProp" Target="../ctrlProps/ctrlProp271.xml"/><Relationship Id="rId294" Type="http://schemas.openxmlformats.org/officeDocument/2006/relationships/ctrlProp" Target="../ctrlProps/ctrlProp292.xml"/><Relationship Id="rId308" Type="http://schemas.openxmlformats.org/officeDocument/2006/relationships/ctrlProp" Target="../ctrlProps/ctrlProp306.xml"/><Relationship Id="rId329" Type="http://schemas.openxmlformats.org/officeDocument/2006/relationships/ctrlProp" Target="../ctrlProps/ctrlProp327.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340" Type="http://schemas.openxmlformats.org/officeDocument/2006/relationships/ctrlProp" Target="../ctrlProps/ctrlProp338.xml"/><Relationship Id="rId361" Type="http://schemas.openxmlformats.org/officeDocument/2006/relationships/ctrlProp" Target="../ctrlProps/ctrlProp359.xml"/><Relationship Id="rId196" Type="http://schemas.openxmlformats.org/officeDocument/2006/relationships/ctrlProp" Target="../ctrlProps/ctrlProp194.xml"/><Relationship Id="rId200" Type="http://schemas.openxmlformats.org/officeDocument/2006/relationships/ctrlProp" Target="../ctrlProps/ctrlProp198.xml"/><Relationship Id="rId382" Type="http://schemas.openxmlformats.org/officeDocument/2006/relationships/ctrlProp" Target="../ctrlProps/ctrlProp380.xml"/><Relationship Id="rId417" Type="http://schemas.openxmlformats.org/officeDocument/2006/relationships/ctrlProp" Target="../ctrlProps/ctrlProp415.xml"/><Relationship Id="rId438" Type="http://schemas.openxmlformats.org/officeDocument/2006/relationships/ctrlProp" Target="../ctrlProps/ctrlProp436.xml"/><Relationship Id="rId459" Type="http://schemas.openxmlformats.org/officeDocument/2006/relationships/ctrlProp" Target="../ctrlProps/ctrlProp457.xml"/><Relationship Id="rId16" Type="http://schemas.openxmlformats.org/officeDocument/2006/relationships/ctrlProp" Target="../ctrlProps/ctrlProp14.xml"/><Relationship Id="rId221" Type="http://schemas.openxmlformats.org/officeDocument/2006/relationships/ctrlProp" Target="../ctrlProps/ctrlProp219.xml"/><Relationship Id="rId242" Type="http://schemas.openxmlformats.org/officeDocument/2006/relationships/ctrlProp" Target="../ctrlProps/ctrlProp240.xml"/><Relationship Id="rId263" Type="http://schemas.openxmlformats.org/officeDocument/2006/relationships/ctrlProp" Target="../ctrlProps/ctrlProp261.xml"/><Relationship Id="rId284" Type="http://schemas.openxmlformats.org/officeDocument/2006/relationships/ctrlProp" Target="../ctrlProps/ctrlProp282.xml"/><Relationship Id="rId319" Type="http://schemas.openxmlformats.org/officeDocument/2006/relationships/ctrlProp" Target="../ctrlProps/ctrlProp317.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330" Type="http://schemas.openxmlformats.org/officeDocument/2006/relationships/ctrlProp" Target="../ctrlProps/ctrlProp328.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351" Type="http://schemas.openxmlformats.org/officeDocument/2006/relationships/ctrlProp" Target="../ctrlProps/ctrlProp349.xml"/><Relationship Id="rId372" Type="http://schemas.openxmlformats.org/officeDocument/2006/relationships/ctrlProp" Target="../ctrlProps/ctrlProp370.xml"/><Relationship Id="rId393" Type="http://schemas.openxmlformats.org/officeDocument/2006/relationships/ctrlProp" Target="../ctrlProps/ctrlProp391.xml"/><Relationship Id="rId407" Type="http://schemas.openxmlformats.org/officeDocument/2006/relationships/ctrlProp" Target="../ctrlProps/ctrlProp405.xml"/><Relationship Id="rId428" Type="http://schemas.openxmlformats.org/officeDocument/2006/relationships/ctrlProp" Target="../ctrlProps/ctrlProp426.xml"/><Relationship Id="rId449" Type="http://schemas.openxmlformats.org/officeDocument/2006/relationships/ctrlProp" Target="../ctrlProps/ctrlProp447.xml"/><Relationship Id="rId211" Type="http://schemas.openxmlformats.org/officeDocument/2006/relationships/ctrlProp" Target="../ctrlProps/ctrlProp209.xml"/><Relationship Id="rId232" Type="http://schemas.openxmlformats.org/officeDocument/2006/relationships/ctrlProp" Target="../ctrlProps/ctrlProp230.xml"/><Relationship Id="rId253" Type="http://schemas.openxmlformats.org/officeDocument/2006/relationships/ctrlProp" Target="../ctrlProps/ctrlProp251.xml"/><Relationship Id="rId274" Type="http://schemas.openxmlformats.org/officeDocument/2006/relationships/ctrlProp" Target="../ctrlProps/ctrlProp272.xml"/><Relationship Id="rId295" Type="http://schemas.openxmlformats.org/officeDocument/2006/relationships/ctrlProp" Target="../ctrlProps/ctrlProp293.xml"/><Relationship Id="rId309" Type="http://schemas.openxmlformats.org/officeDocument/2006/relationships/ctrlProp" Target="../ctrlProps/ctrlProp307.xml"/><Relationship Id="rId460" Type="http://schemas.openxmlformats.org/officeDocument/2006/relationships/ctrlProp" Target="../ctrlProps/ctrlProp458.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320" Type="http://schemas.openxmlformats.org/officeDocument/2006/relationships/ctrlProp" Target="../ctrlProps/ctrlProp318.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341" Type="http://schemas.openxmlformats.org/officeDocument/2006/relationships/ctrlProp" Target="../ctrlProps/ctrlProp339.xml"/><Relationship Id="rId362" Type="http://schemas.openxmlformats.org/officeDocument/2006/relationships/ctrlProp" Target="../ctrlProps/ctrlProp360.xml"/><Relationship Id="rId383" Type="http://schemas.openxmlformats.org/officeDocument/2006/relationships/ctrlProp" Target="../ctrlProps/ctrlProp381.xml"/><Relationship Id="rId418" Type="http://schemas.openxmlformats.org/officeDocument/2006/relationships/ctrlProp" Target="../ctrlProps/ctrlProp416.xml"/><Relationship Id="rId439" Type="http://schemas.openxmlformats.org/officeDocument/2006/relationships/ctrlProp" Target="../ctrlProps/ctrlProp437.xml"/><Relationship Id="rId201" Type="http://schemas.openxmlformats.org/officeDocument/2006/relationships/ctrlProp" Target="../ctrlProps/ctrlProp199.xml"/><Relationship Id="rId222" Type="http://schemas.openxmlformats.org/officeDocument/2006/relationships/ctrlProp" Target="../ctrlProps/ctrlProp220.xml"/><Relationship Id="rId243" Type="http://schemas.openxmlformats.org/officeDocument/2006/relationships/ctrlProp" Target="../ctrlProps/ctrlProp241.xml"/><Relationship Id="rId264" Type="http://schemas.openxmlformats.org/officeDocument/2006/relationships/ctrlProp" Target="../ctrlProps/ctrlProp262.xml"/><Relationship Id="rId285" Type="http://schemas.openxmlformats.org/officeDocument/2006/relationships/ctrlProp" Target="../ctrlProps/ctrlProp283.xml"/><Relationship Id="rId450" Type="http://schemas.openxmlformats.org/officeDocument/2006/relationships/ctrlProp" Target="../ctrlProps/ctrlProp448.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310" Type="http://schemas.openxmlformats.org/officeDocument/2006/relationships/ctrlProp" Target="../ctrlProps/ctrlProp308.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331" Type="http://schemas.openxmlformats.org/officeDocument/2006/relationships/ctrlProp" Target="../ctrlProps/ctrlProp329.xml"/><Relationship Id="rId352" Type="http://schemas.openxmlformats.org/officeDocument/2006/relationships/ctrlProp" Target="../ctrlProps/ctrlProp350.xml"/><Relationship Id="rId373" Type="http://schemas.openxmlformats.org/officeDocument/2006/relationships/ctrlProp" Target="../ctrlProps/ctrlProp371.xml"/><Relationship Id="rId394" Type="http://schemas.openxmlformats.org/officeDocument/2006/relationships/ctrlProp" Target="../ctrlProps/ctrlProp392.xml"/><Relationship Id="rId408" Type="http://schemas.openxmlformats.org/officeDocument/2006/relationships/ctrlProp" Target="../ctrlProps/ctrlProp406.xml"/><Relationship Id="rId429" Type="http://schemas.openxmlformats.org/officeDocument/2006/relationships/ctrlProp" Target="../ctrlProps/ctrlProp427.xml"/><Relationship Id="rId1" Type="http://schemas.openxmlformats.org/officeDocument/2006/relationships/drawing" Target="../drawings/drawing1.xml"/><Relationship Id="rId212" Type="http://schemas.openxmlformats.org/officeDocument/2006/relationships/ctrlProp" Target="../ctrlProps/ctrlProp210.xml"/><Relationship Id="rId233" Type="http://schemas.openxmlformats.org/officeDocument/2006/relationships/ctrlProp" Target="../ctrlProps/ctrlProp231.xml"/><Relationship Id="rId254" Type="http://schemas.openxmlformats.org/officeDocument/2006/relationships/ctrlProp" Target="../ctrlProps/ctrlProp252.xml"/><Relationship Id="rId440" Type="http://schemas.openxmlformats.org/officeDocument/2006/relationships/ctrlProp" Target="../ctrlProps/ctrlProp438.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275" Type="http://schemas.openxmlformats.org/officeDocument/2006/relationships/ctrlProp" Target="../ctrlProps/ctrlProp273.xml"/><Relationship Id="rId296" Type="http://schemas.openxmlformats.org/officeDocument/2006/relationships/ctrlProp" Target="../ctrlProps/ctrlProp294.xml"/><Relationship Id="rId300" Type="http://schemas.openxmlformats.org/officeDocument/2006/relationships/ctrlProp" Target="../ctrlProps/ctrlProp298.xml"/><Relationship Id="rId461" Type="http://schemas.openxmlformats.org/officeDocument/2006/relationships/ctrlProp" Target="../ctrlProps/ctrlProp459.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321" Type="http://schemas.openxmlformats.org/officeDocument/2006/relationships/ctrlProp" Target="../ctrlProps/ctrlProp319.xml"/><Relationship Id="rId342" Type="http://schemas.openxmlformats.org/officeDocument/2006/relationships/ctrlProp" Target="../ctrlProps/ctrlProp340.xml"/><Relationship Id="rId363" Type="http://schemas.openxmlformats.org/officeDocument/2006/relationships/ctrlProp" Target="../ctrlProps/ctrlProp361.xml"/><Relationship Id="rId384" Type="http://schemas.openxmlformats.org/officeDocument/2006/relationships/ctrlProp" Target="../ctrlProps/ctrlProp382.xml"/><Relationship Id="rId419" Type="http://schemas.openxmlformats.org/officeDocument/2006/relationships/ctrlProp" Target="../ctrlProps/ctrlProp417.xml"/><Relationship Id="rId202" Type="http://schemas.openxmlformats.org/officeDocument/2006/relationships/ctrlProp" Target="../ctrlProps/ctrlProp200.xml"/><Relationship Id="rId223" Type="http://schemas.openxmlformats.org/officeDocument/2006/relationships/ctrlProp" Target="../ctrlProps/ctrlProp221.xml"/><Relationship Id="rId244" Type="http://schemas.openxmlformats.org/officeDocument/2006/relationships/ctrlProp" Target="../ctrlProps/ctrlProp242.xml"/><Relationship Id="rId430" Type="http://schemas.openxmlformats.org/officeDocument/2006/relationships/ctrlProp" Target="../ctrlProps/ctrlProp428.xml"/><Relationship Id="rId18" Type="http://schemas.openxmlformats.org/officeDocument/2006/relationships/ctrlProp" Target="../ctrlProps/ctrlProp16.xml"/><Relationship Id="rId39" Type="http://schemas.openxmlformats.org/officeDocument/2006/relationships/ctrlProp" Target="../ctrlProps/ctrlProp37.xml"/><Relationship Id="rId265" Type="http://schemas.openxmlformats.org/officeDocument/2006/relationships/ctrlProp" Target="../ctrlProps/ctrlProp263.xml"/><Relationship Id="rId286" Type="http://schemas.openxmlformats.org/officeDocument/2006/relationships/ctrlProp" Target="../ctrlProps/ctrlProp284.xml"/><Relationship Id="rId451" Type="http://schemas.openxmlformats.org/officeDocument/2006/relationships/ctrlProp" Target="../ctrlProps/ctrlProp449.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311" Type="http://schemas.openxmlformats.org/officeDocument/2006/relationships/ctrlProp" Target="../ctrlProps/ctrlProp309.xml"/><Relationship Id="rId332" Type="http://schemas.openxmlformats.org/officeDocument/2006/relationships/ctrlProp" Target="../ctrlProps/ctrlProp330.xml"/><Relationship Id="rId353" Type="http://schemas.openxmlformats.org/officeDocument/2006/relationships/ctrlProp" Target="../ctrlProps/ctrlProp351.xml"/><Relationship Id="rId374" Type="http://schemas.openxmlformats.org/officeDocument/2006/relationships/ctrlProp" Target="../ctrlProps/ctrlProp372.xml"/><Relationship Id="rId395" Type="http://schemas.openxmlformats.org/officeDocument/2006/relationships/ctrlProp" Target="../ctrlProps/ctrlProp393.xml"/><Relationship Id="rId409" Type="http://schemas.openxmlformats.org/officeDocument/2006/relationships/ctrlProp" Target="../ctrlProps/ctrlProp407.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34" Type="http://schemas.openxmlformats.org/officeDocument/2006/relationships/ctrlProp" Target="../ctrlProps/ctrlProp232.xml"/><Relationship Id="rId420" Type="http://schemas.openxmlformats.org/officeDocument/2006/relationships/ctrlProp" Target="../ctrlProps/ctrlProp418.xml"/><Relationship Id="rId2" Type="http://schemas.openxmlformats.org/officeDocument/2006/relationships/vmlDrawing" Target="../drawings/vmlDrawing1.vml"/><Relationship Id="rId29" Type="http://schemas.openxmlformats.org/officeDocument/2006/relationships/ctrlProp" Target="../ctrlProps/ctrlProp27.xml"/><Relationship Id="rId255" Type="http://schemas.openxmlformats.org/officeDocument/2006/relationships/ctrlProp" Target="../ctrlProps/ctrlProp253.xml"/><Relationship Id="rId276" Type="http://schemas.openxmlformats.org/officeDocument/2006/relationships/ctrlProp" Target="../ctrlProps/ctrlProp274.xml"/><Relationship Id="rId297" Type="http://schemas.openxmlformats.org/officeDocument/2006/relationships/ctrlProp" Target="../ctrlProps/ctrlProp295.xml"/><Relationship Id="rId441" Type="http://schemas.openxmlformats.org/officeDocument/2006/relationships/ctrlProp" Target="../ctrlProps/ctrlProp439.xml"/><Relationship Id="rId462" Type="http://schemas.openxmlformats.org/officeDocument/2006/relationships/ctrlProp" Target="../ctrlProps/ctrlProp460.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301" Type="http://schemas.openxmlformats.org/officeDocument/2006/relationships/ctrlProp" Target="../ctrlProps/ctrlProp299.xml"/><Relationship Id="rId322" Type="http://schemas.openxmlformats.org/officeDocument/2006/relationships/ctrlProp" Target="../ctrlProps/ctrlProp320.xml"/><Relationship Id="rId343" Type="http://schemas.openxmlformats.org/officeDocument/2006/relationships/ctrlProp" Target="../ctrlProps/ctrlProp341.xml"/><Relationship Id="rId364" Type="http://schemas.openxmlformats.org/officeDocument/2006/relationships/ctrlProp" Target="../ctrlProps/ctrlProp362.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385" Type="http://schemas.openxmlformats.org/officeDocument/2006/relationships/ctrlProp" Target="../ctrlProps/ctrlProp383.xml"/><Relationship Id="rId19" Type="http://schemas.openxmlformats.org/officeDocument/2006/relationships/ctrlProp" Target="../ctrlProps/ctrlProp17.xml"/><Relationship Id="rId224" Type="http://schemas.openxmlformats.org/officeDocument/2006/relationships/ctrlProp" Target="../ctrlProps/ctrlProp222.xml"/><Relationship Id="rId245" Type="http://schemas.openxmlformats.org/officeDocument/2006/relationships/ctrlProp" Target="../ctrlProps/ctrlProp243.xml"/><Relationship Id="rId266" Type="http://schemas.openxmlformats.org/officeDocument/2006/relationships/ctrlProp" Target="../ctrlProps/ctrlProp264.xml"/><Relationship Id="rId287" Type="http://schemas.openxmlformats.org/officeDocument/2006/relationships/ctrlProp" Target="../ctrlProps/ctrlProp285.xml"/><Relationship Id="rId410" Type="http://schemas.openxmlformats.org/officeDocument/2006/relationships/ctrlProp" Target="../ctrlProps/ctrlProp408.xml"/><Relationship Id="rId431" Type="http://schemas.openxmlformats.org/officeDocument/2006/relationships/ctrlProp" Target="../ctrlProps/ctrlProp429.xml"/><Relationship Id="rId452" Type="http://schemas.openxmlformats.org/officeDocument/2006/relationships/ctrlProp" Target="../ctrlProps/ctrlProp450.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312" Type="http://schemas.openxmlformats.org/officeDocument/2006/relationships/ctrlProp" Target="../ctrlProps/ctrlProp310.xml"/><Relationship Id="rId333" Type="http://schemas.openxmlformats.org/officeDocument/2006/relationships/ctrlProp" Target="../ctrlProps/ctrlProp331.xml"/><Relationship Id="rId354" Type="http://schemas.openxmlformats.org/officeDocument/2006/relationships/ctrlProp" Target="../ctrlProps/ctrlProp352.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75" Type="http://schemas.openxmlformats.org/officeDocument/2006/relationships/ctrlProp" Target="../ctrlProps/ctrlProp373.xml"/><Relationship Id="rId396" Type="http://schemas.openxmlformats.org/officeDocument/2006/relationships/ctrlProp" Target="../ctrlProps/ctrlProp394.xml"/><Relationship Id="rId3" Type="http://schemas.openxmlformats.org/officeDocument/2006/relationships/ctrlProp" Target="../ctrlProps/ctrlProp1.xml"/><Relationship Id="rId214" Type="http://schemas.openxmlformats.org/officeDocument/2006/relationships/ctrlProp" Target="../ctrlProps/ctrlProp212.xml"/><Relationship Id="rId235" Type="http://schemas.openxmlformats.org/officeDocument/2006/relationships/ctrlProp" Target="../ctrlProps/ctrlProp233.xml"/><Relationship Id="rId256" Type="http://schemas.openxmlformats.org/officeDocument/2006/relationships/ctrlProp" Target="../ctrlProps/ctrlProp254.xml"/><Relationship Id="rId277" Type="http://schemas.openxmlformats.org/officeDocument/2006/relationships/ctrlProp" Target="../ctrlProps/ctrlProp275.xml"/><Relationship Id="rId298" Type="http://schemas.openxmlformats.org/officeDocument/2006/relationships/ctrlProp" Target="../ctrlProps/ctrlProp296.xml"/><Relationship Id="rId400" Type="http://schemas.openxmlformats.org/officeDocument/2006/relationships/ctrlProp" Target="../ctrlProps/ctrlProp398.xml"/><Relationship Id="rId421" Type="http://schemas.openxmlformats.org/officeDocument/2006/relationships/ctrlProp" Target="../ctrlProps/ctrlProp419.xml"/><Relationship Id="rId442" Type="http://schemas.openxmlformats.org/officeDocument/2006/relationships/ctrlProp" Target="../ctrlProps/ctrlProp440.xml"/><Relationship Id="rId463" Type="http://schemas.openxmlformats.org/officeDocument/2006/relationships/ctrlProp" Target="../ctrlProps/ctrlProp461.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302" Type="http://schemas.openxmlformats.org/officeDocument/2006/relationships/ctrlProp" Target="../ctrlProps/ctrlProp300.xml"/><Relationship Id="rId323" Type="http://schemas.openxmlformats.org/officeDocument/2006/relationships/ctrlProp" Target="../ctrlProps/ctrlProp321.xml"/><Relationship Id="rId344" Type="http://schemas.openxmlformats.org/officeDocument/2006/relationships/ctrlProp" Target="../ctrlProps/ctrlProp342.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179" Type="http://schemas.openxmlformats.org/officeDocument/2006/relationships/ctrlProp" Target="../ctrlProps/ctrlProp177.xml"/><Relationship Id="rId365" Type="http://schemas.openxmlformats.org/officeDocument/2006/relationships/ctrlProp" Target="../ctrlProps/ctrlProp363.xml"/><Relationship Id="rId386" Type="http://schemas.openxmlformats.org/officeDocument/2006/relationships/ctrlProp" Target="../ctrlProps/ctrlProp384.xml"/><Relationship Id="rId190" Type="http://schemas.openxmlformats.org/officeDocument/2006/relationships/ctrlProp" Target="../ctrlProps/ctrlProp188.xml"/><Relationship Id="rId204" Type="http://schemas.openxmlformats.org/officeDocument/2006/relationships/ctrlProp" Target="../ctrlProps/ctrlProp202.xml"/><Relationship Id="rId225" Type="http://schemas.openxmlformats.org/officeDocument/2006/relationships/ctrlProp" Target="../ctrlProps/ctrlProp223.xml"/><Relationship Id="rId246" Type="http://schemas.openxmlformats.org/officeDocument/2006/relationships/ctrlProp" Target="../ctrlProps/ctrlProp244.xml"/><Relationship Id="rId267" Type="http://schemas.openxmlformats.org/officeDocument/2006/relationships/ctrlProp" Target="../ctrlProps/ctrlProp265.xml"/><Relationship Id="rId288" Type="http://schemas.openxmlformats.org/officeDocument/2006/relationships/ctrlProp" Target="../ctrlProps/ctrlProp286.xml"/><Relationship Id="rId411" Type="http://schemas.openxmlformats.org/officeDocument/2006/relationships/ctrlProp" Target="../ctrlProps/ctrlProp409.xml"/><Relationship Id="rId432" Type="http://schemas.openxmlformats.org/officeDocument/2006/relationships/ctrlProp" Target="../ctrlProps/ctrlProp430.xml"/><Relationship Id="rId453" Type="http://schemas.openxmlformats.org/officeDocument/2006/relationships/ctrlProp" Target="../ctrlProps/ctrlProp451.xml"/><Relationship Id="rId106" Type="http://schemas.openxmlformats.org/officeDocument/2006/relationships/ctrlProp" Target="../ctrlProps/ctrlProp104.xml"/><Relationship Id="rId127" Type="http://schemas.openxmlformats.org/officeDocument/2006/relationships/ctrlProp" Target="../ctrlProps/ctrlProp125.xml"/><Relationship Id="rId313" Type="http://schemas.openxmlformats.org/officeDocument/2006/relationships/ctrlProp" Target="../ctrlProps/ctrlProp311.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94" Type="http://schemas.openxmlformats.org/officeDocument/2006/relationships/ctrlProp" Target="../ctrlProps/ctrlProp92.xml"/><Relationship Id="rId148" Type="http://schemas.openxmlformats.org/officeDocument/2006/relationships/ctrlProp" Target="../ctrlProps/ctrlProp146.xml"/><Relationship Id="rId169" Type="http://schemas.openxmlformats.org/officeDocument/2006/relationships/ctrlProp" Target="../ctrlProps/ctrlProp167.xml"/><Relationship Id="rId334" Type="http://schemas.openxmlformats.org/officeDocument/2006/relationships/ctrlProp" Target="../ctrlProps/ctrlProp332.xml"/><Relationship Id="rId355" Type="http://schemas.openxmlformats.org/officeDocument/2006/relationships/ctrlProp" Target="../ctrlProps/ctrlProp353.xml"/><Relationship Id="rId376" Type="http://schemas.openxmlformats.org/officeDocument/2006/relationships/ctrlProp" Target="../ctrlProps/ctrlProp374.xml"/><Relationship Id="rId397" Type="http://schemas.openxmlformats.org/officeDocument/2006/relationships/ctrlProp" Target="../ctrlProps/ctrlProp395.xml"/><Relationship Id="rId4" Type="http://schemas.openxmlformats.org/officeDocument/2006/relationships/ctrlProp" Target="../ctrlProps/ctrlProp2.xml"/><Relationship Id="rId180" Type="http://schemas.openxmlformats.org/officeDocument/2006/relationships/ctrlProp" Target="../ctrlProps/ctrlProp178.xml"/><Relationship Id="rId215" Type="http://schemas.openxmlformats.org/officeDocument/2006/relationships/ctrlProp" Target="../ctrlProps/ctrlProp213.xml"/><Relationship Id="rId236" Type="http://schemas.openxmlformats.org/officeDocument/2006/relationships/ctrlProp" Target="../ctrlProps/ctrlProp234.xml"/><Relationship Id="rId257" Type="http://schemas.openxmlformats.org/officeDocument/2006/relationships/ctrlProp" Target="../ctrlProps/ctrlProp255.xml"/><Relationship Id="rId278" Type="http://schemas.openxmlformats.org/officeDocument/2006/relationships/ctrlProp" Target="../ctrlProps/ctrlProp276.xml"/><Relationship Id="rId401" Type="http://schemas.openxmlformats.org/officeDocument/2006/relationships/ctrlProp" Target="../ctrlProps/ctrlProp399.xml"/><Relationship Id="rId422" Type="http://schemas.openxmlformats.org/officeDocument/2006/relationships/ctrlProp" Target="../ctrlProps/ctrlProp420.xml"/><Relationship Id="rId443" Type="http://schemas.openxmlformats.org/officeDocument/2006/relationships/ctrlProp" Target="../ctrlProps/ctrlProp441.xml"/><Relationship Id="rId464" Type="http://schemas.openxmlformats.org/officeDocument/2006/relationships/ctrlProp" Target="../ctrlProps/ctrlProp462.xml"/><Relationship Id="rId303" Type="http://schemas.openxmlformats.org/officeDocument/2006/relationships/ctrlProp" Target="../ctrlProps/ctrlProp301.xml"/><Relationship Id="rId42" Type="http://schemas.openxmlformats.org/officeDocument/2006/relationships/ctrlProp" Target="../ctrlProps/ctrlProp40.xml"/><Relationship Id="rId84" Type="http://schemas.openxmlformats.org/officeDocument/2006/relationships/ctrlProp" Target="../ctrlProps/ctrlProp82.xml"/><Relationship Id="rId138" Type="http://schemas.openxmlformats.org/officeDocument/2006/relationships/ctrlProp" Target="../ctrlProps/ctrlProp136.xml"/><Relationship Id="rId345" Type="http://schemas.openxmlformats.org/officeDocument/2006/relationships/ctrlProp" Target="../ctrlProps/ctrlProp343.xml"/><Relationship Id="rId387" Type="http://schemas.openxmlformats.org/officeDocument/2006/relationships/ctrlProp" Target="../ctrlProps/ctrlProp385.xml"/><Relationship Id="rId191" Type="http://schemas.openxmlformats.org/officeDocument/2006/relationships/ctrlProp" Target="../ctrlProps/ctrlProp189.xml"/><Relationship Id="rId205" Type="http://schemas.openxmlformats.org/officeDocument/2006/relationships/ctrlProp" Target="../ctrlProps/ctrlProp203.xml"/><Relationship Id="rId247" Type="http://schemas.openxmlformats.org/officeDocument/2006/relationships/ctrlProp" Target="../ctrlProps/ctrlProp245.xml"/><Relationship Id="rId412" Type="http://schemas.openxmlformats.org/officeDocument/2006/relationships/ctrlProp" Target="../ctrlProps/ctrlProp410.xml"/><Relationship Id="rId107" Type="http://schemas.openxmlformats.org/officeDocument/2006/relationships/ctrlProp" Target="../ctrlProps/ctrlProp105.xml"/><Relationship Id="rId289" Type="http://schemas.openxmlformats.org/officeDocument/2006/relationships/ctrlProp" Target="../ctrlProps/ctrlProp287.xml"/><Relationship Id="rId454" Type="http://schemas.openxmlformats.org/officeDocument/2006/relationships/ctrlProp" Target="../ctrlProps/ctrlProp452.xml"/><Relationship Id="rId11" Type="http://schemas.openxmlformats.org/officeDocument/2006/relationships/ctrlProp" Target="../ctrlProps/ctrlProp9.xml"/><Relationship Id="rId53" Type="http://schemas.openxmlformats.org/officeDocument/2006/relationships/ctrlProp" Target="../ctrlProps/ctrlProp51.xml"/><Relationship Id="rId149" Type="http://schemas.openxmlformats.org/officeDocument/2006/relationships/ctrlProp" Target="../ctrlProps/ctrlProp147.xml"/><Relationship Id="rId314" Type="http://schemas.openxmlformats.org/officeDocument/2006/relationships/ctrlProp" Target="../ctrlProps/ctrlProp312.xml"/><Relationship Id="rId356" Type="http://schemas.openxmlformats.org/officeDocument/2006/relationships/ctrlProp" Target="../ctrlProps/ctrlProp354.xml"/><Relationship Id="rId398" Type="http://schemas.openxmlformats.org/officeDocument/2006/relationships/ctrlProp" Target="../ctrlProps/ctrlProp396.xml"/><Relationship Id="rId95" Type="http://schemas.openxmlformats.org/officeDocument/2006/relationships/ctrlProp" Target="../ctrlProps/ctrlProp93.xml"/><Relationship Id="rId160" Type="http://schemas.openxmlformats.org/officeDocument/2006/relationships/ctrlProp" Target="../ctrlProps/ctrlProp158.xml"/><Relationship Id="rId216" Type="http://schemas.openxmlformats.org/officeDocument/2006/relationships/ctrlProp" Target="../ctrlProps/ctrlProp214.xml"/><Relationship Id="rId423" Type="http://schemas.openxmlformats.org/officeDocument/2006/relationships/ctrlProp" Target="../ctrlProps/ctrlProp421.xml"/><Relationship Id="rId258" Type="http://schemas.openxmlformats.org/officeDocument/2006/relationships/ctrlProp" Target="../ctrlProps/ctrlProp256.xml"/><Relationship Id="rId465" Type="http://schemas.openxmlformats.org/officeDocument/2006/relationships/ctrlProp" Target="../ctrlProps/ctrlProp463.xml"/><Relationship Id="rId22" Type="http://schemas.openxmlformats.org/officeDocument/2006/relationships/ctrlProp" Target="../ctrlProps/ctrlProp20.xml"/><Relationship Id="rId64" Type="http://schemas.openxmlformats.org/officeDocument/2006/relationships/ctrlProp" Target="../ctrlProps/ctrlProp62.xml"/><Relationship Id="rId118" Type="http://schemas.openxmlformats.org/officeDocument/2006/relationships/ctrlProp" Target="../ctrlProps/ctrlProp116.xml"/><Relationship Id="rId325" Type="http://schemas.openxmlformats.org/officeDocument/2006/relationships/ctrlProp" Target="../ctrlProps/ctrlProp323.xml"/><Relationship Id="rId367" Type="http://schemas.openxmlformats.org/officeDocument/2006/relationships/ctrlProp" Target="../ctrlProps/ctrlProp365.xml"/><Relationship Id="rId171" Type="http://schemas.openxmlformats.org/officeDocument/2006/relationships/ctrlProp" Target="../ctrlProps/ctrlProp169.xml"/><Relationship Id="rId227" Type="http://schemas.openxmlformats.org/officeDocument/2006/relationships/ctrlProp" Target="../ctrlProps/ctrlProp225.xml"/><Relationship Id="rId269" Type="http://schemas.openxmlformats.org/officeDocument/2006/relationships/ctrlProp" Target="../ctrlProps/ctrlProp267.xml"/><Relationship Id="rId434" Type="http://schemas.openxmlformats.org/officeDocument/2006/relationships/ctrlProp" Target="../ctrlProps/ctrlProp432.xml"/><Relationship Id="rId33" Type="http://schemas.openxmlformats.org/officeDocument/2006/relationships/ctrlProp" Target="../ctrlProps/ctrlProp31.xml"/><Relationship Id="rId129" Type="http://schemas.openxmlformats.org/officeDocument/2006/relationships/ctrlProp" Target="../ctrlProps/ctrlProp127.xml"/><Relationship Id="rId280" Type="http://schemas.openxmlformats.org/officeDocument/2006/relationships/ctrlProp" Target="../ctrlProps/ctrlProp278.xml"/><Relationship Id="rId336" Type="http://schemas.openxmlformats.org/officeDocument/2006/relationships/ctrlProp" Target="../ctrlProps/ctrlProp334.xml"/><Relationship Id="rId75" Type="http://schemas.openxmlformats.org/officeDocument/2006/relationships/ctrlProp" Target="../ctrlProps/ctrlProp73.xml"/><Relationship Id="rId140" Type="http://schemas.openxmlformats.org/officeDocument/2006/relationships/ctrlProp" Target="../ctrlProps/ctrlProp138.xml"/><Relationship Id="rId182" Type="http://schemas.openxmlformats.org/officeDocument/2006/relationships/ctrlProp" Target="../ctrlProps/ctrlProp180.xml"/><Relationship Id="rId378" Type="http://schemas.openxmlformats.org/officeDocument/2006/relationships/ctrlProp" Target="../ctrlProps/ctrlProp376.xml"/><Relationship Id="rId403" Type="http://schemas.openxmlformats.org/officeDocument/2006/relationships/ctrlProp" Target="../ctrlProps/ctrlProp401.xml"/><Relationship Id="rId6" Type="http://schemas.openxmlformats.org/officeDocument/2006/relationships/ctrlProp" Target="../ctrlProps/ctrlProp4.xml"/><Relationship Id="rId238" Type="http://schemas.openxmlformats.org/officeDocument/2006/relationships/ctrlProp" Target="../ctrlProps/ctrlProp236.xml"/><Relationship Id="rId445" Type="http://schemas.openxmlformats.org/officeDocument/2006/relationships/ctrlProp" Target="../ctrlProps/ctrlProp443.xml"/><Relationship Id="rId291" Type="http://schemas.openxmlformats.org/officeDocument/2006/relationships/ctrlProp" Target="../ctrlProps/ctrlProp289.xml"/><Relationship Id="rId305" Type="http://schemas.openxmlformats.org/officeDocument/2006/relationships/ctrlProp" Target="../ctrlProps/ctrlProp303.xml"/><Relationship Id="rId347" Type="http://schemas.openxmlformats.org/officeDocument/2006/relationships/ctrlProp" Target="../ctrlProps/ctrlProp345.xml"/><Relationship Id="rId44" Type="http://schemas.openxmlformats.org/officeDocument/2006/relationships/ctrlProp" Target="../ctrlProps/ctrlProp42.xml"/><Relationship Id="rId86" Type="http://schemas.openxmlformats.org/officeDocument/2006/relationships/ctrlProp" Target="../ctrlProps/ctrlProp84.xml"/><Relationship Id="rId151" Type="http://schemas.openxmlformats.org/officeDocument/2006/relationships/ctrlProp" Target="../ctrlProps/ctrlProp149.xml"/><Relationship Id="rId389" Type="http://schemas.openxmlformats.org/officeDocument/2006/relationships/ctrlProp" Target="../ctrlProps/ctrlProp38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7FCB-A075-43DE-9277-33B7D27AAD9F}">
  <dimension ref="A1:BF468"/>
  <sheetViews>
    <sheetView tabSelected="1" workbookViewId="0">
      <pane ySplit="1" topLeftCell="A2" activePane="bottomLeft" state="frozen"/>
      <selection pane="bottomLeft" activeCell="D2" sqref="D2"/>
    </sheetView>
  </sheetViews>
  <sheetFormatPr defaultRowHeight="15" x14ac:dyDescent="0.25"/>
  <cols>
    <col min="1" max="1" width="14.7109375" customWidth="1"/>
    <col min="2" max="3" width="0" hidden="1" customWidth="1"/>
    <col min="4" max="4" width="16.85546875" customWidth="1"/>
    <col min="5" max="5" width="0" hidden="1" customWidth="1"/>
    <col min="6" max="6" width="24.5703125" customWidth="1"/>
    <col min="8" max="12" width="0" hidden="1" customWidth="1"/>
    <col min="13" max="13" width="19.5703125" customWidth="1"/>
    <col min="14" max="14" width="15.140625" customWidth="1"/>
    <col min="16" max="19" width="0" hidden="1" customWidth="1"/>
    <col min="22" max="28" width="0" hidden="1" customWidth="1"/>
    <col min="30" max="30" width="0" hidden="1" customWidth="1"/>
    <col min="31" max="31" width="9.140625" style="8"/>
    <col min="32" max="32" width="0" style="8" hidden="1" customWidth="1"/>
    <col min="33" max="33" width="17" style="8" customWidth="1"/>
    <col min="34" max="43" width="0" hidden="1" customWidth="1"/>
    <col min="44" max="46" width="10.140625" customWidth="1"/>
    <col min="49" max="58" width="0" hidden="1" customWidth="1"/>
  </cols>
  <sheetData>
    <row r="1" spans="1:58" ht="39.75" customHeight="1" x14ac:dyDescent="0.25">
      <c r="A1" s="6" t="s">
        <v>6352</v>
      </c>
      <c r="B1" s="6" t="s">
        <v>6298</v>
      </c>
      <c r="C1" s="6" t="s">
        <v>6299</v>
      </c>
      <c r="D1" s="6" t="s">
        <v>6300</v>
      </c>
      <c r="E1" s="6" t="s">
        <v>6301</v>
      </c>
      <c r="F1" s="6" t="s">
        <v>6302</v>
      </c>
      <c r="G1" s="6" t="s">
        <v>6303</v>
      </c>
      <c r="H1" s="6" t="s">
        <v>6304</v>
      </c>
      <c r="I1" s="6" t="s">
        <v>6305</v>
      </c>
      <c r="J1" s="6" t="s">
        <v>6306</v>
      </c>
      <c r="K1" s="6" t="s">
        <v>6307</v>
      </c>
      <c r="L1" s="6" t="s">
        <v>6308</v>
      </c>
      <c r="M1" s="6" t="s">
        <v>6309</v>
      </c>
      <c r="N1" s="6" t="s">
        <v>6310</v>
      </c>
      <c r="O1" s="6" t="s">
        <v>6311</v>
      </c>
      <c r="P1" s="6" t="s">
        <v>6312</v>
      </c>
      <c r="Q1" s="6" t="s">
        <v>6313</v>
      </c>
      <c r="R1" s="6" t="s">
        <v>6314</v>
      </c>
      <c r="S1" s="6" t="s">
        <v>6315</v>
      </c>
      <c r="T1" s="6" t="s">
        <v>6316</v>
      </c>
      <c r="U1" s="6" t="s">
        <v>6317</v>
      </c>
      <c r="V1" s="6" t="s">
        <v>6318</v>
      </c>
      <c r="W1" s="6" t="s">
        <v>6319</v>
      </c>
      <c r="X1" s="6" t="s">
        <v>6320</v>
      </c>
      <c r="Y1" s="6" t="s">
        <v>6321</v>
      </c>
      <c r="Z1" s="6" t="s">
        <v>6322</v>
      </c>
      <c r="AA1" s="6" t="s">
        <v>6323</v>
      </c>
      <c r="AB1" s="6" t="s">
        <v>6324</v>
      </c>
      <c r="AC1" s="6" t="s">
        <v>6353</v>
      </c>
      <c r="AD1" s="6" t="s">
        <v>6325</v>
      </c>
      <c r="AE1" s="6" t="s">
        <v>6354</v>
      </c>
      <c r="AF1" s="6" t="s">
        <v>6326</v>
      </c>
      <c r="AG1" s="6" t="s">
        <v>6355</v>
      </c>
      <c r="AH1" s="6" t="s">
        <v>6327</v>
      </c>
      <c r="AI1" s="6" t="s">
        <v>6328</v>
      </c>
      <c r="AJ1" s="6" t="s">
        <v>6329</v>
      </c>
      <c r="AK1" s="6" t="s">
        <v>6330</v>
      </c>
      <c r="AL1" s="6" t="s">
        <v>6331</v>
      </c>
      <c r="AM1" s="6" t="s">
        <v>6332</v>
      </c>
      <c r="AN1" s="6" t="s">
        <v>6333</v>
      </c>
      <c r="AO1" s="6" t="s">
        <v>6334</v>
      </c>
      <c r="AP1" s="6" t="s">
        <v>6335</v>
      </c>
      <c r="AQ1" s="6" t="s">
        <v>6336</v>
      </c>
      <c r="AR1" s="6" t="s">
        <v>6337</v>
      </c>
      <c r="AS1" s="6" t="s">
        <v>6338</v>
      </c>
      <c r="AT1" s="6" t="s">
        <v>6339</v>
      </c>
      <c r="AU1" s="6" t="s">
        <v>6340</v>
      </c>
      <c r="AV1" s="6" t="s">
        <v>6341</v>
      </c>
      <c r="AW1" s="6" t="s">
        <v>6342</v>
      </c>
      <c r="AX1" s="6" t="s">
        <v>6343</v>
      </c>
      <c r="AY1" s="6" t="s">
        <v>6344</v>
      </c>
      <c r="AZ1" s="6" t="s">
        <v>6345</v>
      </c>
      <c r="BA1" s="6" t="s">
        <v>6346</v>
      </c>
      <c r="BB1" s="6" t="s">
        <v>6347</v>
      </c>
      <c r="BC1" s="6" t="s">
        <v>6348</v>
      </c>
      <c r="BD1" s="6" t="s">
        <v>6349</v>
      </c>
      <c r="BE1" s="6" t="s">
        <v>6350</v>
      </c>
      <c r="BF1" s="6" t="s">
        <v>6351</v>
      </c>
    </row>
    <row r="2" spans="1:58" ht="39.75" customHeight="1" x14ac:dyDescent="0.25">
      <c r="A2" s="1"/>
      <c r="B2" s="1" t="s">
        <v>0</v>
      </c>
      <c r="C2" s="1" t="s">
        <v>1</v>
      </c>
      <c r="D2" s="1" t="s">
        <v>2</v>
      </c>
      <c r="E2" s="1" t="s">
        <v>3</v>
      </c>
      <c r="F2" s="1" t="s">
        <v>4</v>
      </c>
      <c r="H2" s="2" t="s">
        <v>5</v>
      </c>
      <c r="I2" s="2" t="s">
        <v>6</v>
      </c>
      <c r="J2" s="2" t="s">
        <v>5</v>
      </c>
      <c r="K2" s="2" t="s">
        <v>5</v>
      </c>
      <c r="L2" s="2" t="s">
        <v>7</v>
      </c>
      <c r="M2" s="1" t="s">
        <v>8</v>
      </c>
      <c r="N2" s="1" t="s">
        <v>9</v>
      </c>
      <c r="O2" s="2" t="s">
        <v>10</v>
      </c>
      <c r="Q2" s="2" t="s">
        <v>11</v>
      </c>
      <c r="R2" s="2" t="s">
        <v>12</v>
      </c>
      <c r="T2" s="2" t="s">
        <v>13</v>
      </c>
      <c r="U2" s="3">
        <v>5</v>
      </c>
      <c r="V2" s="3">
        <v>5</v>
      </c>
      <c r="W2" s="4" t="s">
        <v>14</v>
      </c>
      <c r="X2" s="4" t="s">
        <v>14</v>
      </c>
      <c r="Y2" s="4" t="s">
        <v>15</v>
      </c>
      <c r="Z2" s="4" t="s">
        <v>15</v>
      </c>
      <c r="AA2" s="3">
        <v>877</v>
      </c>
      <c r="AB2" s="3">
        <v>750</v>
      </c>
      <c r="AC2" s="3">
        <v>965</v>
      </c>
      <c r="AD2" s="3">
        <v>5</v>
      </c>
      <c r="AE2" s="7">
        <v>8</v>
      </c>
      <c r="AF2" s="7">
        <v>51</v>
      </c>
      <c r="AG2" s="7">
        <v>61</v>
      </c>
      <c r="AH2" s="3">
        <v>11</v>
      </c>
      <c r="AI2" s="3">
        <v>13</v>
      </c>
      <c r="AJ2" s="3">
        <v>8</v>
      </c>
      <c r="AK2" s="3">
        <v>9</v>
      </c>
      <c r="AL2" s="3">
        <v>21</v>
      </c>
      <c r="AM2" s="3">
        <v>22</v>
      </c>
      <c r="AN2" s="3">
        <v>4</v>
      </c>
      <c r="AO2" s="3">
        <v>7</v>
      </c>
      <c r="AP2" s="3">
        <v>17</v>
      </c>
      <c r="AQ2" s="3">
        <v>21</v>
      </c>
      <c r="AR2" s="2" t="s">
        <v>5</v>
      </c>
      <c r="AS2" s="2" t="s">
        <v>16</v>
      </c>
      <c r="AT2" s="5" t="str">
        <f>HYPERLINK("http://catalog.hathitrust.org/Record/001278328","HathiTrust Record")</f>
        <v>HathiTrust Record</v>
      </c>
      <c r="AU2" s="5" t="str">
        <f>HYPERLINK("https://creighton-primo.hosted.exlibrisgroup.com/primo-explore/search?tab=default_tab&amp;search_scope=EVERYTHING&amp;vid=01CRU&amp;lang=en_US&amp;offset=0&amp;query=any,contains,991004229159702656","Catalog Record")</f>
        <v>Catalog Record</v>
      </c>
      <c r="AV2" s="5" t="str">
        <f>HYPERLINK("http://www.worldcat.org/oclc/497360","WorldCat Record")</f>
        <v>WorldCat Record</v>
      </c>
      <c r="AW2" s="2" t="s">
        <v>17</v>
      </c>
      <c r="AX2" s="2" t="s">
        <v>18</v>
      </c>
      <c r="AY2" s="2" t="s">
        <v>19</v>
      </c>
      <c r="AZ2" s="2" t="s">
        <v>19</v>
      </c>
      <c r="BA2" s="2" t="s">
        <v>20</v>
      </c>
      <c r="BB2" s="2" t="s">
        <v>21</v>
      </c>
      <c r="BE2" s="2" t="s">
        <v>22</v>
      </c>
      <c r="BF2" s="2" t="s">
        <v>23</v>
      </c>
    </row>
    <row r="3" spans="1:58" ht="39.75" customHeight="1" x14ac:dyDescent="0.25">
      <c r="A3" s="1"/>
      <c r="B3" s="1" t="s">
        <v>0</v>
      </c>
      <c r="C3" s="1" t="s">
        <v>1</v>
      </c>
      <c r="D3" s="1" t="s">
        <v>24</v>
      </c>
      <c r="E3" s="1" t="s">
        <v>25</v>
      </c>
      <c r="F3" s="1" t="s">
        <v>26</v>
      </c>
      <c r="H3" s="2" t="s">
        <v>5</v>
      </c>
      <c r="I3" s="2" t="s">
        <v>6</v>
      </c>
      <c r="J3" s="2" t="s">
        <v>5</v>
      </c>
      <c r="K3" s="2" t="s">
        <v>5</v>
      </c>
      <c r="L3" s="2" t="s">
        <v>7</v>
      </c>
      <c r="M3" s="1" t="s">
        <v>27</v>
      </c>
      <c r="N3" s="1" t="s">
        <v>28</v>
      </c>
      <c r="O3" s="2" t="s">
        <v>29</v>
      </c>
      <c r="Q3" s="2" t="s">
        <v>11</v>
      </c>
      <c r="R3" s="2" t="s">
        <v>30</v>
      </c>
      <c r="T3" s="2" t="s">
        <v>13</v>
      </c>
      <c r="U3" s="3">
        <v>6</v>
      </c>
      <c r="V3" s="3">
        <v>6</v>
      </c>
      <c r="W3" s="4" t="s">
        <v>31</v>
      </c>
      <c r="X3" s="4" t="s">
        <v>31</v>
      </c>
      <c r="Y3" s="4" t="s">
        <v>32</v>
      </c>
      <c r="Z3" s="4" t="s">
        <v>32</v>
      </c>
      <c r="AA3" s="3">
        <v>421</v>
      </c>
      <c r="AB3" s="3">
        <v>262</v>
      </c>
      <c r="AC3" s="3">
        <v>265</v>
      </c>
      <c r="AD3" s="3">
        <v>1</v>
      </c>
      <c r="AE3" s="7">
        <v>1</v>
      </c>
      <c r="AF3" s="7">
        <v>18</v>
      </c>
      <c r="AG3" s="7">
        <v>18</v>
      </c>
      <c r="AH3" s="3">
        <v>1</v>
      </c>
      <c r="AI3" s="3">
        <v>1</v>
      </c>
      <c r="AJ3" s="3">
        <v>1</v>
      </c>
      <c r="AK3" s="3">
        <v>1</v>
      </c>
      <c r="AL3" s="3">
        <v>4</v>
      </c>
      <c r="AM3" s="3">
        <v>4</v>
      </c>
      <c r="AN3" s="3">
        <v>0</v>
      </c>
      <c r="AO3" s="3">
        <v>0</v>
      </c>
      <c r="AP3" s="3">
        <v>13</v>
      </c>
      <c r="AQ3" s="3">
        <v>13</v>
      </c>
      <c r="AR3" s="2" t="s">
        <v>5</v>
      </c>
      <c r="AS3" s="2" t="s">
        <v>16</v>
      </c>
      <c r="AT3" s="5" t="str">
        <f>HYPERLINK("http://catalog.hathitrust.org/Record/000745457","HathiTrust Record")</f>
        <v>HathiTrust Record</v>
      </c>
      <c r="AU3" s="5" t="str">
        <f>HYPERLINK("https://creighton-primo.hosted.exlibrisgroup.com/primo-explore/search?tab=default_tab&amp;search_scope=EVERYTHING&amp;vid=01CRU&amp;lang=en_US&amp;offset=0&amp;query=any,contains,991005065709702656","Catalog Record")</f>
        <v>Catalog Record</v>
      </c>
      <c r="AV3" s="5" t="str">
        <f>HYPERLINK("http://www.worldcat.org/oclc/6953622","WorldCat Record")</f>
        <v>WorldCat Record</v>
      </c>
      <c r="AW3" s="2" t="s">
        <v>33</v>
      </c>
      <c r="AX3" s="2" t="s">
        <v>34</v>
      </c>
      <c r="AY3" s="2" t="s">
        <v>35</v>
      </c>
      <c r="AZ3" s="2" t="s">
        <v>35</v>
      </c>
      <c r="BA3" s="2" t="s">
        <v>36</v>
      </c>
      <c r="BB3" s="2" t="s">
        <v>21</v>
      </c>
      <c r="BD3" s="2" t="s">
        <v>37</v>
      </c>
      <c r="BE3" s="2" t="s">
        <v>38</v>
      </c>
      <c r="BF3" s="2" t="s">
        <v>39</v>
      </c>
    </row>
    <row r="4" spans="1:58" ht="39.75" customHeight="1" x14ac:dyDescent="0.25">
      <c r="A4" s="1"/>
      <c r="B4" s="1" t="s">
        <v>0</v>
      </c>
      <c r="C4" s="1" t="s">
        <v>1</v>
      </c>
      <c r="D4" s="1" t="s">
        <v>40</v>
      </c>
      <c r="E4" s="1" t="s">
        <v>41</v>
      </c>
      <c r="F4" s="1" t="s">
        <v>42</v>
      </c>
      <c r="H4" s="2" t="s">
        <v>5</v>
      </c>
      <c r="I4" s="2" t="s">
        <v>6</v>
      </c>
      <c r="J4" s="2" t="s">
        <v>5</v>
      </c>
      <c r="K4" s="2" t="s">
        <v>5</v>
      </c>
      <c r="L4" s="2" t="s">
        <v>7</v>
      </c>
      <c r="M4" s="1" t="s">
        <v>43</v>
      </c>
      <c r="N4" s="1" t="s">
        <v>44</v>
      </c>
      <c r="O4" s="2" t="s">
        <v>45</v>
      </c>
      <c r="Q4" s="2" t="s">
        <v>11</v>
      </c>
      <c r="R4" s="2" t="s">
        <v>46</v>
      </c>
      <c r="T4" s="2" t="s">
        <v>13</v>
      </c>
      <c r="U4" s="3">
        <v>3</v>
      </c>
      <c r="V4" s="3">
        <v>3</v>
      </c>
      <c r="W4" s="4" t="s">
        <v>47</v>
      </c>
      <c r="X4" s="4" t="s">
        <v>47</v>
      </c>
      <c r="Y4" s="4" t="s">
        <v>48</v>
      </c>
      <c r="Z4" s="4" t="s">
        <v>48</v>
      </c>
      <c r="AA4" s="3">
        <v>607</v>
      </c>
      <c r="AB4" s="3">
        <v>528</v>
      </c>
      <c r="AC4" s="3">
        <v>577</v>
      </c>
      <c r="AD4" s="3">
        <v>3</v>
      </c>
      <c r="AE4" s="7">
        <v>3</v>
      </c>
      <c r="AF4" s="7">
        <v>43</v>
      </c>
      <c r="AG4" s="7">
        <v>44</v>
      </c>
      <c r="AH4" s="3">
        <v>9</v>
      </c>
      <c r="AI4" s="3">
        <v>9</v>
      </c>
      <c r="AJ4" s="3">
        <v>6</v>
      </c>
      <c r="AK4" s="3">
        <v>7</v>
      </c>
      <c r="AL4" s="3">
        <v>13</v>
      </c>
      <c r="AM4" s="3">
        <v>13</v>
      </c>
      <c r="AN4" s="3">
        <v>1</v>
      </c>
      <c r="AO4" s="3">
        <v>1</v>
      </c>
      <c r="AP4" s="3">
        <v>20</v>
      </c>
      <c r="AQ4" s="3">
        <v>20</v>
      </c>
      <c r="AR4" s="2" t="s">
        <v>5</v>
      </c>
      <c r="AS4" s="2" t="s">
        <v>16</v>
      </c>
      <c r="AT4" s="5" t="str">
        <f>HYPERLINK("http://catalog.hathitrust.org/Record/000340823","HathiTrust Record")</f>
        <v>HathiTrust Record</v>
      </c>
      <c r="AU4" s="5" t="str">
        <f>HYPERLINK("https://creighton-primo.hosted.exlibrisgroup.com/primo-explore/search?tab=default_tab&amp;search_scope=EVERYTHING&amp;vid=01CRU&amp;lang=en_US&amp;offset=0&amp;query=any,contains,991000510749702656","Catalog Record")</f>
        <v>Catalog Record</v>
      </c>
      <c r="AV4" s="5" t="str">
        <f>HYPERLINK("http://www.worldcat.org/oclc/11235823","WorldCat Record")</f>
        <v>WorldCat Record</v>
      </c>
      <c r="AW4" s="2" t="s">
        <v>49</v>
      </c>
      <c r="AX4" s="2" t="s">
        <v>50</v>
      </c>
      <c r="AY4" s="2" t="s">
        <v>51</v>
      </c>
      <c r="AZ4" s="2" t="s">
        <v>51</v>
      </c>
      <c r="BA4" s="2" t="s">
        <v>52</v>
      </c>
      <c r="BB4" s="2" t="s">
        <v>21</v>
      </c>
      <c r="BD4" s="2" t="s">
        <v>53</v>
      </c>
      <c r="BE4" s="2" t="s">
        <v>54</v>
      </c>
      <c r="BF4" s="2" t="s">
        <v>55</v>
      </c>
    </row>
    <row r="5" spans="1:58" ht="39.75" customHeight="1" x14ac:dyDescent="0.25">
      <c r="A5" s="1"/>
      <c r="B5" s="1" t="s">
        <v>0</v>
      </c>
      <c r="C5" s="1" t="s">
        <v>1</v>
      </c>
      <c r="D5" s="1" t="s">
        <v>56</v>
      </c>
      <c r="E5" s="1" t="s">
        <v>57</v>
      </c>
      <c r="F5" s="1" t="s">
        <v>58</v>
      </c>
      <c r="H5" s="2" t="s">
        <v>5</v>
      </c>
      <c r="I5" s="2" t="s">
        <v>6</v>
      </c>
      <c r="J5" s="2" t="s">
        <v>5</v>
      </c>
      <c r="K5" s="2" t="s">
        <v>16</v>
      </c>
      <c r="L5" s="2" t="s">
        <v>7</v>
      </c>
      <c r="M5" s="1" t="s">
        <v>59</v>
      </c>
      <c r="N5" s="1" t="s">
        <v>60</v>
      </c>
      <c r="O5" s="2" t="s">
        <v>61</v>
      </c>
      <c r="Q5" s="2" t="s">
        <v>11</v>
      </c>
      <c r="R5" s="2" t="s">
        <v>62</v>
      </c>
      <c r="T5" s="2" t="s">
        <v>13</v>
      </c>
      <c r="U5" s="3">
        <v>1</v>
      </c>
      <c r="V5" s="3">
        <v>1</v>
      </c>
      <c r="W5" s="4" t="s">
        <v>63</v>
      </c>
      <c r="X5" s="4" t="s">
        <v>63</v>
      </c>
      <c r="Y5" s="4" t="s">
        <v>32</v>
      </c>
      <c r="Z5" s="4" t="s">
        <v>32</v>
      </c>
      <c r="AA5" s="3">
        <v>222</v>
      </c>
      <c r="AB5" s="3">
        <v>197</v>
      </c>
      <c r="AC5" s="3">
        <v>1231</v>
      </c>
      <c r="AD5" s="3">
        <v>4</v>
      </c>
      <c r="AE5" s="7">
        <v>13</v>
      </c>
      <c r="AF5" s="7">
        <v>17</v>
      </c>
      <c r="AG5" s="7">
        <v>62</v>
      </c>
      <c r="AH5" s="3">
        <v>2</v>
      </c>
      <c r="AI5" s="3">
        <v>16</v>
      </c>
      <c r="AJ5" s="3">
        <v>1</v>
      </c>
      <c r="AK5" s="3">
        <v>9</v>
      </c>
      <c r="AL5" s="3">
        <v>2</v>
      </c>
      <c r="AM5" s="3">
        <v>12</v>
      </c>
      <c r="AN5" s="3">
        <v>2</v>
      </c>
      <c r="AO5" s="3">
        <v>8</v>
      </c>
      <c r="AP5" s="3">
        <v>11</v>
      </c>
      <c r="AQ5" s="3">
        <v>24</v>
      </c>
      <c r="AR5" s="2" t="s">
        <v>16</v>
      </c>
      <c r="AS5" s="2" t="s">
        <v>5</v>
      </c>
      <c r="AT5" s="5" t="str">
        <f>HYPERLINK("http://catalog.hathitrust.org/Record/002023338","HathiTrust Record")</f>
        <v>HathiTrust Record</v>
      </c>
      <c r="AU5" s="5" t="str">
        <f>HYPERLINK("https://creighton-primo.hosted.exlibrisgroup.com/primo-explore/search?tab=default_tab&amp;search_scope=EVERYTHING&amp;vid=01CRU&amp;lang=en_US&amp;offset=0&amp;query=any,contains,991002705599702656","Catalog Record")</f>
        <v>Catalog Record</v>
      </c>
      <c r="AV5" s="5" t="str">
        <f>HYPERLINK("http://www.worldcat.org/oclc/406940","WorldCat Record")</f>
        <v>WorldCat Record</v>
      </c>
      <c r="AW5" s="2" t="s">
        <v>64</v>
      </c>
      <c r="AX5" s="2" t="s">
        <v>65</v>
      </c>
      <c r="AY5" s="2" t="s">
        <v>66</v>
      </c>
      <c r="AZ5" s="2" t="s">
        <v>66</v>
      </c>
      <c r="BA5" s="2" t="s">
        <v>67</v>
      </c>
      <c r="BB5" s="2" t="s">
        <v>21</v>
      </c>
      <c r="BE5" s="2" t="s">
        <v>68</v>
      </c>
      <c r="BF5" s="2" t="s">
        <v>69</v>
      </c>
    </row>
    <row r="6" spans="1:58" ht="39.75" customHeight="1" x14ac:dyDescent="0.25">
      <c r="A6" s="1"/>
      <c r="B6" s="1" t="s">
        <v>0</v>
      </c>
      <c r="C6" s="1" t="s">
        <v>1</v>
      </c>
      <c r="D6" s="1" t="s">
        <v>70</v>
      </c>
      <c r="E6" s="1" t="s">
        <v>71</v>
      </c>
      <c r="F6" s="1" t="s">
        <v>72</v>
      </c>
      <c r="H6" s="2" t="s">
        <v>5</v>
      </c>
      <c r="I6" s="2" t="s">
        <v>6</v>
      </c>
      <c r="J6" s="2" t="s">
        <v>16</v>
      </c>
      <c r="K6" s="2" t="s">
        <v>5</v>
      </c>
      <c r="L6" s="2" t="s">
        <v>7</v>
      </c>
      <c r="M6" s="1" t="s">
        <v>73</v>
      </c>
      <c r="N6" s="1" t="s">
        <v>74</v>
      </c>
      <c r="O6" s="2" t="s">
        <v>75</v>
      </c>
      <c r="Q6" s="2" t="s">
        <v>11</v>
      </c>
      <c r="R6" s="2" t="s">
        <v>76</v>
      </c>
      <c r="T6" s="2" t="s">
        <v>13</v>
      </c>
      <c r="U6" s="3">
        <v>2</v>
      </c>
      <c r="V6" s="3">
        <v>5</v>
      </c>
      <c r="W6" s="4" t="s">
        <v>77</v>
      </c>
      <c r="X6" s="4" t="s">
        <v>78</v>
      </c>
      <c r="Y6" s="4" t="s">
        <v>15</v>
      </c>
      <c r="Z6" s="4" t="s">
        <v>15</v>
      </c>
      <c r="AA6" s="3">
        <v>670</v>
      </c>
      <c r="AB6" s="3">
        <v>523</v>
      </c>
      <c r="AC6" s="3">
        <v>616</v>
      </c>
      <c r="AD6" s="3">
        <v>6</v>
      </c>
      <c r="AE6" s="7">
        <v>6</v>
      </c>
      <c r="AF6" s="7">
        <v>30</v>
      </c>
      <c r="AG6" s="7">
        <v>32</v>
      </c>
      <c r="AH6" s="3">
        <v>4</v>
      </c>
      <c r="AI6" s="3">
        <v>4</v>
      </c>
      <c r="AJ6" s="3">
        <v>4</v>
      </c>
      <c r="AK6" s="3">
        <v>4</v>
      </c>
      <c r="AL6" s="3">
        <v>8</v>
      </c>
      <c r="AM6" s="3">
        <v>9</v>
      </c>
      <c r="AN6" s="3">
        <v>3</v>
      </c>
      <c r="AO6" s="3">
        <v>3</v>
      </c>
      <c r="AP6" s="3">
        <v>14</v>
      </c>
      <c r="AQ6" s="3">
        <v>15</v>
      </c>
      <c r="AR6" s="2" t="s">
        <v>5</v>
      </c>
      <c r="AS6" s="2" t="s">
        <v>16</v>
      </c>
      <c r="AT6" s="5" t="str">
        <f>HYPERLINK("http://catalog.hathitrust.org/Record/001275019","HathiTrust Record")</f>
        <v>HathiTrust Record</v>
      </c>
      <c r="AU6" s="5" t="str">
        <f>HYPERLINK("https://creighton-primo.hosted.exlibrisgroup.com/primo-explore/search?tab=default_tab&amp;search_scope=EVERYTHING&amp;vid=01CRU&amp;lang=en_US&amp;offset=0&amp;query=any,contains,991001786379702656","Catalog Record")</f>
        <v>Catalog Record</v>
      </c>
      <c r="AV6" s="5" t="str">
        <f>HYPERLINK("http://www.worldcat.org/oclc/198494","WorldCat Record")</f>
        <v>WorldCat Record</v>
      </c>
      <c r="AW6" s="2" t="s">
        <v>79</v>
      </c>
      <c r="AX6" s="2" t="s">
        <v>80</v>
      </c>
      <c r="AY6" s="2" t="s">
        <v>81</v>
      </c>
      <c r="AZ6" s="2" t="s">
        <v>81</v>
      </c>
      <c r="BA6" s="2" t="s">
        <v>82</v>
      </c>
      <c r="BB6" s="2" t="s">
        <v>21</v>
      </c>
      <c r="BD6" s="2" t="s">
        <v>83</v>
      </c>
      <c r="BE6" s="2" t="s">
        <v>84</v>
      </c>
      <c r="BF6" s="2" t="s">
        <v>85</v>
      </c>
    </row>
    <row r="7" spans="1:58" ht="39.75" customHeight="1" x14ac:dyDescent="0.25">
      <c r="A7" s="1"/>
      <c r="B7" s="1" t="s">
        <v>0</v>
      </c>
      <c r="C7" s="1" t="s">
        <v>1</v>
      </c>
      <c r="D7" s="1" t="s">
        <v>86</v>
      </c>
      <c r="E7" s="1" t="s">
        <v>87</v>
      </c>
      <c r="F7" s="1" t="s">
        <v>88</v>
      </c>
      <c r="H7" s="2" t="s">
        <v>5</v>
      </c>
      <c r="I7" s="2" t="s">
        <v>6</v>
      </c>
      <c r="J7" s="2" t="s">
        <v>16</v>
      </c>
      <c r="K7" s="2" t="s">
        <v>5</v>
      </c>
      <c r="L7" s="2" t="s">
        <v>7</v>
      </c>
      <c r="M7" s="1" t="s">
        <v>89</v>
      </c>
      <c r="N7" s="1" t="s">
        <v>90</v>
      </c>
      <c r="O7" s="2" t="s">
        <v>91</v>
      </c>
      <c r="Q7" s="2" t="s">
        <v>11</v>
      </c>
      <c r="R7" s="2" t="s">
        <v>76</v>
      </c>
      <c r="T7" s="2" t="s">
        <v>13</v>
      </c>
      <c r="U7" s="3">
        <v>7</v>
      </c>
      <c r="V7" s="3">
        <v>8</v>
      </c>
      <c r="W7" s="4" t="s">
        <v>92</v>
      </c>
      <c r="X7" s="4" t="s">
        <v>92</v>
      </c>
      <c r="Y7" s="4" t="s">
        <v>93</v>
      </c>
      <c r="Z7" s="4" t="s">
        <v>94</v>
      </c>
      <c r="AA7" s="3">
        <v>304</v>
      </c>
      <c r="AB7" s="3">
        <v>235</v>
      </c>
      <c r="AC7" s="3">
        <v>236</v>
      </c>
      <c r="AD7" s="3">
        <v>2</v>
      </c>
      <c r="AE7" s="7">
        <v>2</v>
      </c>
      <c r="AF7" s="7">
        <v>27</v>
      </c>
      <c r="AG7" s="7">
        <v>27</v>
      </c>
      <c r="AH7" s="3">
        <v>6</v>
      </c>
      <c r="AI7" s="3">
        <v>6</v>
      </c>
      <c r="AJ7" s="3">
        <v>1</v>
      </c>
      <c r="AK7" s="3">
        <v>1</v>
      </c>
      <c r="AL7" s="3">
        <v>6</v>
      </c>
      <c r="AM7" s="3">
        <v>6</v>
      </c>
      <c r="AN7" s="3">
        <v>0</v>
      </c>
      <c r="AO7" s="3">
        <v>0</v>
      </c>
      <c r="AP7" s="3">
        <v>17</v>
      </c>
      <c r="AQ7" s="3">
        <v>17</v>
      </c>
      <c r="AR7" s="2" t="s">
        <v>5</v>
      </c>
      <c r="AS7" s="2" t="s">
        <v>16</v>
      </c>
      <c r="AT7" s="5" t="str">
        <f>HYPERLINK("http://catalog.hathitrust.org/Record/010420496","HathiTrust Record")</f>
        <v>HathiTrust Record</v>
      </c>
      <c r="AU7" s="5" t="str">
        <f>HYPERLINK("https://creighton-primo.hosted.exlibrisgroup.com/primo-explore/search?tab=default_tab&amp;search_scope=EVERYTHING&amp;vid=01CRU&amp;lang=en_US&amp;offset=0&amp;query=any,contains,991001650799702656","Catalog Record")</f>
        <v>Catalog Record</v>
      </c>
      <c r="AV7" s="5" t="str">
        <f>HYPERLINK("http://www.worldcat.org/oclc/24668078","WorldCat Record")</f>
        <v>WorldCat Record</v>
      </c>
      <c r="AW7" s="2" t="s">
        <v>95</v>
      </c>
      <c r="AX7" s="2" t="s">
        <v>96</v>
      </c>
      <c r="AY7" s="2" t="s">
        <v>97</v>
      </c>
      <c r="AZ7" s="2" t="s">
        <v>97</v>
      </c>
      <c r="BA7" s="2" t="s">
        <v>98</v>
      </c>
      <c r="BB7" s="2" t="s">
        <v>21</v>
      </c>
      <c r="BD7" s="2" t="s">
        <v>99</v>
      </c>
      <c r="BE7" s="2" t="s">
        <v>100</v>
      </c>
      <c r="BF7" s="2" t="s">
        <v>101</v>
      </c>
    </row>
    <row r="8" spans="1:58" ht="39.75" customHeight="1" x14ac:dyDescent="0.25">
      <c r="A8" s="1"/>
      <c r="B8" s="1" t="s">
        <v>0</v>
      </c>
      <c r="C8" s="1" t="s">
        <v>1</v>
      </c>
      <c r="D8" s="1" t="s">
        <v>102</v>
      </c>
      <c r="E8" s="1" t="s">
        <v>103</v>
      </c>
      <c r="F8" s="1" t="s">
        <v>104</v>
      </c>
      <c r="H8" s="2" t="s">
        <v>5</v>
      </c>
      <c r="I8" s="2" t="s">
        <v>6</v>
      </c>
      <c r="J8" s="2" t="s">
        <v>5</v>
      </c>
      <c r="K8" s="2" t="s">
        <v>5</v>
      </c>
      <c r="L8" s="2" t="s">
        <v>7</v>
      </c>
      <c r="M8" s="1" t="s">
        <v>105</v>
      </c>
      <c r="N8" s="1" t="s">
        <v>106</v>
      </c>
      <c r="O8" s="2" t="s">
        <v>107</v>
      </c>
      <c r="Q8" s="2" t="s">
        <v>11</v>
      </c>
      <c r="R8" s="2" t="s">
        <v>76</v>
      </c>
      <c r="S8" s="1" t="s">
        <v>108</v>
      </c>
      <c r="T8" s="2" t="s">
        <v>13</v>
      </c>
      <c r="U8" s="3">
        <v>4</v>
      </c>
      <c r="V8" s="3">
        <v>4</v>
      </c>
      <c r="W8" s="4" t="s">
        <v>109</v>
      </c>
      <c r="X8" s="4" t="s">
        <v>109</v>
      </c>
      <c r="Y8" s="4" t="s">
        <v>110</v>
      </c>
      <c r="Z8" s="4" t="s">
        <v>110</v>
      </c>
      <c r="AA8" s="3">
        <v>393</v>
      </c>
      <c r="AB8" s="3">
        <v>308</v>
      </c>
      <c r="AC8" s="3">
        <v>386</v>
      </c>
      <c r="AD8" s="3">
        <v>4</v>
      </c>
      <c r="AE8" s="7">
        <v>4</v>
      </c>
      <c r="AF8" s="7">
        <v>17</v>
      </c>
      <c r="AG8" s="7">
        <v>25</v>
      </c>
      <c r="AH8" s="3">
        <v>2</v>
      </c>
      <c r="AI8" s="3">
        <v>5</v>
      </c>
      <c r="AJ8" s="3">
        <v>3</v>
      </c>
      <c r="AK8" s="3">
        <v>5</v>
      </c>
      <c r="AL8" s="3">
        <v>5</v>
      </c>
      <c r="AM8" s="3">
        <v>11</v>
      </c>
      <c r="AN8" s="3">
        <v>2</v>
      </c>
      <c r="AO8" s="3">
        <v>2</v>
      </c>
      <c r="AP8" s="3">
        <v>6</v>
      </c>
      <c r="AQ8" s="3">
        <v>6</v>
      </c>
      <c r="AR8" s="2" t="s">
        <v>5</v>
      </c>
      <c r="AS8" s="2" t="s">
        <v>16</v>
      </c>
      <c r="AT8" s="5" t="str">
        <f>HYPERLINK("http://catalog.hathitrust.org/Record/008311765","HathiTrust Record")</f>
        <v>HathiTrust Record</v>
      </c>
      <c r="AU8" s="5" t="str">
        <f>HYPERLINK("https://creighton-primo.hosted.exlibrisgroup.com/primo-explore/search?tab=default_tab&amp;search_scope=EVERYTHING&amp;vid=01CRU&amp;lang=en_US&amp;offset=0&amp;query=any,contains,991000814489702656","Catalog Record")</f>
        <v>Catalog Record</v>
      </c>
      <c r="AV8" s="5" t="str">
        <f>HYPERLINK("http://www.worldcat.org/oclc/141887","WorldCat Record")</f>
        <v>WorldCat Record</v>
      </c>
      <c r="AW8" s="2" t="s">
        <v>111</v>
      </c>
      <c r="AX8" s="2" t="s">
        <v>112</v>
      </c>
      <c r="AY8" s="2" t="s">
        <v>113</v>
      </c>
      <c r="AZ8" s="2" t="s">
        <v>113</v>
      </c>
      <c r="BA8" s="2" t="s">
        <v>114</v>
      </c>
      <c r="BB8" s="2" t="s">
        <v>21</v>
      </c>
      <c r="BD8" s="2" t="s">
        <v>115</v>
      </c>
      <c r="BE8" s="2" t="s">
        <v>116</v>
      </c>
      <c r="BF8" s="2" t="s">
        <v>117</v>
      </c>
    </row>
    <row r="9" spans="1:58" ht="39.75" customHeight="1" x14ac:dyDescent="0.25">
      <c r="A9" s="1"/>
      <c r="B9" s="1" t="s">
        <v>0</v>
      </c>
      <c r="C9" s="1" t="s">
        <v>1</v>
      </c>
      <c r="D9" s="1" t="s">
        <v>118</v>
      </c>
      <c r="E9" s="1" t="s">
        <v>119</v>
      </c>
      <c r="F9" s="1" t="s">
        <v>120</v>
      </c>
      <c r="H9" s="2" t="s">
        <v>5</v>
      </c>
      <c r="I9" s="2" t="s">
        <v>6</v>
      </c>
      <c r="J9" s="2" t="s">
        <v>5</v>
      </c>
      <c r="K9" s="2" t="s">
        <v>5</v>
      </c>
      <c r="L9" s="2" t="s">
        <v>7</v>
      </c>
      <c r="M9" s="1" t="s">
        <v>121</v>
      </c>
      <c r="N9" s="1" t="s">
        <v>122</v>
      </c>
      <c r="O9" s="2" t="s">
        <v>123</v>
      </c>
      <c r="Q9" s="2" t="s">
        <v>11</v>
      </c>
      <c r="R9" s="2" t="s">
        <v>124</v>
      </c>
      <c r="T9" s="2" t="s">
        <v>13</v>
      </c>
      <c r="U9" s="3">
        <v>3</v>
      </c>
      <c r="V9" s="3">
        <v>3</v>
      </c>
      <c r="W9" s="4" t="s">
        <v>14</v>
      </c>
      <c r="X9" s="4" t="s">
        <v>14</v>
      </c>
      <c r="Y9" s="4" t="s">
        <v>125</v>
      </c>
      <c r="Z9" s="4" t="s">
        <v>125</v>
      </c>
      <c r="AA9" s="3">
        <v>665</v>
      </c>
      <c r="AB9" s="3">
        <v>571</v>
      </c>
      <c r="AC9" s="3">
        <v>740</v>
      </c>
      <c r="AD9" s="3">
        <v>3</v>
      </c>
      <c r="AE9" s="7">
        <v>3</v>
      </c>
      <c r="AF9" s="7">
        <v>39</v>
      </c>
      <c r="AG9" s="7">
        <v>46</v>
      </c>
      <c r="AH9" s="3">
        <v>7</v>
      </c>
      <c r="AI9" s="3">
        <v>10</v>
      </c>
      <c r="AJ9" s="3">
        <v>4</v>
      </c>
      <c r="AK9" s="3">
        <v>5</v>
      </c>
      <c r="AL9" s="3">
        <v>17</v>
      </c>
      <c r="AM9" s="3">
        <v>20</v>
      </c>
      <c r="AN9" s="3">
        <v>0</v>
      </c>
      <c r="AO9" s="3">
        <v>0</v>
      </c>
      <c r="AP9" s="3">
        <v>18</v>
      </c>
      <c r="AQ9" s="3">
        <v>20</v>
      </c>
      <c r="AR9" s="2" t="s">
        <v>5</v>
      </c>
      <c r="AS9" s="2" t="s">
        <v>5</v>
      </c>
      <c r="AT9" s="5" t="str">
        <f>HYPERLINK("http://catalog.hathitrust.org/Record/004424902","HathiTrust Record")</f>
        <v>HathiTrust Record</v>
      </c>
      <c r="AU9" s="5" t="str">
        <f>HYPERLINK("https://creighton-primo.hosted.exlibrisgroup.com/primo-explore/search?tab=default_tab&amp;search_scope=EVERYTHING&amp;vid=01CRU&amp;lang=en_US&amp;offset=0&amp;query=any,contains,991002881369702656","Catalog Record")</f>
        <v>Catalog Record</v>
      </c>
      <c r="AV9" s="5" t="str">
        <f>HYPERLINK("http://www.worldcat.org/oclc/505823","WorldCat Record")</f>
        <v>WorldCat Record</v>
      </c>
      <c r="AW9" s="2" t="s">
        <v>126</v>
      </c>
      <c r="AX9" s="2" t="s">
        <v>127</v>
      </c>
      <c r="AY9" s="2" t="s">
        <v>128</v>
      </c>
      <c r="AZ9" s="2" t="s">
        <v>128</v>
      </c>
      <c r="BA9" s="2" t="s">
        <v>129</v>
      </c>
      <c r="BB9" s="2" t="s">
        <v>21</v>
      </c>
      <c r="BE9" s="2" t="s">
        <v>130</v>
      </c>
      <c r="BF9" s="2" t="s">
        <v>131</v>
      </c>
    </row>
    <row r="10" spans="1:58" ht="39.75" customHeight="1" x14ac:dyDescent="0.25">
      <c r="A10" s="1"/>
      <c r="B10" s="1" t="s">
        <v>0</v>
      </c>
      <c r="C10" s="1" t="s">
        <v>1</v>
      </c>
      <c r="D10" s="1" t="s">
        <v>132</v>
      </c>
      <c r="E10" s="1" t="s">
        <v>133</v>
      </c>
      <c r="F10" s="1" t="s">
        <v>134</v>
      </c>
      <c r="H10" s="2" t="s">
        <v>5</v>
      </c>
      <c r="I10" s="2" t="s">
        <v>6</v>
      </c>
      <c r="J10" s="2" t="s">
        <v>5</v>
      </c>
      <c r="K10" s="2" t="s">
        <v>5</v>
      </c>
      <c r="L10" s="2" t="s">
        <v>7</v>
      </c>
      <c r="M10" s="1" t="s">
        <v>135</v>
      </c>
      <c r="N10" s="1" t="s">
        <v>136</v>
      </c>
      <c r="O10" s="2" t="s">
        <v>137</v>
      </c>
      <c r="Q10" s="2" t="s">
        <v>11</v>
      </c>
      <c r="R10" s="2" t="s">
        <v>138</v>
      </c>
      <c r="S10" s="1" t="s">
        <v>139</v>
      </c>
      <c r="T10" s="2" t="s">
        <v>13</v>
      </c>
      <c r="U10" s="3">
        <v>6</v>
      </c>
      <c r="V10" s="3">
        <v>6</v>
      </c>
      <c r="W10" s="4" t="s">
        <v>140</v>
      </c>
      <c r="X10" s="4" t="s">
        <v>140</v>
      </c>
      <c r="Y10" s="4" t="s">
        <v>15</v>
      </c>
      <c r="Z10" s="4" t="s">
        <v>15</v>
      </c>
      <c r="AA10" s="3">
        <v>253</v>
      </c>
      <c r="AB10" s="3">
        <v>209</v>
      </c>
      <c r="AC10" s="3">
        <v>305</v>
      </c>
      <c r="AD10" s="3">
        <v>3</v>
      </c>
      <c r="AE10" s="7">
        <v>3</v>
      </c>
      <c r="AF10" s="7">
        <v>15</v>
      </c>
      <c r="AG10" s="7">
        <v>24</v>
      </c>
      <c r="AH10" s="3">
        <v>2</v>
      </c>
      <c r="AI10" s="3">
        <v>4</v>
      </c>
      <c r="AJ10" s="3">
        <v>0</v>
      </c>
      <c r="AK10" s="3">
        <v>2</v>
      </c>
      <c r="AL10" s="3">
        <v>4</v>
      </c>
      <c r="AM10" s="3">
        <v>9</v>
      </c>
      <c r="AN10" s="3">
        <v>1</v>
      </c>
      <c r="AO10" s="3">
        <v>1</v>
      </c>
      <c r="AP10" s="3">
        <v>10</v>
      </c>
      <c r="AQ10" s="3">
        <v>12</v>
      </c>
      <c r="AR10" s="2" t="s">
        <v>5</v>
      </c>
      <c r="AS10" s="2" t="s">
        <v>5</v>
      </c>
      <c r="AU10" s="5" t="str">
        <f>HYPERLINK("https://creighton-primo.hosted.exlibrisgroup.com/primo-explore/search?tab=default_tab&amp;search_scope=EVERYTHING&amp;vid=01CRU&amp;lang=en_US&amp;offset=0&amp;query=any,contains,991003444169702656","Catalog Record")</f>
        <v>Catalog Record</v>
      </c>
      <c r="AV10" s="5" t="str">
        <f>HYPERLINK("http://www.worldcat.org/oclc/980059","WorldCat Record")</f>
        <v>WorldCat Record</v>
      </c>
      <c r="AW10" s="2" t="s">
        <v>141</v>
      </c>
      <c r="AX10" s="2" t="s">
        <v>142</v>
      </c>
      <c r="AY10" s="2" t="s">
        <v>143</v>
      </c>
      <c r="AZ10" s="2" t="s">
        <v>143</v>
      </c>
      <c r="BA10" s="2" t="s">
        <v>144</v>
      </c>
      <c r="BB10" s="2" t="s">
        <v>21</v>
      </c>
      <c r="BE10" s="2" t="s">
        <v>145</v>
      </c>
      <c r="BF10" s="2" t="s">
        <v>146</v>
      </c>
    </row>
    <row r="11" spans="1:58" ht="39.75" customHeight="1" x14ac:dyDescent="0.25">
      <c r="A11" s="1"/>
      <c r="B11" s="1" t="s">
        <v>0</v>
      </c>
      <c r="C11" s="1" t="s">
        <v>1</v>
      </c>
      <c r="D11" s="1" t="s">
        <v>147</v>
      </c>
      <c r="E11" s="1" t="s">
        <v>148</v>
      </c>
      <c r="F11" s="1" t="s">
        <v>149</v>
      </c>
      <c r="H11" s="2" t="s">
        <v>5</v>
      </c>
      <c r="I11" s="2" t="s">
        <v>6</v>
      </c>
      <c r="J11" s="2" t="s">
        <v>16</v>
      </c>
      <c r="K11" s="2" t="s">
        <v>5</v>
      </c>
      <c r="L11" s="2" t="s">
        <v>7</v>
      </c>
      <c r="M11" s="1" t="s">
        <v>150</v>
      </c>
      <c r="N11" s="1" t="s">
        <v>151</v>
      </c>
      <c r="O11" s="2" t="s">
        <v>152</v>
      </c>
      <c r="Q11" s="2" t="s">
        <v>11</v>
      </c>
      <c r="R11" s="2" t="s">
        <v>153</v>
      </c>
      <c r="S11" s="1" t="s">
        <v>154</v>
      </c>
      <c r="T11" s="2" t="s">
        <v>13</v>
      </c>
      <c r="U11" s="3">
        <v>8</v>
      </c>
      <c r="V11" s="3">
        <v>8</v>
      </c>
      <c r="W11" s="4" t="s">
        <v>155</v>
      </c>
      <c r="X11" s="4" t="s">
        <v>155</v>
      </c>
      <c r="Y11" s="4" t="s">
        <v>156</v>
      </c>
      <c r="Z11" s="4" t="s">
        <v>157</v>
      </c>
      <c r="AA11" s="3">
        <v>489</v>
      </c>
      <c r="AB11" s="3">
        <v>395</v>
      </c>
      <c r="AC11" s="3">
        <v>418</v>
      </c>
      <c r="AD11" s="3">
        <v>4</v>
      </c>
      <c r="AE11" s="7">
        <v>4</v>
      </c>
      <c r="AF11" s="7">
        <v>34</v>
      </c>
      <c r="AG11" s="7">
        <v>37</v>
      </c>
      <c r="AH11" s="3">
        <v>7</v>
      </c>
      <c r="AI11" s="3">
        <v>8</v>
      </c>
      <c r="AJ11" s="3">
        <v>4</v>
      </c>
      <c r="AK11" s="3">
        <v>4</v>
      </c>
      <c r="AL11" s="3">
        <v>11</v>
      </c>
      <c r="AM11" s="3">
        <v>11</v>
      </c>
      <c r="AN11" s="3">
        <v>0</v>
      </c>
      <c r="AO11" s="3">
        <v>0</v>
      </c>
      <c r="AP11" s="3">
        <v>18</v>
      </c>
      <c r="AQ11" s="3">
        <v>20</v>
      </c>
      <c r="AR11" s="2" t="s">
        <v>5</v>
      </c>
      <c r="AS11" s="2" t="s">
        <v>5</v>
      </c>
      <c r="AU11" s="5" t="str">
        <f>HYPERLINK("https://creighton-primo.hosted.exlibrisgroup.com/primo-explore/search?tab=default_tab&amp;search_scope=EVERYTHING&amp;vid=01CRU&amp;lang=en_US&amp;offset=0&amp;query=any,contains,991001812309702656","Catalog Record")</f>
        <v>Catalog Record</v>
      </c>
      <c r="AV11" s="5" t="str">
        <f>HYPERLINK("http://www.worldcat.org/oclc/19981180","WorldCat Record")</f>
        <v>WorldCat Record</v>
      </c>
      <c r="AW11" s="2" t="s">
        <v>158</v>
      </c>
      <c r="AX11" s="2" t="s">
        <v>159</v>
      </c>
      <c r="AY11" s="2" t="s">
        <v>160</v>
      </c>
      <c r="AZ11" s="2" t="s">
        <v>160</v>
      </c>
      <c r="BA11" s="2" t="s">
        <v>161</v>
      </c>
      <c r="BB11" s="2" t="s">
        <v>21</v>
      </c>
      <c r="BD11" s="2" t="s">
        <v>162</v>
      </c>
      <c r="BE11" s="2" t="s">
        <v>163</v>
      </c>
      <c r="BF11" s="2" t="s">
        <v>164</v>
      </c>
    </row>
    <row r="12" spans="1:58" ht="39.75" customHeight="1" x14ac:dyDescent="0.25">
      <c r="A12" s="1"/>
      <c r="B12" s="1" t="s">
        <v>0</v>
      </c>
      <c r="C12" s="1" t="s">
        <v>1</v>
      </c>
      <c r="D12" s="1" t="s">
        <v>165</v>
      </c>
      <c r="E12" s="1" t="s">
        <v>166</v>
      </c>
      <c r="F12" s="1" t="s">
        <v>167</v>
      </c>
      <c r="H12" s="2" t="s">
        <v>5</v>
      </c>
      <c r="I12" s="2" t="s">
        <v>6</v>
      </c>
      <c r="J12" s="2" t="s">
        <v>5</v>
      </c>
      <c r="K12" s="2" t="s">
        <v>5</v>
      </c>
      <c r="L12" s="2" t="s">
        <v>7</v>
      </c>
      <c r="N12" s="1" t="s">
        <v>168</v>
      </c>
      <c r="O12" s="2" t="s">
        <v>169</v>
      </c>
      <c r="Q12" s="2" t="s">
        <v>11</v>
      </c>
      <c r="R12" s="2" t="s">
        <v>76</v>
      </c>
      <c r="T12" s="2" t="s">
        <v>13</v>
      </c>
      <c r="U12" s="3">
        <v>6</v>
      </c>
      <c r="V12" s="3">
        <v>6</v>
      </c>
      <c r="W12" s="4" t="s">
        <v>170</v>
      </c>
      <c r="X12" s="4" t="s">
        <v>170</v>
      </c>
      <c r="Y12" s="4" t="s">
        <v>171</v>
      </c>
      <c r="Z12" s="4" t="s">
        <v>171</v>
      </c>
      <c r="AA12" s="3">
        <v>353</v>
      </c>
      <c r="AB12" s="3">
        <v>234</v>
      </c>
      <c r="AC12" s="3">
        <v>262</v>
      </c>
      <c r="AD12" s="3">
        <v>2</v>
      </c>
      <c r="AE12" s="7">
        <v>2</v>
      </c>
      <c r="AF12" s="7">
        <v>22</v>
      </c>
      <c r="AG12" s="7">
        <v>22</v>
      </c>
      <c r="AH12" s="3">
        <v>4</v>
      </c>
      <c r="AI12" s="3">
        <v>4</v>
      </c>
      <c r="AJ12" s="3">
        <v>3</v>
      </c>
      <c r="AK12" s="3">
        <v>3</v>
      </c>
      <c r="AL12" s="3">
        <v>5</v>
      </c>
      <c r="AM12" s="3">
        <v>5</v>
      </c>
      <c r="AN12" s="3">
        <v>1</v>
      </c>
      <c r="AO12" s="3">
        <v>1</v>
      </c>
      <c r="AP12" s="3">
        <v>11</v>
      </c>
      <c r="AQ12" s="3">
        <v>11</v>
      </c>
      <c r="AR12" s="2" t="s">
        <v>5</v>
      </c>
      <c r="AS12" s="2" t="s">
        <v>16</v>
      </c>
      <c r="AT12" s="5" t="str">
        <f>HYPERLINK("http://catalog.hathitrust.org/Record/002510701","HathiTrust Record")</f>
        <v>HathiTrust Record</v>
      </c>
      <c r="AU12" s="5" t="str">
        <f>HYPERLINK("https://creighton-primo.hosted.exlibrisgroup.com/primo-explore/search?tab=default_tab&amp;search_scope=EVERYTHING&amp;vid=01CRU&amp;lang=en_US&amp;offset=0&amp;query=any,contains,991001820609702656","Catalog Record")</f>
        <v>Catalog Record</v>
      </c>
      <c r="AV12" s="5" t="str">
        <f>HYPERLINK("http://www.worldcat.org/oclc/22889854","WorldCat Record")</f>
        <v>WorldCat Record</v>
      </c>
      <c r="AW12" s="2" t="s">
        <v>172</v>
      </c>
      <c r="AX12" s="2" t="s">
        <v>173</v>
      </c>
      <c r="AY12" s="2" t="s">
        <v>174</v>
      </c>
      <c r="AZ12" s="2" t="s">
        <v>174</v>
      </c>
      <c r="BA12" s="2" t="s">
        <v>175</v>
      </c>
      <c r="BB12" s="2" t="s">
        <v>21</v>
      </c>
      <c r="BD12" s="2" t="s">
        <v>176</v>
      </c>
      <c r="BE12" s="2" t="s">
        <v>177</v>
      </c>
      <c r="BF12" s="2" t="s">
        <v>178</v>
      </c>
    </row>
    <row r="13" spans="1:58" ht="39.75" customHeight="1" x14ac:dyDescent="0.25">
      <c r="A13" s="1"/>
      <c r="B13" s="1" t="s">
        <v>0</v>
      </c>
      <c r="C13" s="1" t="s">
        <v>1</v>
      </c>
      <c r="D13" s="1" t="s">
        <v>179</v>
      </c>
      <c r="E13" s="1" t="s">
        <v>180</v>
      </c>
      <c r="F13" s="1" t="s">
        <v>181</v>
      </c>
      <c r="H13" s="2" t="s">
        <v>5</v>
      </c>
      <c r="I13" s="2" t="s">
        <v>6</v>
      </c>
      <c r="J13" s="2" t="s">
        <v>5</v>
      </c>
      <c r="K13" s="2" t="s">
        <v>16</v>
      </c>
      <c r="L13" s="2" t="s">
        <v>7</v>
      </c>
      <c r="M13" s="1" t="s">
        <v>182</v>
      </c>
      <c r="N13" s="1" t="s">
        <v>183</v>
      </c>
      <c r="O13" s="2" t="s">
        <v>184</v>
      </c>
      <c r="Q13" s="2" t="s">
        <v>11</v>
      </c>
      <c r="R13" s="2" t="s">
        <v>185</v>
      </c>
      <c r="S13" s="1" t="s">
        <v>186</v>
      </c>
      <c r="T13" s="2" t="s">
        <v>13</v>
      </c>
      <c r="U13" s="3">
        <v>3</v>
      </c>
      <c r="V13" s="3">
        <v>3</v>
      </c>
      <c r="W13" s="4" t="s">
        <v>187</v>
      </c>
      <c r="X13" s="4" t="s">
        <v>187</v>
      </c>
      <c r="Y13" s="4" t="s">
        <v>188</v>
      </c>
      <c r="Z13" s="4" t="s">
        <v>188</v>
      </c>
      <c r="AA13" s="3">
        <v>328</v>
      </c>
      <c r="AB13" s="3">
        <v>292</v>
      </c>
      <c r="AC13" s="3">
        <v>643</v>
      </c>
      <c r="AD13" s="3">
        <v>1</v>
      </c>
      <c r="AE13" s="7">
        <v>3</v>
      </c>
      <c r="AF13" s="7">
        <v>16</v>
      </c>
      <c r="AG13" s="7">
        <v>45</v>
      </c>
      <c r="AH13" s="3">
        <v>5</v>
      </c>
      <c r="AI13" s="3">
        <v>7</v>
      </c>
      <c r="AJ13" s="3">
        <v>2</v>
      </c>
      <c r="AK13" s="3">
        <v>6</v>
      </c>
      <c r="AL13" s="3">
        <v>6</v>
      </c>
      <c r="AM13" s="3">
        <v>14</v>
      </c>
      <c r="AN13" s="3">
        <v>0</v>
      </c>
      <c r="AO13" s="3">
        <v>1</v>
      </c>
      <c r="AP13" s="3">
        <v>5</v>
      </c>
      <c r="AQ13" s="3">
        <v>22</v>
      </c>
      <c r="AR13" s="2" t="s">
        <v>5</v>
      </c>
      <c r="AS13" s="2" t="s">
        <v>5</v>
      </c>
      <c r="AU13" s="5" t="str">
        <f>HYPERLINK("https://creighton-primo.hosted.exlibrisgroup.com/primo-explore/search?tab=default_tab&amp;search_scope=EVERYTHING&amp;vid=01CRU&amp;lang=en_US&amp;offset=0&amp;query=any,contains,991005213059702656","Catalog Record")</f>
        <v>Catalog Record</v>
      </c>
      <c r="AV13" s="5" t="str">
        <f>HYPERLINK("http://www.worldcat.org/oclc/8171041","WorldCat Record")</f>
        <v>WorldCat Record</v>
      </c>
      <c r="AW13" s="2" t="s">
        <v>189</v>
      </c>
      <c r="AX13" s="2" t="s">
        <v>190</v>
      </c>
      <c r="AY13" s="2" t="s">
        <v>191</v>
      </c>
      <c r="AZ13" s="2" t="s">
        <v>191</v>
      </c>
      <c r="BA13" s="2" t="s">
        <v>192</v>
      </c>
      <c r="BB13" s="2" t="s">
        <v>21</v>
      </c>
      <c r="BD13" s="2" t="s">
        <v>193</v>
      </c>
      <c r="BE13" s="2" t="s">
        <v>194</v>
      </c>
      <c r="BF13" s="2" t="s">
        <v>195</v>
      </c>
    </row>
    <row r="14" spans="1:58" ht="39.75" customHeight="1" x14ac:dyDescent="0.25">
      <c r="A14" s="1"/>
      <c r="B14" s="1" t="s">
        <v>0</v>
      </c>
      <c r="C14" s="1" t="s">
        <v>1</v>
      </c>
      <c r="D14" s="1" t="s">
        <v>196</v>
      </c>
      <c r="E14" s="1" t="s">
        <v>197</v>
      </c>
      <c r="F14" s="1" t="s">
        <v>198</v>
      </c>
      <c r="H14" s="2" t="s">
        <v>5</v>
      </c>
      <c r="I14" s="2" t="s">
        <v>6</v>
      </c>
      <c r="J14" s="2" t="s">
        <v>5</v>
      </c>
      <c r="K14" s="2" t="s">
        <v>5</v>
      </c>
      <c r="L14" s="2" t="s">
        <v>7</v>
      </c>
      <c r="M14" s="1" t="s">
        <v>199</v>
      </c>
      <c r="N14" s="1" t="s">
        <v>200</v>
      </c>
      <c r="O14" s="2" t="s">
        <v>45</v>
      </c>
      <c r="Q14" s="2" t="s">
        <v>11</v>
      </c>
      <c r="R14" s="2" t="s">
        <v>30</v>
      </c>
      <c r="T14" s="2" t="s">
        <v>13</v>
      </c>
      <c r="U14" s="3">
        <v>3</v>
      </c>
      <c r="V14" s="3">
        <v>3</v>
      </c>
      <c r="W14" s="4" t="s">
        <v>201</v>
      </c>
      <c r="X14" s="4" t="s">
        <v>201</v>
      </c>
      <c r="Y14" s="4" t="s">
        <v>32</v>
      </c>
      <c r="Z14" s="4" t="s">
        <v>32</v>
      </c>
      <c r="AA14" s="3">
        <v>705</v>
      </c>
      <c r="AB14" s="3">
        <v>550</v>
      </c>
      <c r="AC14" s="3">
        <v>555</v>
      </c>
      <c r="AD14" s="3">
        <v>6</v>
      </c>
      <c r="AE14" s="7">
        <v>6</v>
      </c>
      <c r="AF14" s="7">
        <v>34</v>
      </c>
      <c r="AG14" s="7">
        <v>34</v>
      </c>
      <c r="AH14" s="3">
        <v>9</v>
      </c>
      <c r="AI14" s="3">
        <v>9</v>
      </c>
      <c r="AJ14" s="3">
        <v>9</v>
      </c>
      <c r="AK14" s="3">
        <v>9</v>
      </c>
      <c r="AL14" s="3">
        <v>15</v>
      </c>
      <c r="AM14" s="3">
        <v>15</v>
      </c>
      <c r="AN14" s="3">
        <v>4</v>
      </c>
      <c r="AO14" s="3">
        <v>4</v>
      </c>
      <c r="AP14" s="3">
        <v>5</v>
      </c>
      <c r="AQ14" s="3">
        <v>5</v>
      </c>
      <c r="AR14" s="2" t="s">
        <v>5</v>
      </c>
      <c r="AS14" s="2" t="s">
        <v>5</v>
      </c>
      <c r="AU14" s="5" t="str">
        <f>HYPERLINK("https://creighton-primo.hosted.exlibrisgroup.com/primo-explore/search?tab=default_tab&amp;search_scope=EVERYTHING&amp;vid=01CRU&amp;lang=en_US&amp;offset=0&amp;query=any,contains,991000592989702656","Catalog Record")</f>
        <v>Catalog Record</v>
      </c>
      <c r="AV14" s="5" t="str">
        <f>HYPERLINK("http://www.worldcat.org/oclc/11786121","WorldCat Record")</f>
        <v>WorldCat Record</v>
      </c>
      <c r="AW14" s="2" t="s">
        <v>202</v>
      </c>
      <c r="AX14" s="2" t="s">
        <v>203</v>
      </c>
      <c r="AY14" s="2" t="s">
        <v>204</v>
      </c>
      <c r="AZ14" s="2" t="s">
        <v>204</v>
      </c>
      <c r="BA14" s="2" t="s">
        <v>205</v>
      </c>
      <c r="BB14" s="2" t="s">
        <v>21</v>
      </c>
      <c r="BD14" s="2" t="s">
        <v>206</v>
      </c>
      <c r="BE14" s="2" t="s">
        <v>207</v>
      </c>
      <c r="BF14" s="2" t="s">
        <v>208</v>
      </c>
    </row>
    <row r="15" spans="1:58" ht="39.75" customHeight="1" x14ac:dyDescent="0.25">
      <c r="A15" s="1"/>
      <c r="B15" s="1" t="s">
        <v>0</v>
      </c>
      <c r="C15" s="1" t="s">
        <v>1</v>
      </c>
      <c r="D15" s="1" t="s">
        <v>209</v>
      </c>
      <c r="E15" s="1" t="s">
        <v>210</v>
      </c>
      <c r="F15" s="1" t="s">
        <v>211</v>
      </c>
      <c r="H15" s="2" t="s">
        <v>5</v>
      </c>
      <c r="I15" s="2" t="s">
        <v>6</v>
      </c>
      <c r="J15" s="2" t="s">
        <v>16</v>
      </c>
      <c r="K15" s="2" t="s">
        <v>5</v>
      </c>
      <c r="L15" s="2" t="s">
        <v>7</v>
      </c>
      <c r="N15" s="1" t="s">
        <v>212</v>
      </c>
      <c r="O15" s="2" t="s">
        <v>213</v>
      </c>
      <c r="Q15" s="2" t="s">
        <v>11</v>
      </c>
      <c r="R15" s="2" t="s">
        <v>30</v>
      </c>
      <c r="T15" s="2" t="s">
        <v>13</v>
      </c>
      <c r="U15" s="3">
        <v>7</v>
      </c>
      <c r="V15" s="3">
        <v>9</v>
      </c>
      <c r="W15" s="4" t="s">
        <v>214</v>
      </c>
      <c r="X15" s="4" t="s">
        <v>214</v>
      </c>
      <c r="Y15" s="4" t="s">
        <v>32</v>
      </c>
      <c r="Z15" s="4" t="s">
        <v>215</v>
      </c>
      <c r="AA15" s="3">
        <v>670</v>
      </c>
      <c r="AB15" s="3">
        <v>467</v>
      </c>
      <c r="AC15" s="3">
        <v>503</v>
      </c>
      <c r="AD15" s="3">
        <v>4</v>
      </c>
      <c r="AE15" s="7">
        <v>5</v>
      </c>
      <c r="AF15" s="7">
        <v>42</v>
      </c>
      <c r="AG15" s="7">
        <v>45</v>
      </c>
      <c r="AH15" s="3">
        <v>7</v>
      </c>
      <c r="AI15" s="3">
        <v>7</v>
      </c>
      <c r="AJ15" s="3">
        <v>4</v>
      </c>
      <c r="AK15" s="3">
        <v>4</v>
      </c>
      <c r="AL15" s="3">
        <v>15</v>
      </c>
      <c r="AM15" s="3">
        <v>15</v>
      </c>
      <c r="AN15" s="3">
        <v>1</v>
      </c>
      <c r="AO15" s="3">
        <v>2</v>
      </c>
      <c r="AP15" s="3">
        <v>21</v>
      </c>
      <c r="AQ15" s="3">
        <v>23</v>
      </c>
      <c r="AR15" s="2" t="s">
        <v>5</v>
      </c>
      <c r="AS15" s="2" t="s">
        <v>16</v>
      </c>
      <c r="AT15" s="5" t="str">
        <f>HYPERLINK("http://catalog.hathitrust.org/Record/000027354","HathiTrust Record")</f>
        <v>HathiTrust Record</v>
      </c>
      <c r="AU15" s="5" t="str">
        <f>HYPERLINK("https://creighton-primo.hosted.exlibrisgroup.com/primo-explore/search?tab=default_tab&amp;search_scope=EVERYTHING&amp;vid=01CRU&amp;lang=en_US&amp;offset=0&amp;query=any,contains,991001778179702656","Catalog Record")</f>
        <v>Catalog Record</v>
      </c>
      <c r="AV15" s="5" t="str">
        <f>HYPERLINK("http://www.worldcat.org/oclc/3011315","WorldCat Record")</f>
        <v>WorldCat Record</v>
      </c>
      <c r="AW15" s="2" t="s">
        <v>216</v>
      </c>
      <c r="AX15" s="2" t="s">
        <v>217</v>
      </c>
      <c r="AY15" s="2" t="s">
        <v>218</v>
      </c>
      <c r="AZ15" s="2" t="s">
        <v>218</v>
      </c>
      <c r="BA15" s="2" t="s">
        <v>219</v>
      </c>
      <c r="BB15" s="2" t="s">
        <v>21</v>
      </c>
      <c r="BD15" s="2" t="s">
        <v>220</v>
      </c>
      <c r="BE15" s="2" t="s">
        <v>221</v>
      </c>
      <c r="BF15" s="2" t="s">
        <v>222</v>
      </c>
    </row>
    <row r="16" spans="1:58" ht="39.75" customHeight="1" x14ac:dyDescent="0.25">
      <c r="A16" s="1"/>
      <c r="B16" s="1" t="s">
        <v>0</v>
      </c>
      <c r="C16" s="1" t="s">
        <v>1</v>
      </c>
      <c r="D16" s="1" t="s">
        <v>223</v>
      </c>
      <c r="E16" s="1" t="s">
        <v>224</v>
      </c>
      <c r="F16" s="1" t="s">
        <v>225</v>
      </c>
      <c r="H16" s="2" t="s">
        <v>5</v>
      </c>
      <c r="I16" s="2" t="s">
        <v>6</v>
      </c>
      <c r="J16" s="2" t="s">
        <v>5</v>
      </c>
      <c r="K16" s="2" t="s">
        <v>5</v>
      </c>
      <c r="L16" s="2" t="s">
        <v>7</v>
      </c>
      <c r="M16" s="1" t="s">
        <v>226</v>
      </c>
      <c r="N16" s="1" t="s">
        <v>227</v>
      </c>
      <c r="O16" s="2" t="s">
        <v>228</v>
      </c>
      <c r="P16" s="1" t="s">
        <v>229</v>
      </c>
      <c r="Q16" s="2" t="s">
        <v>11</v>
      </c>
      <c r="R16" s="2" t="s">
        <v>76</v>
      </c>
      <c r="T16" s="2" t="s">
        <v>13</v>
      </c>
      <c r="U16" s="3">
        <v>6</v>
      </c>
      <c r="V16" s="3">
        <v>6</v>
      </c>
      <c r="W16" s="4" t="s">
        <v>230</v>
      </c>
      <c r="X16" s="4" t="s">
        <v>230</v>
      </c>
      <c r="Y16" s="4" t="s">
        <v>231</v>
      </c>
      <c r="Z16" s="4" t="s">
        <v>231</v>
      </c>
      <c r="AA16" s="3">
        <v>265</v>
      </c>
      <c r="AB16" s="3">
        <v>225</v>
      </c>
      <c r="AC16" s="3">
        <v>231</v>
      </c>
      <c r="AD16" s="3">
        <v>2</v>
      </c>
      <c r="AE16" s="7">
        <v>2</v>
      </c>
      <c r="AF16" s="7">
        <v>27</v>
      </c>
      <c r="AG16" s="7">
        <v>27</v>
      </c>
      <c r="AH16" s="3">
        <v>2</v>
      </c>
      <c r="AI16" s="3">
        <v>2</v>
      </c>
      <c r="AJ16" s="3">
        <v>4</v>
      </c>
      <c r="AK16" s="3">
        <v>4</v>
      </c>
      <c r="AL16" s="3">
        <v>6</v>
      </c>
      <c r="AM16" s="3">
        <v>6</v>
      </c>
      <c r="AN16" s="3">
        <v>0</v>
      </c>
      <c r="AO16" s="3">
        <v>0</v>
      </c>
      <c r="AP16" s="3">
        <v>19</v>
      </c>
      <c r="AQ16" s="3">
        <v>19</v>
      </c>
      <c r="AR16" s="2" t="s">
        <v>5</v>
      </c>
      <c r="AS16" s="2" t="s">
        <v>5</v>
      </c>
      <c r="AU16" s="5" t="str">
        <f>HYPERLINK("https://creighton-primo.hosted.exlibrisgroup.com/primo-explore/search?tab=default_tab&amp;search_scope=EVERYTHING&amp;vid=01CRU&amp;lang=en_US&amp;offset=0&amp;query=any,contains,991001444869702656","Catalog Record")</f>
        <v>Catalog Record</v>
      </c>
      <c r="AV16" s="5" t="str">
        <f>HYPERLINK("http://www.worldcat.org/oclc/19268251","WorldCat Record")</f>
        <v>WorldCat Record</v>
      </c>
      <c r="AW16" s="2" t="s">
        <v>232</v>
      </c>
      <c r="AX16" s="2" t="s">
        <v>233</v>
      </c>
      <c r="AY16" s="2" t="s">
        <v>234</v>
      </c>
      <c r="AZ16" s="2" t="s">
        <v>234</v>
      </c>
      <c r="BA16" s="2" t="s">
        <v>235</v>
      </c>
      <c r="BB16" s="2" t="s">
        <v>21</v>
      </c>
      <c r="BD16" s="2" t="s">
        <v>236</v>
      </c>
      <c r="BE16" s="2" t="s">
        <v>237</v>
      </c>
      <c r="BF16" s="2" t="s">
        <v>238</v>
      </c>
    </row>
    <row r="17" spans="1:58" ht="39.75" customHeight="1" x14ac:dyDescent="0.25">
      <c r="A17" s="1"/>
      <c r="B17" s="1" t="s">
        <v>0</v>
      </c>
      <c r="C17" s="1" t="s">
        <v>1</v>
      </c>
      <c r="D17" s="1" t="s">
        <v>239</v>
      </c>
      <c r="E17" s="1" t="s">
        <v>240</v>
      </c>
      <c r="F17" s="1" t="s">
        <v>241</v>
      </c>
      <c r="H17" s="2" t="s">
        <v>5</v>
      </c>
      <c r="I17" s="2" t="s">
        <v>6</v>
      </c>
      <c r="J17" s="2" t="s">
        <v>16</v>
      </c>
      <c r="K17" s="2" t="s">
        <v>5</v>
      </c>
      <c r="L17" s="2" t="s">
        <v>7</v>
      </c>
      <c r="M17" s="1" t="s">
        <v>242</v>
      </c>
      <c r="N17" s="1" t="s">
        <v>243</v>
      </c>
      <c r="O17" s="2" t="s">
        <v>184</v>
      </c>
      <c r="Q17" s="2" t="s">
        <v>11</v>
      </c>
      <c r="R17" s="2" t="s">
        <v>244</v>
      </c>
      <c r="T17" s="2" t="s">
        <v>13</v>
      </c>
      <c r="U17" s="3">
        <v>10</v>
      </c>
      <c r="V17" s="3">
        <v>10</v>
      </c>
      <c r="W17" s="4" t="s">
        <v>245</v>
      </c>
      <c r="X17" s="4" t="s">
        <v>245</v>
      </c>
      <c r="Y17" s="4" t="s">
        <v>246</v>
      </c>
      <c r="Z17" s="4" t="s">
        <v>247</v>
      </c>
      <c r="AA17" s="3">
        <v>1344</v>
      </c>
      <c r="AB17" s="3">
        <v>1061</v>
      </c>
      <c r="AC17" s="3">
        <v>1076</v>
      </c>
      <c r="AD17" s="3">
        <v>6</v>
      </c>
      <c r="AE17" s="7">
        <v>6</v>
      </c>
      <c r="AF17" s="7">
        <v>61</v>
      </c>
      <c r="AG17" s="7">
        <v>62</v>
      </c>
      <c r="AH17" s="3">
        <v>18</v>
      </c>
      <c r="AI17" s="3">
        <v>18</v>
      </c>
      <c r="AJ17" s="3">
        <v>7</v>
      </c>
      <c r="AK17" s="3">
        <v>8</v>
      </c>
      <c r="AL17" s="3">
        <v>23</v>
      </c>
      <c r="AM17" s="3">
        <v>23</v>
      </c>
      <c r="AN17" s="3">
        <v>3</v>
      </c>
      <c r="AO17" s="3">
        <v>3</v>
      </c>
      <c r="AP17" s="3">
        <v>21</v>
      </c>
      <c r="AQ17" s="3">
        <v>21</v>
      </c>
      <c r="AR17" s="2" t="s">
        <v>5</v>
      </c>
      <c r="AS17" s="2" t="s">
        <v>16</v>
      </c>
      <c r="AT17" s="5" t="str">
        <f>HYPERLINK("http://catalog.hathitrust.org/Record/000192505","HathiTrust Record")</f>
        <v>HathiTrust Record</v>
      </c>
      <c r="AU17" s="5" t="str">
        <f>HYPERLINK("https://creighton-primo.hosted.exlibrisgroup.com/primo-explore/search?tab=default_tab&amp;search_scope=EVERYTHING&amp;vid=01CRU&amp;lang=en_US&amp;offset=0&amp;query=any,contains,991001675779702656","Catalog Record")</f>
        <v>Catalog Record</v>
      </c>
      <c r="AV17" s="5" t="str">
        <f>HYPERLINK("http://www.worldcat.org/oclc/8409383","WorldCat Record")</f>
        <v>WorldCat Record</v>
      </c>
      <c r="AW17" s="2" t="s">
        <v>248</v>
      </c>
      <c r="AX17" s="2" t="s">
        <v>249</v>
      </c>
      <c r="AY17" s="2" t="s">
        <v>250</v>
      </c>
      <c r="AZ17" s="2" t="s">
        <v>250</v>
      </c>
      <c r="BA17" s="2" t="s">
        <v>251</v>
      </c>
      <c r="BB17" s="2" t="s">
        <v>21</v>
      </c>
      <c r="BD17" s="2" t="s">
        <v>252</v>
      </c>
      <c r="BE17" s="2" t="s">
        <v>253</v>
      </c>
      <c r="BF17" s="2" t="s">
        <v>254</v>
      </c>
    </row>
    <row r="18" spans="1:58" ht="39.75" customHeight="1" x14ac:dyDescent="0.25">
      <c r="A18" s="1"/>
      <c r="B18" s="1" t="s">
        <v>0</v>
      </c>
      <c r="C18" s="1" t="s">
        <v>1</v>
      </c>
      <c r="D18" s="1" t="s">
        <v>255</v>
      </c>
      <c r="E18" s="1" t="s">
        <v>256</v>
      </c>
      <c r="F18" s="1" t="s">
        <v>257</v>
      </c>
      <c r="H18" s="2" t="s">
        <v>5</v>
      </c>
      <c r="I18" s="2" t="s">
        <v>6</v>
      </c>
      <c r="J18" s="2" t="s">
        <v>5</v>
      </c>
      <c r="K18" s="2" t="s">
        <v>5</v>
      </c>
      <c r="L18" s="2" t="s">
        <v>7</v>
      </c>
      <c r="N18" s="1" t="s">
        <v>258</v>
      </c>
      <c r="O18" s="2" t="s">
        <v>259</v>
      </c>
      <c r="Q18" s="2" t="s">
        <v>11</v>
      </c>
      <c r="R18" s="2" t="s">
        <v>260</v>
      </c>
      <c r="S18" s="1" t="s">
        <v>261</v>
      </c>
      <c r="T18" s="2" t="s">
        <v>13</v>
      </c>
      <c r="U18" s="3">
        <v>1</v>
      </c>
      <c r="V18" s="3">
        <v>1</v>
      </c>
      <c r="W18" s="4" t="s">
        <v>262</v>
      </c>
      <c r="X18" s="4" t="s">
        <v>262</v>
      </c>
      <c r="Y18" s="4" t="s">
        <v>263</v>
      </c>
      <c r="Z18" s="4" t="s">
        <v>263</v>
      </c>
      <c r="AA18" s="3">
        <v>418</v>
      </c>
      <c r="AB18" s="3">
        <v>366</v>
      </c>
      <c r="AC18" s="3">
        <v>373</v>
      </c>
      <c r="AD18" s="3">
        <v>3</v>
      </c>
      <c r="AE18" s="7">
        <v>3</v>
      </c>
      <c r="AF18" s="7">
        <v>23</v>
      </c>
      <c r="AG18" s="7">
        <v>23</v>
      </c>
      <c r="AH18" s="3">
        <v>5</v>
      </c>
      <c r="AI18" s="3">
        <v>5</v>
      </c>
      <c r="AJ18" s="3">
        <v>2</v>
      </c>
      <c r="AK18" s="3">
        <v>2</v>
      </c>
      <c r="AL18" s="3">
        <v>6</v>
      </c>
      <c r="AM18" s="3">
        <v>6</v>
      </c>
      <c r="AN18" s="3">
        <v>2</v>
      </c>
      <c r="AO18" s="3">
        <v>2</v>
      </c>
      <c r="AP18" s="3">
        <v>11</v>
      </c>
      <c r="AQ18" s="3">
        <v>11</v>
      </c>
      <c r="AR18" s="2" t="s">
        <v>5</v>
      </c>
      <c r="AS18" s="2" t="s">
        <v>16</v>
      </c>
      <c r="AT18" s="5" t="str">
        <f>HYPERLINK("http://catalog.hathitrust.org/Record/001292927","HathiTrust Record")</f>
        <v>HathiTrust Record</v>
      </c>
      <c r="AU18" s="5" t="str">
        <f>HYPERLINK("https://creighton-primo.hosted.exlibrisgroup.com/primo-explore/search?tab=default_tab&amp;search_scope=EVERYTHING&amp;vid=01CRU&amp;lang=en_US&amp;offset=0&amp;query=any,contains,991001289839702656","Catalog Record")</f>
        <v>Catalog Record</v>
      </c>
      <c r="AV18" s="5" t="str">
        <f>HYPERLINK("http://www.worldcat.org/oclc/17982875","WorldCat Record")</f>
        <v>WorldCat Record</v>
      </c>
      <c r="AW18" s="2" t="s">
        <v>264</v>
      </c>
      <c r="AX18" s="2" t="s">
        <v>265</v>
      </c>
      <c r="AY18" s="2" t="s">
        <v>266</v>
      </c>
      <c r="AZ18" s="2" t="s">
        <v>266</v>
      </c>
      <c r="BA18" s="2" t="s">
        <v>267</v>
      </c>
      <c r="BB18" s="2" t="s">
        <v>21</v>
      </c>
      <c r="BD18" s="2" t="s">
        <v>268</v>
      </c>
      <c r="BE18" s="2" t="s">
        <v>269</v>
      </c>
      <c r="BF18" s="2" t="s">
        <v>270</v>
      </c>
    </row>
    <row r="19" spans="1:58" ht="39.75" customHeight="1" x14ac:dyDescent="0.25">
      <c r="A19" s="1"/>
      <c r="B19" s="1" t="s">
        <v>0</v>
      </c>
      <c r="C19" s="1" t="s">
        <v>1</v>
      </c>
      <c r="D19" s="1" t="s">
        <v>271</v>
      </c>
      <c r="E19" s="1" t="s">
        <v>272</v>
      </c>
      <c r="F19" s="1" t="s">
        <v>273</v>
      </c>
      <c r="H19" s="2" t="s">
        <v>5</v>
      </c>
      <c r="I19" s="2" t="s">
        <v>6</v>
      </c>
      <c r="J19" s="2" t="s">
        <v>16</v>
      </c>
      <c r="K19" s="2" t="s">
        <v>5</v>
      </c>
      <c r="L19" s="2" t="s">
        <v>7</v>
      </c>
      <c r="N19" s="1" t="s">
        <v>274</v>
      </c>
      <c r="O19" s="2" t="s">
        <v>275</v>
      </c>
      <c r="Q19" s="2" t="s">
        <v>11</v>
      </c>
      <c r="R19" s="2" t="s">
        <v>76</v>
      </c>
      <c r="S19" s="1" t="s">
        <v>276</v>
      </c>
      <c r="T19" s="2" t="s">
        <v>13</v>
      </c>
      <c r="U19" s="3">
        <v>2</v>
      </c>
      <c r="V19" s="3">
        <v>2</v>
      </c>
      <c r="W19" s="4" t="s">
        <v>277</v>
      </c>
      <c r="X19" s="4" t="s">
        <v>277</v>
      </c>
      <c r="Y19" s="4" t="s">
        <v>15</v>
      </c>
      <c r="Z19" s="4" t="s">
        <v>278</v>
      </c>
      <c r="AA19" s="3">
        <v>648</v>
      </c>
      <c r="AB19" s="3">
        <v>551</v>
      </c>
      <c r="AC19" s="3">
        <v>558</v>
      </c>
      <c r="AD19" s="3">
        <v>3</v>
      </c>
      <c r="AE19" s="7">
        <v>3</v>
      </c>
      <c r="AF19" s="7">
        <v>41</v>
      </c>
      <c r="AG19" s="7">
        <v>41</v>
      </c>
      <c r="AH19" s="3">
        <v>8</v>
      </c>
      <c r="AI19" s="3">
        <v>8</v>
      </c>
      <c r="AJ19" s="3">
        <v>6</v>
      </c>
      <c r="AK19" s="3">
        <v>6</v>
      </c>
      <c r="AL19" s="3">
        <v>16</v>
      </c>
      <c r="AM19" s="3">
        <v>16</v>
      </c>
      <c r="AN19" s="3">
        <v>1</v>
      </c>
      <c r="AO19" s="3">
        <v>1</v>
      </c>
      <c r="AP19" s="3">
        <v>18</v>
      </c>
      <c r="AQ19" s="3">
        <v>18</v>
      </c>
      <c r="AR19" s="2" t="s">
        <v>5</v>
      </c>
      <c r="AS19" s="2" t="s">
        <v>5</v>
      </c>
      <c r="AU19" s="5" t="str">
        <f>HYPERLINK("https://creighton-primo.hosted.exlibrisgroup.com/primo-explore/search?tab=default_tab&amp;search_scope=EVERYTHING&amp;vid=01CRU&amp;lang=en_US&amp;offset=0&amp;query=any,contains,991001662669702656","Catalog Record")</f>
        <v>Catalog Record</v>
      </c>
      <c r="AV19" s="5" t="str">
        <f>HYPERLINK("http://www.worldcat.org/oclc/4135926","WorldCat Record")</f>
        <v>WorldCat Record</v>
      </c>
      <c r="AW19" s="2" t="s">
        <v>279</v>
      </c>
      <c r="AX19" s="2" t="s">
        <v>280</v>
      </c>
      <c r="AY19" s="2" t="s">
        <v>281</v>
      </c>
      <c r="AZ19" s="2" t="s">
        <v>281</v>
      </c>
      <c r="BA19" s="2" t="s">
        <v>282</v>
      </c>
      <c r="BB19" s="2" t="s">
        <v>21</v>
      </c>
      <c r="BD19" s="2" t="s">
        <v>283</v>
      </c>
      <c r="BE19" s="2" t="s">
        <v>284</v>
      </c>
      <c r="BF19" s="2" t="s">
        <v>285</v>
      </c>
    </row>
    <row r="20" spans="1:58" ht="39.75" customHeight="1" x14ac:dyDescent="0.25">
      <c r="A20" s="1"/>
      <c r="B20" s="1" t="s">
        <v>0</v>
      </c>
      <c r="C20" s="1" t="s">
        <v>1</v>
      </c>
      <c r="D20" s="1" t="s">
        <v>286</v>
      </c>
      <c r="E20" s="1" t="s">
        <v>287</v>
      </c>
      <c r="F20" s="1" t="s">
        <v>288</v>
      </c>
      <c r="H20" s="2" t="s">
        <v>5</v>
      </c>
      <c r="I20" s="2" t="s">
        <v>6</v>
      </c>
      <c r="J20" s="2" t="s">
        <v>5</v>
      </c>
      <c r="K20" s="2" t="s">
        <v>5</v>
      </c>
      <c r="L20" s="2" t="s">
        <v>7</v>
      </c>
      <c r="M20" s="1" t="s">
        <v>289</v>
      </c>
      <c r="N20" s="1" t="s">
        <v>290</v>
      </c>
      <c r="O20" s="2" t="s">
        <v>291</v>
      </c>
      <c r="Q20" s="2" t="s">
        <v>11</v>
      </c>
      <c r="R20" s="2" t="s">
        <v>30</v>
      </c>
      <c r="T20" s="2" t="s">
        <v>13</v>
      </c>
      <c r="U20" s="3">
        <v>2</v>
      </c>
      <c r="V20" s="3">
        <v>2</v>
      </c>
      <c r="W20" s="4" t="s">
        <v>140</v>
      </c>
      <c r="X20" s="4" t="s">
        <v>140</v>
      </c>
      <c r="Y20" s="4" t="s">
        <v>292</v>
      </c>
      <c r="Z20" s="4" t="s">
        <v>292</v>
      </c>
      <c r="AA20" s="3">
        <v>264</v>
      </c>
      <c r="AB20" s="3">
        <v>191</v>
      </c>
      <c r="AC20" s="3">
        <v>260</v>
      </c>
      <c r="AD20" s="3">
        <v>2</v>
      </c>
      <c r="AE20" s="7">
        <v>2</v>
      </c>
      <c r="AF20" s="7">
        <v>15</v>
      </c>
      <c r="AG20" s="7">
        <v>19</v>
      </c>
      <c r="AH20" s="3">
        <v>0</v>
      </c>
      <c r="AI20" s="3">
        <v>1</v>
      </c>
      <c r="AJ20" s="3">
        <v>2</v>
      </c>
      <c r="AK20" s="3">
        <v>4</v>
      </c>
      <c r="AL20" s="3">
        <v>3</v>
      </c>
      <c r="AM20" s="3">
        <v>3</v>
      </c>
      <c r="AN20" s="3">
        <v>1</v>
      </c>
      <c r="AO20" s="3">
        <v>1</v>
      </c>
      <c r="AP20" s="3">
        <v>10</v>
      </c>
      <c r="AQ20" s="3">
        <v>11</v>
      </c>
      <c r="AR20" s="2" t="s">
        <v>5</v>
      </c>
      <c r="AS20" s="2" t="s">
        <v>16</v>
      </c>
      <c r="AT20" s="5" t="str">
        <f>HYPERLINK("http://catalog.hathitrust.org/Record/003945126","HathiTrust Record")</f>
        <v>HathiTrust Record</v>
      </c>
      <c r="AU20" s="5" t="str">
        <f>HYPERLINK("https://creighton-primo.hosted.exlibrisgroup.com/primo-explore/search?tab=default_tab&amp;search_scope=EVERYTHING&amp;vid=01CRU&amp;lang=en_US&amp;offset=0&amp;query=any,contains,991003308079702656","Catalog Record")</f>
        <v>Catalog Record</v>
      </c>
      <c r="AV20" s="5" t="str">
        <f>HYPERLINK("http://www.worldcat.org/oclc/36597790","WorldCat Record")</f>
        <v>WorldCat Record</v>
      </c>
      <c r="AW20" s="2" t="s">
        <v>293</v>
      </c>
      <c r="AX20" s="2" t="s">
        <v>294</v>
      </c>
      <c r="AY20" s="2" t="s">
        <v>295</v>
      </c>
      <c r="AZ20" s="2" t="s">
        <v>295</v>
      </c>
      <c r="BA20" s="2" t="s">
        <v>296</v>
      </c>
      <c r="BB20" s="2" t="s">
        <v>21</v>
      </c>
      <c r="BD20" s="2" t="s">
        <v>297</v>
      </c>
      <c r="BE20" s="2" t="s">
        <v>298</v>
      </c>
      <c r="BF20" s="2" t="s">
        <v>299</v>
      </c>
    </row>
    <row r="21" spans="1:58" ht="39.75" customHeight="1" x14ac:dyDescent="0.25">
      <c r="A21" s="1"/>
      <c r="B21" s="1" t="s">
        <v>0</v>
      </c>
      <c r="C21" s="1" t="s">
        <v>1</v>
      </c>
      <c r="D21" s="1" t="s">
        <v>300</v>
      </c>
      <c r="E21" s="1" t="s">
        <v>301</v>
      </c>
      <c r="F21" s="1" t="s">
        <v>302</v>
      </c>
      <c r="H21" s="2" t="s">
        <v>5</v>
      </c>
      <c r="I21" s="2" t="s">
        <v>6</v>
      </c>
      <c r="J21" s="2" t="s">
        <v>5</v>
      </c>
      <c r="K21" s="2" t="s">
        <v>5</v>
      </c>
      <c r="L21" s="2" t="s">
        <v>7</v>
      </c>
      <c r="M21" s="1" t="s">
        <v>303</v>
      </c>
      <c r="N21" s="1" t="s">
        <v>304</v>
      </c>
      <c r="O21" s="2" t="s">
        <v>305</v>
      </c>
      <c r="Q21" s="2" t="s">
        <v>11</v>
      </c>
      <c r="R21" s="2" t="s">
        <v>306</v>
      </c>
      <c r="T21" s="2" t="s">
        <v>13</v>
      </c>
      <c r="U21" s="3">
        <v>2</v>
      </c>
      <c r="V21" s="3">
        <v>2</v>
      </c>
      <c r="W21" s="4" t="s">
        <v>307</v>
      </c>
      <c r="X21" s="4" t="s">
        <v>307</v>
      </c>
      <c r="Y21" s="4" t="s">
        <v>308</v>
      </c>
      <c r="Z21" s="4" t="s">
        <v>308</v>
      </c>
      <c r="AA21" s="3">
        <v>363</v>
      </c>
      <c r="AB21" s="3">
        <v>287</v>
      </c>
      <c r="AC21" s="3">
        <v>310</v>
      </c>
      <c r="AD21" s="3">
        <v>2</v>
      </c>
      <c r="AE21" s="7">
        <v>2</v>
      </c>
      <c r="AF21" s="7">
        <v>19</v>
      </c>
      <c r="AG21" s="7">
        <v>22</v>
      </c>
      <c r="AH21" s="3">
        <v>3</v>
      </c>
      <c r="AI21" s="3">
        <v>4</v>
      </c>
      <c r="AJ21" s="3">
        <v>3</v>
      </c>
      <c r="AK21" s="3">
        <v>4</v>
      </c>
      <c r="AL21" s="3">
        <v>5</v>
      </c>
      <c r="AM21" s="3">
        <v>7</v>
      </c>
      <c r="AN21" s="3">
        <v>1</v>
      </c>
      <c r="AO21" s="3">
        <v>1</v>
      </c>
      <c r="AP21" s="3">
        <v>9</v>
      </c>
      <c r="AQ21" s="3">
        <v>9</v>
      </c>
      <c r="AR21" s="2" t="s">
        <v>5</v>
      </c>
      <c r="AS21" s="2" t="s">
        <v>16</v>
      </c>
      <c r="AT21" s="5" t="str">
        <f>HYPERLINK("http://catalog.hathitrust.org/Record/002999461","HathiTrust Record")</f>
        <v>HathiTrust Record</v>
      </c>
      <c r="AU21" s="5" t="str">
        <f>HYPERLINK("https://creighton-primo.hosted.exlibrisgroup.com/primo-explore/search?tab=default_tab&amp;search_scope=EVERYTHING&amp;vid=01CRU&amp;lang=en_US&amp;offset=0&amp;query=any,contains,991002452179702656","Catalog Record")</f>
        <v>Catalog Record</v>
      </c>
      <c r="AV21" s="5" t="str">
        <f>HYPERLINK("http://www.worldcat.org/oclc/31971135","WorldCat Record")</f>
        <v>WorldCat Record</v>
      </c>
      <c r="AW21" s="2" t="s">
        <v>309</v>
      </c>
      <c r="AX21" s="2" t="s">
        <v>310</v>
      </c>
      <c r="AY21" s="2" t="s">
        <v>311</v>
      </c>
      <c r="AZ21" s="2" t="s">
        <v>311</v>
      </c>
      <c r="BA21" s="2" t="s">
        <v>312</v>
      </c>
      <c r="BB21" s="2" t="s">
        <v>21</v>
      </c>
      <c r="BD21" s="2" t="s">
        <v>313</v>
      </c>
      <c r="BE21" s="2" t="s">
        <v>314</v>
      </c>
      <c r="BF21" s="2" t="s">
        <v>315</v>
      </c>
    </row>
    <row r="22" spans="1:58" ht="39.75" customHeight="1" x14ac:dyDescent="0.25">
      <c r="A22" s="1"/>
      <c r="B22" s="1" t="s">
        <v>0</v>
      </c>
      <c r="C22" s="1" t="s">
        <v>1</v>
      </c>
      <c r="D22" s="1" t="s">
        <v>316</v>
      </c>
      <c r="E22" s="1" t="s">
        <v>317</v>
      </c>
      <c r="F22" s="1" t="s">
        <v>318</v>
      </c>
      <c r="G22" s="2" t="s">
        <v>319</v>
      </c>
      <c r="H22" s="2" t="s">
        <v>16</v>
      </c>
      <c r="I22" s="2" t="s">
        <v>6</v>
      </c>
      <c r="J22" s="2" t="s">
        <v>16</v>
      </c>
      <c r="K22" s="2" t="s">
        <v>5</v>
      </c>
      <c r="L22" s="2" t="s">
        <v>7</v>
      </c>
      <c r="M22" s="1" t="s">
        <v>320</v>
      </c>
      <c r="N22" s="1" t="s">
        <v>321</v>
      </c>
      <c r="O22" s="2" t="s">
        <v>213</v>
      </c>
      <c r="Q22" s="2" t="s">
        <v>11</v>
      </c>
      <c r="R22" s="2" t="s">
        <v>76</v>
      </c>
      <c r="T22" s="2" t="s">
        <v>13</v>
      </c>
      <c r="U22" s="3">
        <v>0</v>
      </c>
      <c r="V22" s="3">
        <v>1</v>
      </c>
      <c r="X22" s="4" t="s">
        <v>322</v>
      </c>
      <c r="Y22" s="4" t="s">
        <v>15</v>
      </c>
      <c r="Z22" s="4" t="s">
        <v>15</v>
      </c>
      <c r="AA22" s="3">
        <v>269</v>
      </c>
      <c r="AB22" s="3">
        <v>187</v>
      </c>
      <c r="AC22" s="3">
        <v>189</v>
      </c>
      <c r="AD22" s="3">
        <v>1</v>
      </c>
      <c r="AE22" s="7">
        <v>1</v>
      </c>
      <c r="AF22" s="7">
        <v>20</v>
      </c>
      <c r="AG22" s="7">
        <v>20</v>
      </c>
      <c r="AH22" s="3">
        <v>1</v>
      </c>
      <c r="AI22" s="3">
        <v>1</v>
      </c>
      <c r="AJ22" s="3">
        <v>1</v>
      </c>
      <c r="AK22" s="3">
        <v>1</v>
      </c>
      <c r="AL22" s="3">
        <v>3</v>
      </c>
      <c r="AM22" s="3">
        <v>3</v>
      </c>
      <c r="AN22" s="3">
        <v>0</v>
      </c>
      <c r="AO22" s="3">
        <v>0</v>
      </c>
      <c r="AP22" s="3">
        <v>16</v>
      </c>
      <c r="AQ22" s="3">
        <v>16</v>
      </c>
      <c r="AR22" s="2" t="s">
        <v>5</v>
      </c>
      <c r="AS22" s="2" t="s">
        <v>16</v>
      </c>
      <c r="AT22" s="5" t="str">
        <f>HYPERLINK("http://catalog.hathitrust.org/Record/000508029","HathiTrust Record")</f>
        <v>HathiTrust Record</v>
      </c>
      <c r="AU22" s="5" t="str">
        <f>HYPERLINK("https://creighton-primo.hosted.exlibrisgroup.com/primo-explore/search?tab=default_tab&amp;search_scope=EVERYTHING&amp;vid=01CRU&amp;lang=en_US&amp;offset=0&amp;query=any,contains,991001777579702656","Catalog Record")</f>
        <v>Catalog Record</v>
      </c>
      <c r="AV22" s="5" t="str">
        <f>HYPERLINK("http://www.worldcat.org/oclc/2966186","WorldCat Record")</f>
        <v>WorldCat Record</v>
      </c>
      <c r="AW22" s="2" t="s">
        <v>323</v>
      </c>
      <c r="AX22" s="2" t="s">
        <v>324</v>
      </c>
      <c r="AY22" s="2" t="s">
        <v>325</v>
      </c>
      <c r="AZ22" s="2" t="s">
        <v>325</v>
      </c>
      <c r="BA22" s="2" t="s">
        <v>326</v>
      </c>
      <c r="BB22" s="2" t="s">
        <v>21</v>
      </c>
      <c r="BD22" s="2" t="s">
        <v>327</v>
      </c>
      <c r="BE22" s="2" t="s">
        <v>328</v>
      </c>
      <c r="BF22" s="2" t="s">
        <v>329</v>
      </c>
    </row>
    <row r="23" spans="1:58" ht="39.75" customHeight="1" x14ac:dyDescent="0.25">
      <c r="A23" s="1"/>
      <c r="B23" s="1" t="s">
        <v>0</v>
      </c>
      <c r="C23" s="1" t="s">
        <v>1</v>
      </c>
      <c r="D23" s="1" t="s">
        <v>316</v>
      </c>
      <c r="E23" s="1" t="s">
        <v>317</v>
      </c>
      <c r="F23" s="1" t="s">
        <v>318</v>
      </c>
      <c r="G23" s="2" t="s">
        <v>330</v>
      </c>
      <c r="H23" s="2" t="s">
        <v>16</v>
      </c>
      <c r="I23" s="2" t="s">
        <v>6</v>
      </c>
      <c r="J23" s="2" t="s">
        <v>16</v>
      </c>
      <c r="K23" s="2" t="s">
        <v>5</v>
      </c>
      <c r="L23" s="2" t="s">
        <v>7</v>
      </c>
      <c r="M23" s="1" t="s">
        <v>320</v>
      </c>
      <c r="N23" s="1" t="s">
        <v>321</v>
      </c>
      <c r="O23" s="2" t="s">
        <v>213</v>
      </c>
      <c r="Q23" s="2" t="s">
        <v>11</v>
      </c>
      <c r="R23" s="2" t="s">
        <v>76</v>
      </c>
      <c r="T23" s="2" t="s">
        <v>13</v>
      </c>
      <c r="U23" s="3">
        <v>1</v>
      </c>
      <c r="V23" s="3">
        <v>1</v>
      </c>
      <c r="W23" s="4" t="s">
        <v>322</v>
      </c>
      <c r="X23" s="4" t="s">
        <v>322</v>
      </c>
      <c r="Y23" s="4" t="s">
        <v>15</v>
      </c>
      <c r="Z23" s="4" t="s">
        <v>15</v>
      </c>
      <c r="AA23" s="3">
        <v>269</v>
      </c>
      <c r="AB23" s="3">
        <v>187</v>
      </c>
      <c r="AC23" s="3">
        <v>189</v>
      </c>
      <c r="AD23" s="3">
        <v>1</v>
      </c>
      <c r="AE23" s="7">
        <v>1</v>
      </c>
      <c r="AF23" s="7">
        <v>20</v>
      </c>
      <c r="AG23" s="7">
        <v>20</v>
      </c>
      <c r="AH23" s="3">
        <v>1</v>
      </c>
      <c r="AI23" s="3">
        <v>1</v>
      </c>
      <c r="AJ23" s="3">
        <v>1</v>
      </c>
      <c r="AK23" s="3">
        <v>1</v>
      </c>
      <c r="AL23" s="3">
        <v>3</v>
      </c>
      <c r="AM23" s="3">
        <v>3</v>
      </c>
      <c r="AN23" s="3">
        <v>0</v>
      </c>
      <c r="AO23" s="3">
        <v>0</v>
      </c>
      <c r="AP23" s="3">
        <v>16</v>
      </c>
      <c r="AQ23" s="3">
        <v>16</v>
      </c>
      <c r="AR23" s="2" t="s">
        <v>5</v>
      </c>
      <c r="AS23" s="2" t="s">
        <v>16</v>
      </c>
      <c r="AT23" s="5" t="str">
        <f>HYPERLINK("http://catalog.hathitrust.org/Record/000508029","HathiTrust Record")</f>
        <v>HathiTrust Record</v>
      </c>
      <c r="AU23" s="5" t="str">
        <f>HYPERLINK("https://creighton-primo.hosted.exlibrisgroup.com/primo-explore/search?tab=default_tab&amp;search_scope=EVERYTHING&amp;vid=01CRU&amp;lang=en_US&amp;offset=0&amp;query=any,contains,991001777579702656","Catalog Record")</f>
        <v>Catalog Record</v>
      </c>
      <c r="AV23" s="5" t="str">
        <f>HYPERLINK("http://www.worldcat.org/oclc/2966186","WorldCat Record")</f>
        <v>WorldCat Record</v>
      </c>
      <c r="AW23" s="2" t="s">
        <v>323</v>
      </c>
      <c r="AX23" s="2" t="s">
        <v>324</v>
      </c>
      <c r="AY23" s="2" t="s">
        <v>325</v>
      </c>
      <c r="AZ23" s="2" t="s">
        <v>325</v>
      </c>
      <c r="BA23" s="2" t="s">
        <v>326</v>
      </c>
      <c r="BB23" s="2" t="s">
        <v>21</v>
      </c>
      <c r="BD23" s="2" t="s">
        <v>327</v>
      </c>
      <c r="BE23" s="2" t="s">
        <v>331</v>
      </c>
      <c r="BF23" s="2" t="s">
        <v>332</v>
      </c>
    </row>
    <row r="24" spans="1:58" ht="39.75" customHeight="1" x14ac:dyDescent="0.25">
      <c r="A24" s="1"/>
      <c r="B24" s="1" t="s">
        <v>0</v>
      </c>
      <c r="C24" s="1" t="s">
        <v>1</v>
      </c>
      <c r="D24" s="1" t="s">
        <v>316</v>
      </c>
      <c r="E24" s="1" t="s">
        <v>317</v>
      </c>
      <c r="F24" s="1" t="s">
        <v>318</v>
      </c>
      <c r="G24" s="2" t="s">
        <v>333</v>
      </c>
      <c r="H24" s="2" t="s">
        <v>16</v>
      </c>
      <c r="I24" s="2" t="s">
        <v>6</v>
      </c>
      <c r="J24" s="2" t="s">
        <v>16</v>
      </c>
      <c r="K24" s="2" t="s">
        <v>5</v>
      </c>
      <c r="L24" s="2" t="s">
        <v>7</v>
      </c>
      <c r="M24" s="1" t="s">
        <v>320</v>
      </c>
      <c r="N24" s="1" t="s">
        <v>321</v>
      </c>
      <c r="O24" s="2" t="s">
        <v>213</v>
      </c>
      <c r="Q24" s="2" t="s">
        <v>11</v>
      </c>
      <c r="R24" s="2" t="s">
        <v>76</v>
      </c>
      <c r="T24" s="2" t="s">
        <v>13</v>
      </c>
      <c r="U24" s="3">
        <v>0</v>
      </c>
      <c r="V24" s="3">
        <v>1</v>
      </c>
      <c r="X24" s="4" t="s">
        <v>322</v>
      </c>
      <c r="Y24" s="4" t="s">
        <v>15</v>
      </c>
      <c r="Z24" s="4" t="s">
        <v>15</v>
      </c>
      <c r="AA24" s="3">
        <v>269</v>
      </c>
      <c r="AB24" s="3">
        <v>187</v>
      </c>
      <c r="AC24" s="3">
        <v>189</v>
      </c>
      <c r="AD24" s="3">
        <v>1</v>
      </c>
      <c r="AE24" s="7">
        <v>1</v>
      </c>
      <c r="AF24" s="7">
        <v>20</v>
      </c>
      <c r="AG24" s="7">
        <v>20</v>
      </c>
      <c r="AH24" s="3">
        <v>1</v>
      </c>
      <c r="AI24" s="3">
        <v>1</v>
      </c>
      <c r="AJ24" s="3">
        <v>1</v>
      </c>
      <c r="AK24" s="3">
        <v>1</v>
      </c>
      <c r="AL24" s="3">
        <v>3</v>
      </c>
      <c r="AM24" s="3">
        <v>3</v>
      </c>
      <c r="AN24" s="3">
        <v>0</v>
      </c>
      <c r="AO24" s="3">
        <v>0</v>
      </c>
      <c r="AP24" s="3">
        <v>16</v>
      </c>
      <c r="AQ24" s="3">
        <v>16</v>
      </c>
      <c r="AR24" s="2" t="s">
        <v>5</v>
      </c>
      <c r="AS24" s="2" t="s">
        <v>16</v>
      </c>
      <c r="AT24" s="5" t="str">
        <f>HYPERLINK("http://catalog.hathitrust.org/Record/000508029","HathiTrust Record")</f>
        <v>HathiTrust Record</v>
      </c>
      <c r="AU24" s="5" t="str">
        <f>HYPERLINK("https://creighton-primo.hosted.exlibrisgroup.com/primo-explore/search?tab=default_tab&amp;search_scope=EVERYTHING&amp;vid=01CRU&amp;lang=en_US&amp;offset=0&amp;query=any,contains,991001777579702656","Catalog Record")</f>
        <v>Catalog Record</v>
      </c>
      <c r="AV24" s="5" t="str">
        <f>HYPERLINK("http://www.worldcat.org/oclc/2966186","WorldCat Record")</f>
        <v>WorldCat Record</v>
      </c>
      <c r="AW24" s="2" t="s">
        <v>323</v>
      </c>
      <c r="AX24" s="2" t="s">
        <v>324</v>
      </c>
      <c r="AY24" s="2" t="s">
        <v>325</v>
      </c>
      <c r="AZ24" s="2" t="s">
        <v>325</v>
      </c>
      <c r="BA24" s="2" t="s">
        <v>326</v>
      </c>
      <c r="BB24" s="2" t="s">
        <v>21</v>
      </c>
      <c r="BD24" s="2" t="s">
        <v>327</v>
      </c>
      <c r="BE24" s="2" t="s">
        <v>334</v>
      </c>
      <c r="BF24" s="2" t="s">
        <v>335</v>
      </c>
    </row>
    <row r="25" spans="1:58" ht="39.75" customHeight="1" x14ac:dyDescent="0.25">
      <c r="A25" s="1"/>
      <c r="B25" s="1" t="s">
        <v>0</v>
      </c>
      <c r="C25" s="1" t="s">
        <v>1</v>
      </c>
      <c r="D25" s="1" t="s">
        <v>336</v>
      </c>
      <c r="E25" s="1" t="s">
        <v>337</v>
      </c>
      <c r="F25" s="1" t="s">
        <v>338</v>
      </c>
      <c r="H25" s="2" t="s">
        <v>5</v>
      </c>
      <c r="I25" s="2" t="s">
        <v>6</v>
      </c>
      <c r="J25" s="2" t="s">
        <v>5</v>
      </c>
      <c r="K25" s="2" t="s">
        <v>16</v>
      </c>
      <c r="L25" s="2" t="s">
        <v>7</v>
      </c>
      <c r="N25" s="1" t="s">
        <v>339</v>
      </c>
      <c r="O25" s="2" t="s">
        <v>91</v>
      </c>
      <c r="P25" s="1" t="s">
        <v>340</v>
      </c>
      <c r="Q25" s="2" t="s">
        <v>11</v>
      </c>
      <c r="R25" s="2" t="s">
        <v>124</v>
      </c>
      <c r="T25" s="2" t="s">
        <v>13</v>
      </c>
      <c r="U25" s="3">
        <v>23</v>
      </c>
      <c r="V25" s="3">
        <v>23</v>
      </c>
      <c r="W25" s="4" t="s">
        <v>341</v>
      </c>
      <c r="X25" s="4" t="s">
        <v>341</v>
      </c>
      <c r="Y25" s="4" t="s">
        <v>342</v>
      </c>
      <c r="Z25" s="4" t="s">
        <v>342</v>
      </c>
      <c r="AA25" s="3">
        <v>370</v>
      </c>
      <c r="AB25" s="3">
        <v>264</v>
      </c>
      <c r="AC25" s="3">
        <v>615</v>
      </c>
      <c r="AD25" s="3">
        <v>1</v>
      </c>
      <c r="AE25" s="7">
        <v>3</v>
      </c>
      <c r="AF25" s="7">
        <v>19</v>
      </c>
      <c r="AG25" s="7">
        <v>41</v>
      </c>
      <c r="AH25" s="3">
        <v>2</v>
      </c>
      <c r="AI25" s="3">
        <v>11</v>
      </c>
      <c r="AJ25" s="3">
        <v>3</v>
      </c>
      <c r="AK25" s="3">
        <v>8</v>
      </c>
      <c r="AL25" s="3">
        <v>5</v>
      </c>
      <c r="AM25" s="3">
        <v>13</v>
      </c>
      <c r="AN25" s="3">
        <v>0</v>
      </c>
      <c r="AO25" s="3">
        <v>1</v>
      </c>
      <c r="AP25" s="3">
        <v>11</v>
      </c>
      <c r="AQ25" s="3">
        <v>14</v>
      </c>
      <c r="AR25" s="2" t="s">
        <v>5</v>
      </c>
      <c r="AS25" s="2" t="s">
        <v>16</v>
      </c>
      <c r="AT25" s="5" t="str">
        <f>HYPERLINK("http://catalog.hathitrust.org/Record/002640449","HathiTrust Record")</f>
        <v>HathiTrust Record</v>
      </c>
      <c r="AU25" s="5" t="str">
        <f>HYPERLINK("https://creighton-primo.hosted.exlibrisgroup.com/primo-explore/search?tab=default_tab&amp;search_scope=EVERYTHING&amp;vid=01CRU&amp;lang=en_US&amp;offset=0&amp;query=any,contains,991002027599702656","Catalog Record")</f>
        <v>Catalog Record</v>
      </c>
      <c r="AV25" s="5" t="str">
        <f>HYPERLINK("http://www.worldcat.org/oclc/25788921","WorldCat Record")</f>
        <v>WorldCat Record</v>
      </c>
      <c r="AW25" s="2" t="s">
        <v>343</v>
      </c>
      <c r="AX25" s="2" t="s">
        <v>344</v>
      </c>
      <c r="AY25" s="2" t="s">
        <v>345</v>
      </c>
      <c r="AZ25" s="2" t="s">
        <v>345</v>
      </c>
      <c r="BA25" s="2" t="s">
        <v>346</v>
      </c>
      <c r="BB25" s="2" t="s">
        <v>21</v>
      </c>
      <c r="BD25" s="2" t="s">
        <v>347</v>
      </c>
      <c r="BE25" s="2" t="s">
        <v>348</v>
      </c>
      <c r="BF25" s="2" t="s">
        <v>349</v>
      </c>
    </row>
    <row r="26" spans="1:58" ht="39.75" customHeight="1" x14ac:dyDescent="0.25">
      <c r="A26" s="1"/>
      <c r="B26" s="1" t="s">
        <v>0</v>
      </c>
      <c r="C26" s="1" t="s">
        <v>1</v>
      </c>
      <c r="D26" s="1" t="s">
        <v>350</v>
      </c>
      <c r="E26" s="1" t="s">
        <v>351</v>
      </c>
      <c r="F26" s="1" t="s">
        <v>352</v>
      </c>
      <c r="H26" s="2" t="s">
        <v>5</v>
      </c>
      <c r="I26" s="2" t="s">
        <v>6</v>
      </c>
      <c r="J26" s="2" t="s">
        <v>16</v>
      </c>
      <c r="K26" s="2" t="s">
        <v>5</v>
      </c>
      <c r="L26" s="2" t="s">
        <v>7</v>
      </c>
      <c r="M26" s="1" t="s">
        <v>353</v>
      </c>
      <c r="N26" s="1" t="s">
        <v>354</v>
      </c>
      <c r="O26" s="2" t="s">
        <v>355</v>
      </c>
      <c r="Q26" s="2" t="s">
        <v>11</v>
      </c>
      <c r="R26" s="2" t="s">
        <v>185</v>
      </c>
      <c r="S26" s="1" t="s">
        <v>356</v>
      </c>
      <c r="T26" s="2" t="s">
        <v>13</v>
      </c>
      <c r="U26" s="3">
        <v>1</v>
      </c>
      <c r="V26" s="3">
        <v>2</v>
      </c>
      <c r="W26" s="4" t="s">
        <v>357</v>
      </c>
      <c r="X26" s="4" t="s">
        <v>358</v>
      </c>
      <c r="Y26" s="4" t="s">
        <v>359</v>
      </c>
      <c r="Z26" s="4" t="s">
        <v>360</v>
      </c>
      <c r="AA26" s="3">
        <v>367</v>
      </c>
      <c r="AB26" s="3">
        <v>271</v>
      </c>
      <c r="AC26" s="3">
        <v>274</v>
      </c>
      <c r="AD26" s="3">
        <v>2</v>
      </c>
      <c r="AE26" s="7">
        <v>2</v>
      </c>
      <c r="AF26" s="7">
        <v>19</v>
      </c>
      <c r="AG26" s="7">
        <v>19</v>
      </c>
      <c r="AH26" s="3">
        <v>1</v>
      </c>
      <c r="AI26" s="3">
        <v>1</v>
      </c>
      <c r="AJ26" s="3">
        <v>3</v>
      </c>
      <c r="AK26" s="3">
        <v>3</v>
      </c>
      <c r="AL26" s="3">
        <v>5</v>
      </c>
      <c r="AM26" s="3">
        <v>5</v>
      </c>
      <c r="AN26" s="3">
        <v>0</v>
      </c>
      <c r="AO26" s="3">
        <v>0</v>
      </c>
      <c r="AP26" s="3">
        <v>13</v>
      </c>
      <c r="AQ26" s="3">
        <v>13</v>
      </c>
      <c r="AR26" s="2" t="s">
        <v>5</v>
      </c>
      <c r="AS26" s="2" t="s">
        <v>5</v>
      </c>
      <c r="AU26" s="5" t="str">
        <f>HYPERLINK("https://creighton-primo.hosted.exlibrisgroup.com/primo-explore/search?tab=default_tab&amp;search_scope=EVERYTHING&amp;vid=01CRU&amp;lang=en_US&amp;offset=0&amp;query=any,contains,991001680709702656","Catalog Record")</f>
        <v>Catalog Record</v>
      </c>
      <c r="AV26" s="5" t="str">
        <f>HYPERLINK("http://www.worldcat.org/oclc/799533","WorldCat Record")</f>
        <v>WorldCat Record</v>
      </c>
      <c r="AW26" s="2" t="s">
        <v>361</v>
      </c>
      <c r="AX26" s="2" t="s">
        <v>362</v>
      </c>
      <c r="AY26" s="2" t="s">
        <v>363</v>
      </c>
      <c r="AZ26" s="2" t="s">
        <v>363</v>
      </c>
      <c r="BA26" s="2" t="s">
        <v>364</v>
      </c>
      <c r="BB26" s="2" t="s">
        <v>21</v>
      </c>
      <c r="BE26" s="2" t="s">
        <v>365</v>
      </c>
      <c r="BF26" s="2" t="s">
        <v>366</v>
      </c>
    </row>
    <row r="27" spans="1:58" ht="39.75" customHeight="1" x14ac:dyDescent="0.25">
      <c r="A27" s="1"/>
      <c r="B27" s="1" t="s">
        <v>0</v>
      </c>
      <c r="C27" s="1" t="s">
        <v>1</v>
      </c>
      <c r="D27" s="1" t="s">
        <v>367</v>
      </c>
      <c r="E27" s="1" t="s">
        <v>368</v>
      </c>
      <c r="F27" s="1" t="s">
        <v>369</v>
      </c>
      <c r="H27" s="2" t="s">
        <v>5</v>
      </c>
      <c r="I27" s="2" t="s">
        <v>6</v>
      </c>
      <c r="J27" s="2" t="s">
        <v>5</v>
      </c>
      <c r="K27" s="2" t="s">
        <v>5</v>
      </c>
      <c r="L27" s="2" t="s">
        <v>7</v>
      </c>
      <c r="M27" s="1" t="s">
        <v>370</v>
      </c>
      <c r="N27" s="1" t="s">
        <v>371</v>
      </c>
      <c r="O27" s="2" t="s">
        <v>372</v>
      </c>
      <c r="Q27" s="2" t="s">
        <v>11</v>
      </c>
      <c r="R27" s="2" t="s">
        <v>306</v>
      </c>
      <c r="T27" s="2" t="s">
        <v>13</v>
      </c>
      <c r="U27" s="3">
        <v>2</v>
      </c>
      <c r="V27" s="3">
        <v>2</v>
      </c>
      <c r="W27" s="4" t="s">
        <v>373</v>
      </c>
      <c r="X27" s="4" t="s">
        <v>373</v>
      </c>
      <c r="Y27" s="4" t="s">
        <v>374</v>
      </c>
      <c r="Z27" s="4" t="s">
        <v>374</v>
      </c>
      <c r="AA27" s="3">
        <v>254</v>
      </c>
      <c r="AB27" s="3">
        <v>203</v>
      </c>
      <c r="AC27" s="3">
        <v>210</v>
      </c>
      <c r="AD27" s="3">
        <v>2</v>
      </c>
      <c r="AE27" s="7">
        <v>2</v>
      </c>
      <c r="AF27" s="7">
        <v>14</v>
      </c>
      <c r="AG27" s="7">
        <v>14</v>
      </c>
      <c r="AH27" s="3">
        <v>0</v>
      </c>
      <c r="AI27" s="3">
        <v>0</v>
      </c>
      <c r="AJ27" s="3">
        <v>5</v>
      </c>
      <c r="AK27" s="3">
        <v>5</v>
      </c>
      <c r="AL27" s="3">
        <v>4</v>
      </c>
      <c r="AM27" s="3">
        <v>4</v>
      </c>
      <c r="AN27" s="3">
        <v>1</v>
      </c>
      <c r="AO27" s="3">
        <v>1</v>
      </c>
      <c r="AP27" s="3">
        <v>6</v>
      </c>
      <c r="AQ27" s="3">
        <v>6</v>
      </c>
      <c r="AR27" s="2" t="s">
        <v>5</v>
      </c>
      <c r="AS27" s="2" t="s">
        <v>16</v>
      </c>
      <c r="AT27" s="5" t="str">
        <f>HYPERLINK("http://catalog.hathitrust.org/Record/002932542","HathiTrust Record")</f>
        <v>HathiTrust Record</v>
      </c>
      <c r="AU27" s="5" t="str">
        <f>HYPERLINK("https://creighton-primo.hosted.exlibrisgroup.com/primo-explore/search?tab=default_tab&amp;search_scope=EVERYTHING&amp;vid=01CRU&amp;lang=en_US&amp;offset=0&amp;query=any,contains,991002334779702656","Catalog Record")</f>
        <v>Catalog Record</v>
      </c>
      <c r="AV27" s="5" t="str">
        <f>HYPERLINK("http://www.worldcat.org/oclc/30398484","WorldCat Record")</f>
        <v>WorldCat Record</v>
      </c>
      <c r="AW27" s="2" t="s">
        <v>375</v>
      </c>
      <c r="AX27" s="2" t="s">
        <v>376</v>
      </c>
      <c r="AY27" s="2" t="s">
        <v>377</v>
      </c>
      <c r="AZ27" s="2" t="s">
        <v>377</v>
      </c>
      <c r="BA27" s="2" t="s">
        <v>378</v>
      </c>
      <c r="BB27" s="2" t="s">
        <v>21</v>
      </c>
      <c r="BD27" s="2" t="s">
        <v>379</v>
      </c>
      <c r="BE27" s="2" t="s">
        <v>380</v>
      </c>
      <c r="BF27" s="2" t="s">
        <v>381</v>
      </c>
    </row>
    <row r="28" spans="1:58" ht="39.75" customHeight="1" x14ac:dyDescent="0.25">
      <c r="A28" s="1"/>
      <c r="B28" s="1" t="s">
        <v>0</v>
      </c>
      <c r="C28" s="1" t="s">
        <v>1</v>
      </c>
      <c r="D28" s="1" t="s">
        <v>382</v>
      </c>
      <c r="E28" s="1" t="s">
        <v>383</v>
      </c>
      <c r="F28" s="1" t="s">
        <v>384</v>
      </c>
      <c r="H28" s="2" t="s">
        <v>5</v>
      </c>
      <c r="I28" s="2" t="s">
        <v>6</v>
      </c>
      <c r="J28" s="2" t="s">
        <v>5</v>
      </c>
      <c r="K28" s="2" t="s">
        <v>5</v>
      </c>
      <c r="L28" s="2" t="s">
        <v>7</v>
      </c>
      <c r="M28" s="1" t="s">
        <v>385</v>
      </c>
      <c r="N28" s="1" t="s">
        <v>386</v>
      </c>
      <c r="O28" s="2" t="s">
        <v>387</v>
      </c>
      <c r="Q28" s="2" t="s">
        <v>11</v>
      </c>
      <c r="R28" s="2" t="s">
        <v>76</v>
      </c>
      <c r="T28" s="2" t="s">
        <v>13</v>
      </c>
      <c r="U28" s="3">
        <v>3</v>
      </c>
      <c r="V28" s="3">
        <v>3</v>
      </c>
      <c r="W28" s="4" t="s">
        <v>373</v>
      </c>
      <c r="X28" s="4" t="s">
        <v>373</v>
      </c>
      <c r="Y28" s="4" t="s">
        <v>388</v>
      </c>
      <c r="Z28" s="4" t="s">
        <v>388</v>
      </c>
      <c r="AA28" s="3">
        <v>421</v>
      </c>
      <c r="AB28" s="3">
        <v>322</v>
      </c>
      <c r="AC28" s="3">
        <v>328</v>
      </c>
      <c r="AD28" s="3">
        <v>2</v>
      </c>
      <c r="AE28" s="7">
        <v>2</v>
      </c>
      <c r="AF28" s="7">
        <v>22</v>
      </c>
      <c r="AG28" s="7">
        <v>23</v>
      </c>
      <c r="AH28" s="3">
        <v>0</v>
      </c>
      <c r="AI28" s="3">
        <v>0</v>
      </c>
      <c r="AJ28" s="3">
        <v>4</v>
      </c>
      <c r="AK28" s="3">
        <v>4</v>
      </c>
      <c r="AL28" s="3">
        <v>6</v>
      </c>
      <c r="AM28" s="3">
        <v>6</v>
      </c>
      <c r="AN28" s="3">
        <v>1</v>
      </c>
      <c r="AO28" s="3">
        <v>1</v>
      </c>
      <c r="AP28" s="3">
        <v>13</v>
      </c>
      <c r="AQ28" s="3">
        <v>14</v>
      </c>
      <c r="AR28" s="2" t="s">
        <v>5</v>
      </c>
      <c r="AS28" s="2" t="s">
        <v>16</v>
      </c>
      <c r="AT28" s="5" t="str">
        <f>HYPERLINK("http://catalog.hathitrust.org/Record/010399663","HathiTrust Record")</f>
        <v>HathiTrust Record</v>
      </c>
      <c r="AU28" s="5" t="str">
        <f>HYPERLINK("https://creighton-primo.hosted.exlibrisgroup.com/primo-explore/search?tab=default_tab&amp;search_scope=EVERYTHING&amp;vid=01CRU&amp;lang=en_US&amp;offset=0&amp;query=any,contains,991000247699702656","Catalog Record")</f>
        <v>Catalog Record</v>
      </c>
      <c r="AV28" s="5" t="str">
        <f>HYPERLINK("http://www.worldcat.org/oclc/9730149","WorldCat Record")</f>
        <v>WorldCat Record</v>
      </c>
      <c r="AW28" s="2" t="s">
        <v>389</v>
      </c>
      <c r="AX28" s="2" t="s">
        <v>390</v>
      </c>
      <c r="AY28" s="2" t="s">
        <v>391</v>
      </c>
      <c r="AZ28" s="2" t="s">
        <v>391</v>
      </c>
      <c r="BA28" s="2" t="s">
        <v>392</v>
      </c>
      <c r="BB28" s="2" t="s">
        <v>21</v>
      </c>
      <c r="BD28" s="2" t="s">
        <v>393</v>
      </c>
      <c r="BE28" s="2" t="s">
        <v>394</v>
      </c>
      <c r="BF28" s="2" t="s">
        <v>395</v>
      </c>
    </row>
    <row r="29" spans="1:58" ht="39.75" customHeight="1" x14ac:dyDescent="0.25">
      <c r="A29" s="1"/>
      <c r="B29" s="1" t="s">
        <v>0</v>
      </c>
      <c r="C29" s="1" t="s">
        <v>1</v>
      </c>
      <c r="D29" s="1" t="s">
        <v>396</v>
      </c>
      <c r="E29" s="1" t="s">
        <v>397</v>
      </c>
      <c r="F29" s="1" t="s">
        <v>398</v>
      </c>
      <c r="H29" s="2" t="s">
        <v>5</v>
      </c>
      <c r="I29" s="2" t="s">
        <v>6</v>
      </c>
      <c r="J29" s="2" t="s">
        <v>16</v>
      </c>
      <c r="K29" s="2" t="s">
        <v>5</v>
      </c>
      <c r="L29" s="2" t="s">
        <v>7</v>
      </c>
      <c r="M29" s="1" t="s">
        <v>399</v>
      </c>
      <c r="N29" s="1" t="s">
        <v>400</v>
      </c>
      <c r="O29" s="2" t="s">
        <v>401</v>
      </c>
      <c r="Q29" s="2" t="s">
        <v>11</v>
      </c>
      <c r="R29" s="2" t="s">
        <v>306</v>
      </c>
      <c r="T29" s="2" t="s">
        <v>13</v>
      </c>
      <c r="U29" s="3">
        <v>1</v>
      </c>
      <c r="V29" s="3">
        <v>1</v>
      </c>
      <c r="W29" s="4" t="s">
        <v>402</v>
      </c>
      <c r="X29" s="4" t="s">
        <v>402</v>
      </c>
      <c r="Y29" s="4" t="s">
        <v>403</v>
      </c>
      <c r="Z29" s="4" t="s">
        <v>403</v>
      </c>
      <c r="AA29" s="3">
        <v>292</v>
      </c>
      <c r="AB29" s="3">
        <v>252</v>
      </c>
      <c r="AC29" s="3">
        <v>541</v>
      </c>
      <c r="AD29" s="3">
        <v>4</v>
      </c>
      <c r="AE29" s="7">
        <v>6</v>
      </c>
      <c r="AF29" s="7">
        <v>16</v>
      </c>
      <c r="AG29" s="7">
        <v>44</v>
      </c>
      <c r="AH29" s="3">
        <v>3</v>
      </c>
      <c r="AI29" s="3">
        <v>8</v>
      </c>
      <c r="AJ29" s="3">
        <v>0</v>
      </c>
      <c r="AK29" s="3">
        <v>5</v>
      </c>
      <c r="AL29" s="3">
        <v>3</v>
      </c>
      <c r="AM29" s="3">
        <v>14</v>
      </c>
      <c r="AN29" s="3">
        <v>1</v>
      </c>
      <c r="AO29" s="3">
        <v>3</v>
      </c>
      <c r="AP29" s="3">
        <v>9</v>
      </c>
      <c r="AQ29" s="3">
        <v>20</v>
      </c>
      <c r="AR29" s="2" t="s">
        <v>5</v>
      </c>
      <c r="AS29" s="2" t="s">
        <v>16</v>
      </c>
      <c r="AT29" s="5" t="str">
        <f>HYPERLINK("http://catalog.hathitrust.org/Record/001433975","HathiTrust Record")</f>
        <v>HathiTrust Record</v>
      </c>
      <c r="AU29" s="5" t="str">
        <f>HYPERLINK("https://creighton-primo.hosted.exlibrisgroup.com/primo-explore/search?tab=default_tab&amp;search_scope=EVERYTHING&amp;vid=01CRU&amp;lang=en_US&amp;offset=0&amp;query=any,contains,991001639369702656","Catalog Record")</f>
        <v>Catalog Record</v>
      </c>
      <c r="AV29" s="5" t="str">
        <f>HYPERLINK("http://www.worldcat.org/oclc/441439","WorldCat Record")</f>
        <v>WorldCat Record</v>
      </c>
      <c r="AW29" s="2" t="s">
        <v>404</v>
      </c>
      <c r="AX29" s="2" t="s">
        <v>405</v>
      </c>
      <c r="AY29" s="2" t="s">
        <v>406</v>
      </c>
      <c r="AZ29" s="2" t="s">
        <v>406</v>
      </c>
      <c r="BA29" s="2" t="s">
        <v>407</v>
      </c>
      <c r="BB29" s="2" t="s">
        <v>21</v>
      </c>
      <c r="BE29" s="2" t="s">
        <v>408</v>
      </c>
      <c r="BF29" s="2" t="s">
        <v>409</v>
      </c>
    </row>
    <row r="30" spans="1:58" ht="39.75" customHeight="1" x14ac:dyDescent="0.25">
      <c r="A30" s="1"/>
      <c r="B30" s="1" t="s">
        <v>0</v>
      </c>
      <c r="C30" s="1" t="s">
        <v>1</v>
      </c>
      <c r="D30" s="1" t="s">
        <v>410</v>
      </c>
      <c r="E30" s="1" t="s">
        <v>411</v>
      </c>
      <c r="F30" s="1" t="s">
        <v>412</v>
      </c>
      <c r="H30" s="2" t="s">
        <v>5</v>
      </c>
      <c r="I30" s="2" t="s">
        <v>6</v>
      </c>
      <c r="J30" s="2" t="s">
        <v>5</v>
      </c>
      <c r="K30" s="2" t="s">
        <v>5</v>
      </c>
      <c r="L30" s="2" t="s">
        <v>7</v>
      </c>
      <c r="M30" s="1" t="s">
        <v>413</v>
      </c>
      <c r="N30" s="1" t="s">
        <v>414</v>
      </c>
      <c r="O30" s="2" t="s">
        <v>107</v>
      </c>
      <c r="Q30" s="2" t="s">
        <v>11</v>
      </c>
      <c r="R30" s="2" t="s">
        <v>260</v>
      </c>
      <c r="T30" s="2" t="s">
        <v>13</v>
      </c>
      <c r="U30" s="3">
        <v>1</v>
      </c>
      <c r="V30" s="3">
        <v>1</v>
      </c>
      <c r="W30" s="4" t="s">
        <v>402</v>
      </c>
      <c r="X30" s="4" t="s">
        <v>402</v>
      </c>
      <c r="Y30" s="4" t="s">
        <v>415</v>
      </c>
      <c r="Z30" s="4" t="s">
        <v>415</v>
      </c>
      <c r="AA30" s="3">
        <v>150</v>
      </c>
      <c r="AB30" s="3">
        <v>137</v>
      </c>
      <c r="AC30" s="3">
        <v>170</v>
      </c>
      <c r="AD30" s="3">
        <v>3</v>
      </c>
      <c r="AE30" s="7">
        <v>3</v>
      </c>
      <c r="AF30" s="7">
        <v>14</v>
      </c>
      <c r="AG30" s="7">
        <v>17</v>
      </c>
      <c r="AH30" s="3">
        <v>1</v>
      </c>
      <c r="AI30" s="3">
        <v>1</v>
      </c>
      <c r="AJ30" s="3">
        <v>2</v>
      </c>
      <c r="AK30" s="3">
        <v>2</v>
      </c>
      <c r="AL30" s="3">
        <v>4</v>
      </c>
      <c r="AM30" s="3">
        <v>5</v>
      </c>
      <c r="AN30" s="3">
        <v>1</v>
      </c>
      <c r="AO30" s="3">
        <v>1</v>
      </c>
      <c r="AP30" s="3">
        <v>7</v>
      </c>
      <c r="AQ30" s="3">
        <v>9</v>
      </c>
      <c r="AR30" s="2" t="s">
        <v>5</v>
      </c>
      <c r="AS30" s="2" t="s">
        <v>5</v>
      </c>
      <c r="AU30" s="5" t="str">
        <f>HYPERLINK("https://creighton-primo.hosted.exlibrisgroup.com/primo-explore/search?tab=default_tab&amp;search_scope=EVERYTHING&amp;vid=01CRU&amp;lang=en_US&amp;offset=0&amp;query=any,contains,991001935979702656","Catalog Record")</f>
        <v>Catalog Record</v>
      </c>
      <c r="AV30" s="5" t="str">
        <f>HYPERLINK("http://www.worldcat.org/oclc/250557","WorldCat Record")</f>
        <v>WorldCat Record</v>
      </c>
      <c r="AW30" s="2" t="s">
        <v>416</v>
      </c>
      <c r="AX30" s="2" t="s">
        <v>417</v>
      </c>
      <c r="AY30" s="2" t="s">
        <v>418</v>
      </c>
      <c r="AZ30" s="2" t="s">
        <v>418</v>
      </c>
      <c r="BA30" s="2" t="s">
        <v>419</v>
      </c>
      <c r="BB30" s="2" t="s">
        <v>21</v>
      </c>
      <c r="BE30" s="2" t="s">
        <v>420</v>
      </c>
      <c r="BF30" s="2" t="s">
        <v>421</v>
      </c>
    </row>
    <row r="31" spans="1:58" ht="39.75" customHeight="1" x14ac:dyDescent="0.25">
      <c r="A31" s="1"/>
      <c r="B31" s="1" t="s">
        <v>0</v>
      </c>
      <c r="C31" s="1" t="s">
        <v>1</v>
      </c>
      <c r="D31" s="1" t="s">
        <v>422</v>
      </c>
      <c r="E31" s="1" t="s">
        <v>423</v>
      </c>
      <c r="F31" s="1" t="s">
        <v>424</v>
      </c>
      <c r="H31" s="2" t="s">
        <v>5</v>
      </c>
      <c r="I31" s="2" t="s">
        <v>6</v>
      </c>
      <c r="J31" s="2" t="s">
        <v>16</v>
      </c>
      <c r="K31" s="2" t="s">
        <v>5</v>
      </c>
      <c r="L31" s="2" t="s">
        <v>7</v>
      </c>
      <c r="M31" s="1" t="s">
        <v>425</v>
      </c>
      <c r="N31" s="1" t="s">
        <v>426</v>
      </c>
      <c r="O31" s="2" t="s">
        <v>228</v>
      </c>
      <c r="Q31" s="2" t="s">
        <v>11</v>
      </c>
      <c r="R31" s="2" t="s">
        <v>30</v>
      </c>
      <c r="T31" s="2" t="s">
        <v>13</v>
      </c>
      <c r="U31" s="3">
        <v>4</v>
      </c>
      <c r="V31" s="3">
        <v>9</v>
      </c>
      <c r="W31" s="4" t="s">
        <v>427</v>
      </c>
      <c r="X31" s="4" t="s">
        <v>428</v>
      </c>
      <c r="Y31" s="4" t="s">
        <v>429</v>
      </c>
      <c r="Z31" s="4" t="s">
        <v>430</v>
      </c>
      <c r="AA31" s="3">
        <v>425</v>
      </c>
      <c r="AB31" s="3">
        <v>277</v>
      </c>
      <c r="AC31" s="3">
        <v>344</v>
      </c>
      <c r="AD31" s="3">
        <v>3</v>
      </c>
      <c r="AE31" s="7">
        <v>4</v>
      </c>
      <c r="AF31" s="7">
        <v>24</v>
      </c>
      <c r="AG31" s="7">
        <v>31</v>
      </c>
      <c r="AH31" s="3">
        <v>2</v>
      </c>
      <c r="AI31" s="3">
        <v>3</v>
      </c>
      <c r="AJ31" s="3">
        <v>3</v>
      </c>
      <c r="AK31" s="3">
        <v>4</v>
      </c>
      <c r="AL31" s="3">
        <v>6</v>
      </c>
      <c r="AM31" s="3">
        <v>8</v>
      </c>
      <c r="AN31" s="3">
        <v>2</v>
      </c>
      <c r="AO31" s="3">
        <v>2</v>
      </c>
      <c r="AP31" s="3">
        <v>14</v>
      </c>
      <c r="AQ31" s="3">
        <v>18</v>
      </c>
      <c r="AR31" s="2" t="s">
        <v>5</v>
      </c>
      <c r="AS31" s="2" t="s">
        <v>16</v>
      </c>
      <c r="AT31" s="5" t="str">
        <f>HYPERLINK("http://catalog.hathitrust.org/Record/001536134","HathiTrust Record")</f>
        <v>HathiTrust Record</v>
      </c>
      <c r="AU31" s="5" t="str">
        <f>HYPERLINK("https://creighton-primo.hosted.exlibrisgroup.com/primo-explore/search?tab=default_tab&amp;search_scope=EVERYTHING&amp;vid=01CRU&amp;lang=en_US&amp;offset=0&amp;query=any,contains,991001641349702656","Catalog Record")</f>
        <v>Catalog Record</v>
      </c>
      <c r="AV31" s="5" t="str">
        <f>HYPERLINK("http://www.worldcat.org/oclc/19553823","WorldCat Record")</f>
        <v>WorldCat Record</v>
      </c>
      <c r="AW31" s="2" t="s">
        <v>431</v>
      </c>
      <c r="AX31" s="2" t="s">
        <v>432</v>
      </c>
      <c r="AY31" s="2" t="s">
        <v>433</v>
      </c>
      <c r="AZ31" s="2" t="s">
        <v>433</v>
      </c>
      <c r="BA31" s="2" t="s">
        <v>434</v>
      </c>
      <c r="BB31" s="2" t="s">
        <v>21</v>
      </c>
      <c r="BD31" s="2" t="s">
        <v>435</v>
      </c>
      <c r="BE31" s="2" t="s">
        <v>436</v>
      </c>
      <c r="BF31" s="2" t="s">
        <v>437</v>
      </c>
    </row>
    <row r="32" spans="1:58" ht="39.75" customHeight="1" x14ac:dyDescent="0.25">
      <c r="A32" s="1"/>
      <c r="B32" s="1" t="s">
        <v>0</v>
      </c>
      <c r="C32" s="1" t="s">
        <v>1</v>
      </c>
      <c r="D32" s="1" t="s">
        <v>438</v>
      </c>
      <c r="E32" s="1" t="s">
        <v>439</v>
      </c>
      <c r="F32" s="1" t="s">
        <v>440</v>
      </c>
      <c r="H32" s="2" t="s">
        <v>5</v>
      </c>
      <c r="I32" s="2" t="s">
        <v>6</v>
      </c>
      <c r="J32" s="2" t="s">
        <v>5</v>
      </c>
      <c r="K32" s="2" t="s">
        <v>5</v>
      </c>
      <c r="L32" s="2" t="s">
        <v>7</v>
      </c>
      <c r="M32" s="1" t="s">
        <v>441</v>
      </c>
      <c r="N32" s="1" t="s">
        <v>442</v>
      </c>
      <c r="O32" s="2" t="s">
        <v>228</v>
      </c>
      <c r="Q32" s="2" t="s">
        <v>11</v>
      </c>
      <c r="R32" s="2" t="s">
        <v>138</v>
      </c>
      <c r="S32" s="1" t="s">
        <v>443</v>
      </c>
      <c r="T32" s="2" t="s">
        <v>13</v>
      </c>
      <c r="U32" s="3">
        <v>11</v>
      </c>
      <c r="V32" s="3">
        <v>11</v>
      </c>
      <c r="W32" s="4" t="s">
        <v>444</v>
      </c>
      <c r="X32" s="4" t="s">
        <v>444</v>
      </c>
      <c r="Y32" s="4" t="s">
        <v>445</v>
      </c>
      <c r="Z32" s="4" t="s">
        <v>445</v>
      </c>
      <c r="AA32" s="3">
        <v>247</v>
      </c>
      <c r="AB32" s="3">
        <v>139</v>
      </c>
      <c r="AC32" s="3">
        <v>141</v>
      </c>
      <c r="AD32" s="3">
        <v>2</v>
      </c>
      <c r="AE32" s="7">
        <v>2</v>
      </c>
      <c r="AF32" s="7">
        <v>9</v>
      </c>
      <c r="AG32" s="7">
        <v>9</v>
      </c>
      <c r="AH32" s="3">
        <v>0</v>
      </c>
      <c r="AI32" s="3">
        <v>0</v>
      </c>
      <c r="AJ32" s="3">
        <v>2</v>
      </c>
      <c r="AK32" s="3">
        <v>2</v>
      </c>
      <c r="AL32" s="3">
        <v>1</v>
      </c>
      <c r="AM32" s="3">
        <v>1</v>
      </c>
      <c r="AN32" s="3">
        <v>1</v>
      </c>
      <c r="AO32" s="3">
        <v>1</v>
      </c>
      <c r="AP32" s="3">
        <v>6</v>
      </c>
      <c r="AQ32" s="3">
        <v>6</v>
      </c>
      <c r="AR32" s="2" t="s">
        <v>5</v>
      </c>
      <c r="AS32" s="2" t="s">
        <v>16</v>
      </c>
      <c r="AT32" s="5" t="str">
        <f>HYPERLINK("http://catalog.hathitrust.org/Record/001827027","HathiTrust Record")</f>
        <v>HathiTrust Record</v>
      </c>
      <c r="AU32" s="5" t="str">
        <f>HYPERLINK("https://creighton-primo.hosted.exlibrisgroup.com/primo-explore/search?tab=default_tab&amp;search_scope=EVERYTHING&amp;vid=01CRU&amp;lang=en_US&amp;offset=0&amp;query=any,contains,991001326589702656","Catalog Record")</f>
        <v>Catalog Record</v>
      </c>
      <c r="AV32" s="5" t="str">
        <f>HYPERLINK("http://www.worldcat.org/oclc/18290006","WorldCat Record")</f>
        <v>WorldCat Record</v>
      </c>
      <c r="AW32" s="2" t="s">
        <v>446</v>
      </c>
      <c r="AX32" s="2" t="s">
        <v>447</v>
      </c>
      <c r="AY32" s="2" t="s">
        <v>448</v>
      </c>
      <c r="AZ32" s="2" t="s">
        <v>448</v>
      </c>
      <c r="BA32" s="2" t="s">
        <v>449</v>
      </c>
      <c r="BB32" s="2" t="s">
        <v>21</v>
      </c>
      <c r="BD32" s="2" t="s">
        <v>450</v>
      </c>
      <c r="BE32" s="2" t="s">
        <v>451</v>
      </c>
      <c r="BF32" s="2" t="s">
        <v>452</v>
      </c>
    </row>
    <row r="33" spans="1:58" ht="39.75" customHeight="1" x14ac:dyDescent="0.25">
      <c r="A33" s="1"/>
      <c r="B33" s="1" t="s">
        <v>0</v>
      </c>
      <c r="C33" s="1" t="s">
        <v>1</v>
      </c>
      <c r="D33" s="1" t="s">
        <v>453</v>
      </c>
      <c r="E33" s="1" t="s">
        <v>454</v>
      </c>
      <c r="F33" s="1" t="s">
        <v>455</v>
      </c>
      <c r="H33" s="2" t="s">
        <v>5</v>
      </c>
      <c r="I33" s="2" t="s">
        <v>6</v>
      </c>
      <c r="J33" s="2" t="s">
        <v>5</v>
      </c>
      <c r="K33" s="2" t="s">
        <v>5</v>
      </c>
      <c r="L33" s="2" t="s">
        <v>7</v>
      </c>
      <c r="M33" s="1" t="s">
        <v>456</v>
      </c>
      <c r="N33" s="1" t="s">
        <v>457</v>
      </c>
      <c r="O33" s="2" t="s">
        <v>458</v>
      </c>
      <c r="Q33" s="2" t="s">
        <v>11</v>
      </c>
      <c r="R33" s="2" t="s">
        <v>30</v>
      </c>
      <c r="T33" s="2" t="s">
        <v>13</v>
      </c>
      <c r="U33" s="3">
        <v>2</v>
      </c>
      <c r="V33" s="3">
        <v>2</v>
      </c>
      <c r="W33" s="4" t="s">
        <v>459</v>
      </c>
      <c r="X33" s="4" t="s">
        <v>459</v>
      </c>
      <c r="Y33" s="4" t="s">
        <v>460</v>
      </c>
      <c r="Z33" s="4" t="s">
        <v>460</v>
      </c>
      <c r="AA33" s="3">
        <v>354</v>
      </c>
      <c r="AB33" s="3">
        <v>248</v>
      </c>
      <c r="AC33" s="3">
        <v>255</v>
      </c>
      <c r="AD33" s="3">
        <v>3</v>
      </c>
      <c r="AE33" s="7">
        <v>3</v>
      </c>
      <c r="AF33" s="7">
        <v>14</v>
      </c>
      <c r="AG33" s="7">
        <v>14</v>
      </c>
      <c r="AH33" s="3">
        <v>2</v>
      </c>
      <c r="AI33" s="3">
        <v>2</v>
      </c>
      <c r="AJ33" s="3">
        <v>3</v>
      </c>
      <c r="AK33" s="3">
        <v>3</v>
      </c>
      <c r="AL33" s="3">
        <v>6</v>
      </c>
      <c r="AM33" s="3">
        <v>6</v>
      </c>
      <c r="AN33" s="3">
        <v>1</v>
      </c>
      <c r="AO33" s="3">
        <v>1</v>
      </c>
      <c r="AP33" s="3">
        <v>3</v>
      </c>
      <c r="AQ33" s="3">
        <v>3</v>
      </c>
      <c r="AR33" s="2" t="s">
        <v>5</v>
      </c>
      <c r="AS33" s="2" t="s">
        <v>16</v>
      </c>
      <c r="AT33" s="5" t="str">
        <f>HYPERLINK("http://catalog.hathitrust.org/Record/004425814","HathiTrust Record")</f>
        <v>HathiTrust Record</v>
      </c>
      <c r="AU33" s="5" t="str">
        <f>HYPERLINK("https://creighton-primo.hosted.exlibrisgroup.com/primo-explore/search?tab=default_tab&amp;search_scope=EVERYTHING&amp;vid=01CRU&amp;lang=en_US&amp;offset=0&amp;query=any,contains,991002865879702656","Catalog Record")</f>
        <v>Catalog Record</v>
      </c>
      <c r="AV33" s="5" t="str">
        <f>HYPERLINK("http://www.worldcat.org/oclc/495783","WorldCat Record")</f>
        <v>WorldCat Record</v>
      </c>
      <c r="AW33" s="2" t="s">
        <v>461</v>
      </c>
      <c r="AX33" s="2" t="s">
        <v>462</v>
      </c>
      <c r="AY33" s="2" t="s">
        <v>463</v>
      </c>
      <c r="AZ33" s="2" t="s">
        <v>463</v>
      </c>
      <c r="BA33" s="2" t="s">
        <v>464</v>
      </c>
      <c r="BB33" s="2" t="s">
        <v>21</v>
      </c>
      <c r="BD33" s="2" t="s">
        <v>465</v>
      </c>
      <c r="BE33" s="2" t="s">
        <v>466</v>
      </c>
      <c r="BF33" s="2" t="s">
        <v>467</v>
      </c>
    </row>
    <row r="34" spans="1:58" ht="39.75" customHeight="1" x14ac:dyDescent="0.25">
      <c r="A34" s="1"/>
      <c r="B34" s="1" t="s">
        <v>0</v>
      </c>
      <c r="C34" s="1" t="s">
        <v>1</v>
      </c>
      <c r="D34" s="1" t="s">
        <v>468</v>
      </c>
      <c r="E34" s="1" t="s">
        <v>469</v>
      </c>
      <c r="F34" s="1" t="s">
        <v>470</v>
      </c>
      <c r="H34" s="2" t="s">
        <v>5</v>
      </c>
      <c r="I34" s="2" t="s">
        <v>6</v>
      </c>
      <c r="J34" s="2" t="s">
        <v>5</v>
      </c>
      <c r="K34" s="2" t="s">
        <v>5</v>
      </c>
      <c r="L34" s="2" t="s">
        <v>7</v>
      </c>
      <c r="N34" s="1" t="s">
        <v>471</v>
      </c>
      <c r="O34" s="2" t="s">
        <v>472</v>
      </c>
      <c r="Q34" s="2" t="s">
        <v>11</v>
      </c>
      <c r="R34" s="2" t="s">
        <v>76</v>
      </c>
      <c r="T34" s="2" t="s">
        <v>13</v>
      </c>
      <c r="U34" s="3">
        <v>3</v>
      </c>
      <c r="V34" s="3">
        <v>3</v>
      </c>
      <c r="W34" s="4" t="s">
        <v>473</v>
      </c>
      <c r="X34" s="4" t="s">
        <v>473</v>
      </c>
      <c r="Y34" s="4" t="s">
        <v>15</v>
      </c>
      <c r="Z34" s="4" t="s">
        <v>15</v>
      </c>
      <c r="AA34" s="3">
        <v>822</v>
      </c>
      <c r="AB34" s="3">
        <v>654</v>
      </c>
      <c r="AC34" s="3">
        <v>654</v>
      </c>
      <c r="AD34" s="3">
        <v>6</v>
      </c>
      <c r="AE34" s="7">
        <v>6</v>
      </c>
      <c r="AF34" s="7">
        <v>54</v>
      </c>
      <c r="AG34" s="7">
        <v>54</v>
      </c>
      <c r="AH34" s="3">
        <v>16</v>
      </c>
      <c r="AI34" s="3">
        <v>16</v>
      </c>
      <c r="AJ34" s="3">
        <v>8</v>
      </c>
      <c r="AK34" s="3">
        <v>8</v>
      </c>
      <c r="AL34" s="3">
        <v>17</v>
      </c>
      <c r="AM34" s="3">
        <v>17</v>
      </c>
      <c r="AN34" s="3">
        <v>4</v>
      </c>
      <c r="AO34" s="3">
        <v>4</v>
      </c>
      <c r="AP34" s="3">
        <v>20</v>
      </c>
      <c r="AQ34" s="3">
        <v>20</v>
      </c>
      <c r="AR34" s="2" t="s">
        <v>5</v>
      </c>
      <c r="AS34" s="2" t="s">
        <v>5</v>
      </c>
      <c r="AU34" s="5" t="str">
        <f>HYPERLINK("https://creighton-primo.hosted.exlibrisgroup.com/primo-explore/search?tab=default_tab&amp;search_scope=EVERYTHING&amp;vid=01CRU&amp;lang=en_US&amp;offset=0&amp;query=any,contains,991005117749702656","Catalog Record")</f>
        <v>Catalog Record</v>
      </c>
      <c r="AV34" s="5" t="str">
        <f>HYPERLINK("http://www.worldcat.org/oclc/7464593","WorldCat Record")</f>
        <v>WorldCat Record</v>
      </c>
      <c r="AW34" s="2" t="s">
        <v>474</v>
      </c>
      <c r="AX34" s="2" t="s">
        <v>475</v>
      </c>
      <c r="AY34" s="2" t="s">
        <v>476</v>
      </c>
      <c r="AZ34" s="2" t="s">
        <v>476</v>
      </c>
      <c r="BA34" s="2" t="s">
        <v>477</v>
      </c>
      <c r="BB34" s="2" t="s">
        <v>21</v>
      </c>
      <c r="BD34" s="2" t="s">
        <v>478</v>
      </c>
      <c r="BE34" s="2" t="s">
        <v>479</v>
      </c>
      <c r="BF34" s="2" t="s">
        <v>480</v>
      </c>
    </row>
    <row r="35" spans="1:58" ht="39.75" customHeight="1" x14ac:dyDescent="0.25">
      <c r="A35" s="1"/>
      <c r="B35" s="1" t="s">
        <v>0</v>
      </c>
      <c r="C35" s="1" t="s">
        <v>1</v>
      </c>
      <c r="D35" s="1" t="s">
        <v>481</v>
      </c>
      <c r="E35" s="1" t="s">
        <v>482</v>
      </c>
      <c r="F35" s="1" t="s">
        <v>483</v>
      </c>
      <c r="H35" s="2" t="s">
        <v>5</v>
      </c>
      <c r="I35" s="2" t="s">
        <v>6</v>
      </c>
      <c r="J35" s="2" t="s">
        <v>5</v>
      </c>
      <c r="K35" s="2" t="s">
        <v>5</v>
      </c>
      <c r="L35" s="2" t="s">
        <v>7</v>
      </c>
      <c r="M35" s="1" t="s">
        <v>484</v>
      </c>
      <c r="N35" s="1" t="s">
        <v>485</v>
      </c>
      <c r="O35" s="2" t="s">
        <v>486</v>
      </c>
      <c r="Q35" s="2" t="s">
        <v>11</v>
      </c>
      <c r="R35" s="2" t="s">
        <v>30</v>
      </c>
      <c r="T35" s="2" t="s">
        <v>13</v>
      </c>
      <c r="U35" s="3">
        <v>1</v>
      </c>
      <c r="V35" s="3">
        <v>1</v>
      </c>
      <c r="W35" s="4" t="s">
        <v>459</v>
      </c>
      <c r="X35" s="4" t="s">
        <v>459</v>
      </c>
      <c r="Y35" s="4" t="s">
        <v>487</v>
      </c>
      <c r="Z35" s="4" t="s">
        <v>487</v>
      </c>
      <c r="AA35" s="3">
        <v>423</v>
      </c>
      <c r="AB35" s="3">
        <v>263</v>
      </c>
      <c r="AC35" s="3">
        <v>289</v>
      </c>
      <c r="AD35" s="3">
        <v>2</v>
      </c>
      <c r="AE35" s="7">
        <v>2</v>
      </c>
      <c r="AF35" s="7">
        <v>22</v>
      </c>
      <c r="AG35" s="7">
        <v>23</v>
      </c>
      <c r="AH35" s="3">
        <v>2</v>
      </c>
      <c r="AI35" s="3">
        <v>2</v>
      </c>
      <c r="AJ35" s="3">
        <v>2</v>
      </c>
      <c r="AK35" s="3">
        <v>2</v>
      </c>
      <c r="AL35" s="3">
        <v>2</v>
      </c>
      <c r="AM35" s="3">
        <v>2</v>
      </c>
      <c r="AN35" s="3">
        <v>0</v>
      </c>
      <c r="AO35" s="3">
        <v>0</v>
      </c>
      <c r="AP35" s="3">
        <v>17</v>
      </c>
      <c r="AQ35" s="3">
        <v>18</v>
      </c>
      <c r="AR35" s="2" t="s">
        <v>5</v>
      </c>
      <c r="AS35" s="2" t="s">
        <v>16</v>
      </c>
      <c r="AT35" s="5" t="str">
        <f>HYPERLINK("http://catalog.hathitrust.org/Record/000114540","HathiTrust Record")</f>
        <v>HathiTrust Record</v>
      </c>
      <c r="AU35" s="5" t="str">
        <f>HYPERLINK("https://creighton-primo.hosted.exlibrisgroup.com/primo-explore/search?tab=default_tab&amp;search_scope=EVERYTHING&amp;vid=01CRU&amp;lang=en_US&amp;offset=0&amp;query=any,contains,991000260959702656","Catalog Record")</f>
        <v>Catalog Record</v>
      </c>
      <c r="AV35" s="5" t="str">
        <f>HYPERLINK("http://www.worldcat.org/oclc/9815183","WorldCat Record")</f>
        <v>WorldCat Record</v>
      </c>
      <c r="AW35" s="2" t="s">
        <v>488</v>
      </c>
      <c r="AX35" s="2" t="s">
        <v>489</v>
      </c>
      <c r="AY35" s="2" t="s">
        <v>490</v>
      </c>
      <c r="AZ35" s="2" t="s">
        <v>490</v>
      </c>
      <c r="BA35" s="2" t="s">
        <v>491</v>
      </c>
      <c r="BB35" s="2" t="s">
        <v>21</v>
      </c>
      <c r="BD35" s="2" t="s">
        <v>492</v>
      </c>
      <c r="BE35" s="2" t="s">
        <v>493</v>
      </c>
      <c r="BF35" s="2" t="s">
        <v>494</v>
      </c>
    </row>
    <row r="36" spans="1:58" ht="39.75" customHeight="1" x14ac:dyDescent="0.25">
      <c r="A36" s="1"/>
      <c r="B36" s="1" t="s">
        <v>0</v>
      </c>
      <c r="C36" s="1" t="s">
        <v>1</v>
      </c>
      <c r="D36" s="1" t="s">
        <v>495</v>
      </c>
      <c r="E36" s="1" t="s">
        <v>496</v>
      </c>
      <c r="F36" s="1" t="s">
        <v>497</v>
      </c>
      <c r="H36" s="2" t="s">
        <v>5</v>
      </c>
      <c r="I36" s="2" t="s">
        <v>6</v>
      </c>
      <c r="J36" s="2" t="s">
        <v>5</v>
      </c>
      <c r="K36" s="2" t="s">
        <v>5</v>
      </c>
      <c r="L36" s="2" t="s">
        <v>7</v>
      </c>
      <c r="M36" s="1" t="s">
        <v>498</v>
      </c>
      <c r="N36" s="1" t="s">
        <v>499</v>
      </c>
      <c r="O36" s="2" t="s">
        <v>500</v>
      </c>
      <c r="Q36" s="2" t="s">
        <v>11</v>
      </c>
      <c r="R36" s="2" t="s">
        <v>501</v>
      </c>
      <c r="T36" s="2" t="s">
        <v>13</v>
      </c>
      <c r="U36" s="3">
        <v>2</v>
      </c>
      <c r="V36" s="3">
        <v>2</v>
      </c>
      <c r="W36" s="4" t="s">
        <v>502</v>
      </c>
      <c r="X36" s="4" t="s">
        <v>502</v>
      </c>
      <c r="Y36" s="4" t="s">
        <v>503</v>
      </c>
      <c r="Z36" s="4" t="s">
        <v>503</v>
      </c>
      <c r="AA36" s="3">
        <v>537</v>
      </c>
      <c r="AB36" s="3">
        <v>485</v>
      </c>
      <c r="AC36" s="3">
        <v>1255</v>
      </c>
      <c r="AD36" s="3">
        <v>4</v>
      </c>
      <c r="AE36" s="7">
        <v>7</v>
      </c>
      <c r="AF36" s="7">
        <v>27</v>
      </c>
      <c r="AG36" s="7">
        <v>38</v>
      </c>
      <c r="AH36" s="3">
        <v>6</v>
      </c>
      <c r="AI36" s="3">
        <v>12</v>
      </c>
      <c r="AJ36" s="3">
        <v>3</v>
      </c>
      <c r="AK36" s="3">
        <v>5</v>
      </c>
      <c r="AL36" s="3">
        <v>8</v>
      </c>
      <c r="AM36" s="3">
        <v>13</v>
      </c>
      <c r="AN36" s="3">
        <v>2</v>
      </c>
      <c r="AO36" s="3">
        <v>4</v>
      </c>
      <c r="AP36" s="3">
        <v>11</v>
      </c>
      <c r="AQ36" s="3">
        <v>11</v>
      </c>
      <c r="AR36" s="2" t="s">
        <v>5</v>
      </c>
      <c r="AS36" s="2" t="s">
        <v>16</v>
      </c>
      <c r="AT36" s="5" t="str">
        <f>HYPERLINK("http://catalog.hathitrust.org/Record/000176753","HathiTrust Record")</f>
        <v>HathiTrust Record</v>
      </c>
      <c r="AU36" s="5" t="str">
        <f>HYPERLINK("https://creighton-primo.hosted.exlibrisgroup.com/primo-explore/search?tab=default_tab&amp;search_scope=EVERYTHING&amp;vid=01CRU&amp;lang=en_US&amp;offset=0&amp;query=any,contains,991005265959702656","Catalog Record")</f>
        <v>Catalog Record</v>
      </c>
      <c r="AV36" s="5" t="str">
        <f>HYPERLINK("http://www.worldcat.org/oclc/4004709","WorldCat Record")</f>
        <v>WorldCat Record</v>
      </c>
      <c r="AW36" s="2" t="s">
        <v>504</v>
      </c>
      <c r="AX36" s="2" t="s">
        <v>505</v>
      </c>
      <c r="AY36" s="2" t="s">
        <v>506</v>
      </c>
      <c r="AZ36" s="2" t="s">
        <v>506</v>
      </c>
      <c r="BA36" s="2" t="s">
        <v>507</v>
      </c>
      <c r="BB36" s="2" t="s">
        <v>21</v>
      </c>
      <c r="BD36" s="2" t="s">
        <v>508</v>
      </c>
      <c r="BE36" s="2" t="s">
        <v>509</v>
      </c>
      <c r="BF36" s="2" t="s">
        <v>510</v>
      </c>
    </row>
    <row r="37" spans="1:58" ht="39.75" customHeight="1" x14ac:dyDescent="0.25">
      <c r="A37" s="1"/>
      <c r="B37" s="1" t="s">
        <v>0</v>
      </c>
      <c r="C37" s="1" t="s">
        <v>1</v>
      </c>
      <c r="D37" s="1" t="s">
        <v>511</v>
      </c>
      <c r="E37" s="1" t="s">
        <v>512</v>
      </c>
      <c r="F37" s="1" t="s">
        <v>513</v>
      </c>
      <c r="H37" s="2" t="s">
        <v>5</v>
      </c>
      <c r="I37" s="2" t="s">
        <v>6</v>
      </c>
      <c r="J37" s="2" t="s">
        <v>5</v>
      </c>
      <c r="K37" s="2" t="s">
        <v>5</v>
      </c>
      <c r="L37" s="2" t="s">
        <v>7</v>
      </c>
      <c r="M37" s="1" t="s">
        <v>514</v>
      </c>
      <c r="N37" s="1" t="s">
        <v>515</v>
      </c>
      <c r="O37" s="2" t="s">
        <v>516</v>
      </c>
      <c r="Q37" s="2" t="s">
        <v>11</v>
      </c>
      <c r="R37" s="2" t="s">
        <v>62</v>
      </c>
      <c r="S37" s="1" t="s">
        <v>517</v>
      </c>
      <c r="T37" s="2" t="s">
        <v>13</v>
      </c>
      <c r="U37" s="3">
        <v>2</v>
      </c>
      <c r="V37" s="3">
        <v>2</v>
      </c>
      <c r="W37" s="4" t="s">
        <v>518</v>
      </c>
      <c r="X37" s="4" t="s">
        <v>518</v>
      </c>
      <c r="Y37" s="4" t="s">
        <v>32</v>
      </c>
      <c r="Z37" s="4" t="s">
        <v>32</v>
      </c>
      <c r="AA37" s="3">
        <v>206</v>
      </c>
      <c r="AB37" s="3">
        <v>182</v>
      </c>
      <c r="AC37" s="3">
        <v>220</v>
      </c>
      <c r="AD37" s="3">
        <v>1</v>
      </c>
      <c r="AE37" s="7">
        <v>1</v>
      </c>
      <c r="AF37" s="7">
        <v>8</v>
      </c>
      <c r="AG37" s="7">
        <v>11</v>
      </c>
      <c r="AH37" s="3">
        <v>0</v>
      </c>
      <c r="AI37" s="3">
        <v>1</v>
      </c>
      <c r="AJ37" s="3">
        <v>1</v>
      </c>
      <c r="AK37" s="3">
        <v>2</v>
      </c>
      <c r="AL37" s="3">
        <v>4</v>
      </c>
      <c r="AM37" s="3">
        <v>6</v>
      </c>
      <c r="AN37" s="3">
        <v>0</v>
      </c>
      <c r="AO37" s="3">
        <v>0</v>
      </c>
      <c r="AP37" s="3">
        <v>3</v>
      </c>
      <c r="AQ37" s="3">
        <v>3</v>
      </c>
      <c r="AR37" s="2" t="s">
        <v>5</v>
      </c>
      <c r="AS37" s="2" t="s">
        <v>5</v>
      </c>
      <c r="AU37" s="5" t="str">
        <f>HYPERLINK("https://creighton-primo.hosted.exlibrisgroup.com/primo-explore/search?tab=default_tab&amp;search_scope=EVERYTHING&amp;vid=01CRU&amp;lang=en_US&amp;offset=0&amp;query=any,contains,991000962969702656","Catalog Record")</f>
        <v>Catalog Record</v>
      </c>
      <c r="AV37" s="5" t="str">
        <f>HYPERLINK("http://www.worldcat.org/oclc/169747","WorldCat Record")</f>
        <v>WorldCat Record</v>
      </c>
      <c r="AW37" s="2" t="s">
        <v>519</v>
      </c>
      <c r="AX37" s="2" t="s">
        <v>520</v>
      </c>
      <c r="AY37" s="2" t="s">
        <v>521</v>
      </c>
      <c r="AZ37" s="2" t="s">
        <v>521</v>
      </c>
      <c r="BA37" s="2" t="s">
        <v>522</v>
      </c>
      <c r="BB37" s="2" t="s">
        <v>21</v>
      </c>
      <c r="BE37" s="2" t="s">
        <v>523</v>
      </c>
      <c r="BF37" s="2" t="s">
        <v>524</v>
      </c>
    </row>
    <row r="38" spans="1:58" ht="39.75" customHeight="1" x14ac:dyDescent="0.25">
      <c r="A38" s="1"/>
      <c r="B38" s="1" t="s">
        <v>0</v>
      </c>
      <c r="C38" s="1" t="s">
        <v>1</v>
      </c>
      <c r="D38" s="1" t="s">
        <v>525</v>
      </c>
      <c r="E38" s="1" t="s">
        <v>526</v>
      </c>
      <c r="F38" s="1" t="s">
        <v>527</v>
      </c>
      <c r="H38" s="2" t="s">
        <v>5</v>
      </c>
      <c r="I38" s="2" t="s">
        <v>6</v>
      </c>
      <c r="J38" s="2" t="s">
        <v>5</v>
      </c>
      <c r="K38" s="2" t="s">
        <v>5</v>
      </c>
      <c r="L38" s="2" t="s">
        <v>7</v>
      </c>
      <c r="M38" s="1" t="s">
        <v>528</v>
      </c>
      <c r="N38" s="1" t="s">
        <v>529</v>
      </c>
      <c r="O38" s="2" t="s">
        <v>530</v>
      </c>
      <c r="Q38" s="2" t="s">
        <v>11</v>
      </c>
      <c r="R38" s="2" t="s">
        <v>138</v>
      </c>
      <c r="S38" s="1" t="s">
        <v>531</v>
      </c>
      <c r="T38" s="2" t="s">
        <v>13</v>
      </c>
      <c r="U38" s="3">
        <v>3</v>
      </c>
      <c r="V38" s="3">
        <v>3</v>
      </c>
      <c r="W38" s="4" t="s">
        <v>518</v>
      </c>
      <c r="X38" s="4" t="s">
        <v>518</v>
      </c>
      <c r="Y38" s="4" t="s">
        <v>32</v>
      </c>
      <c r="Z38" s="4" t="s">
        <v>32</v>
      </c>
      <c r="AA38" s="3">
        <v>334</v>
      </c>
      <c r="AB38" s="3">
        <v>216</v>
      </c>
      <c r="AC38" s="3">
        <v>230</v>
      </c>
      <c r="AD38" s="3">
        <v>1</v>
      </c>
      <c r="AE38" s="7">
        <v>1</v>
      </c>
      <c r="AF38" s="7">
        <v>23</v>
      </c>
      <c r="AG38" s="7">
        <v>24</v>
      </c>
      <c r="AH38" s="3">
        <v>1</v>
      </c>
      <c r="AI38" s="3">
        <v>2</v>
      </c>
      <c r="AJ38" s="3">
        <v>2</v>
      </c>
      <c r="AK38" s="3">
        <v>2</v>
      </c>
      <c r="AL38" s="3">
        <v>7</v>
      </c>
      <c r="AM38" s="3">
        <v>8</v>
      </c>
      <c r="AN38" s="3">
        <v>0</v>
      </c>
      <c r="AO38" s="3">
        <v>0</v>
      </c>
      <c r="AP38" s="3">
        <v>16</v>
      </c>
      <c r="AQ38" s="3">
        <v>16</v>
      </c>
      <c r="AR38" s="2" t="s">
        <v>5</v>
      </c>
      <c r="AS38" s="2" t="s">
        <v>5</v>
      </c>
      <c r="AU38" s="5" t="str">
        <f>HYPERLINK("https://creighton-primo.hosted.exlibrisgroup.com/primo-explore/search?tab=default_tab&amp;search_scope=EVERYTHING&amp;vid=01CRU&amp;lang=en_US&amp;offset=0&amp;query=any,contains,991000806559702656","Catalog Record")</f>
        <v>Catalog Record</v>
      </c>
      <c r="AV38" s="5" t="str">
        <f>HYPERLINK("http://www.worldcat.org/oclc/13302714","WorldCat Record")</f>
        <v>WorldCat Record</v>
      </c>
      <c r="AW38" s="2" t="s">
        <v>532</v>
      </c>
      <c r="AX38" s="2" t="s">
        <v>533</v>
      </c>
      <c r="AY38" s="2" t="s">
        <v>534</v>
      </c>
      <c r="AZ38" s="2" t="s">
        <v>534</v>
      </c>
      <c r="BA38" s="2" t="s">
        <v>535</v>
      </c>
      <c r="BB38" s="2" t="s">
        <v>21</v>
      </c>
      <c r="BD38" s="2" t="s">
        <v>536</v>
      </c>
      <c r="BE38" s="2" t="s">
        <v>537</v>
      </c>
      <c r="BF38" s="2" t="s">
        <v>538</v>
      </c>
    </row>
    <row r="39" spans="1:58" ht="39.75" customHeight="1" x14ac:dyDescent="0.25">
      <c r="A39" s="1"/>
      <c r="B39" s="1" t="s">
        <v>0</v>
      </c>
      <c r="C39" s="1" t="s">
        <v>1</v>
      </c>
      <c r="D39" s="1" t="s">
        <v>539</v>
      </c>
      <c r="E39" s="1" t="s">
        <v>540</v>
      </c>
      <c r="F39" s="1" t="s">
        <v>541</v>
      </c>
      <c r="H39" s="2" t="s">
        <v>5</v>
      </c>
      <c r="I39" s="2" t="s">
        <v>6</v>
      </c>
      <c r="J39" s="2" t="s">
        <v>5</v>
      </c>
      <c r="K39" s="2" t="s">
        <v>5</v>
      </c>
      <c r="L39" s="2" t="s">
        <v>7</v>
      </c>
      <c r="N39" s="1" t="s">
        <v>542</v>
      </c>
      <c r="O39" s="2" t="s">
        <v>275</v>
      </c>
      <c r="Q39" s="2" t="s">
        <v>11</v>
      </c>
      <c r="R39" s="2" t="s">
        <v>543</v>
      </c>
      <c r="S39" s="1" t="s">
        <v>544</v>
      </c>
      <c r="T39" s="2" t="s">
        <v>13</v>
      </c>
      <c r="U39" s="3">
        <v>4</v>
      </c>
      <c r="V39" s="3">
        <v>4</v>
      </c>
      <c r="W39" s="4" t="s">
        <v>545</v>
      </c>
      <c r="X39" s="4" t="s">
        <v>545</v>
      </c>
      <c r="Y39" s="4" t="s">
        <v>15</v>
      </c>
      <c r="Z39" s="4" t="s">
        <v>15</v>
      </c>
      <c r="AA39" s="3">
        <v>394</v>
      </c>
      <c r="AB39" s="3">
        <v>317</v>
      </c>
      <c r="AC39" s="3">
        <v>324</v>
      </c>
      <c r="AD39" s="3">
        <v>3</v>
      </c>
      <c r="AE39" s="7">
        <v>3</v>
      </c>
      <c r="AF39" s="7">
        <v>18</v>
      </c>
      <c r="AG39" s="7">
        <v>19</v>
      </c>
      <c r="AH39" s="3">
        <v>2</v>
      </c>
      <c r="AI39" s="3">
        <v>2</v>
      </c>
      <c r="AJ39" s="3">
        <v>2</v>
      </c>
      <c r="AK39" s="3">
        <v>3</v>
      </c>
      <c r="AL39" s="3">
        <v>5</v>
      </c>
      <c r="AM39" s="3">
        <v>6</v>
      </c>
      <c r="AN39" s="3">
        <v>2</v>
      </c>
      <c r="AO39" s="3">
        <v>2</v>
      </c>
      <c r="AP39" s="3">
        <v>9</v>
      </c>
      <c r="AQ39" s="3">
        <v>9</v>
      </c>
      <c r="AR39" s="2" t="s">
        <v>5</v>
      </c>
      <c r="AS39" s="2" t="s">
        <v>16</v>
      </c>
      <c r="AT39" s="5" t="str">
        <f>HYPERLINK("http://catalog.hathitrust.org/Record/000021979","HathiTrust Record")</f>
        <v>HathiTrust Record</v>
      </c>
      <c r="AU39" s="5" t="str">
        <f>HYPERLINK("https://creighton-primo.hosted.exlibrisgroup.com/primo-explore/search?tab=default_tab&amp;search_scope=EVERYTHING&amp;vid=01CRU&amp;lang=en_US&amp;offset=0&amp;query=any,contains,991004871549702656","Catalog Record")</f>
        <v>Catalog Record</v>
      </c>
      <c r="AV39" s="5" t="str">
        <f>HYPERLINK("http://www.worldcat.org/oclc/5757576","WorldCat Record")</f>
        <v>WorldCat Record</v>
      </c>
      <c r="AW39" s="2" t="s">
        <v>546</v>
      </c>
      <c r="AX39" s="2" t="s">
        <v>547</v>
      </c>
      <c r="AY39" s="2" t="s">
        <v>548</v>
      </c>
      <c r="AZ39" s="2" t="s">
        <v>548</v>
      </c>
      <c r="BA39" s="2" t="s">
        <v>549</v>
      </c>
      <c r="BB39" s="2" t="s">
        <v>21</v>
      </c>
      <c r="BD39" s="2" t="s">
        <v>550</v>
      </c>
      <c r="BE39" s="2" t="s">
        <v>551</v>
      </c>
      <c r="BF39" s="2" t="s">
        <v>552</v>
      </c>
    </row>
    <row r="40" spans="1:58" ht="39.75" customHeight="1" x14ac:dyDescent="0.25">
      <c r="A40" s="1"/>
      <c r="B40" s="1" t="s">
        <v>0</v>
      </c>
      <c r="C40" s="1" t="s">
        <v>1</v>
      </c>
      <c r="D40" s="1" t="s">
        <v>553</v>
      </c>
      <c r="E40" s="1" t="s">
        <v>554</v>
      </c>
      <c r="F40" s="1" t="s">
        <v>555</v>
      </c>
      <c r="H40" s="2" t="s">
        <v>5</v>
      </c>
      <c r="I40" s="2" t="s">
        <v>6</v>
      </c>
      <c r="J40" s="2" t="s">
        <v>16</v>
      </c>
      <c r="K40" s="2" t="s">
        <v>5</v>
      </c>
      <c r="L40" s="2" t="s">
        <v>7</v>
      </c>
      <c r="M40" s="1" t="s">
        <v>556</v>
      </c>
      <c r="N40" s="1" t="s">
        <v>557</v>
      </c>
      <c r="O40" s="2" t="s">
        <v>152</v>
      </c>
      <c r="Q40" s="2" t="s">
        <v>11</v>
      </c>
      <c r="R40" s="2" t="s">
        <v>30</v>
      </c>
      <c r="T40" s="2" t="s">
        <v>13</v>
      </c>
      <c r="U40" s="3">
        <v>11</v>
      </c>
      <c r="V40" s="3">
        <v>11</v>
      </c>
      <c r="W40" s="4" t="s">
        <v>558</v>
      </c>
      <c r="X40" s="4" t="s">
        <v>558</v>
      </c>
      <c r="Y40" s="4" t="s">
        <v>559</v>
      </c>
      <c r="Z40" s="4" t="s">
        <v>560</v>
      </c>
      <c r="AA40" s="3">
        <v>390</v>
      </c>
      <c r="AB40" s="3">
        <v>274</v>
      </c>
      <c r="AC40" s="3">
        <v>276</v>
      </c>
      <c r="AD40" s="3">
        <v>3</v>
      </c>
      <c r="AE40" s="7">
        <v>3</v>
      </c>
      <c r="AF40" s="7">
        <v>23</v>
      </c>
      <c r="AG40" s="7">
        <v>23</v>
      </c>
      <c r="AH40" s="3">
        <v>2</v>
      </c>
      <c r="AI40" s="3">
        <v>2</v>
      </c>
      <c r="AJ40" s="3">
        <v>3</v>
      </c>
      <c r="AK40" s="3">
        <v>3</v>
      </c>
      <c r="AL40" s="3">
        <v>9</v>
      </c>
      <c r="AM40" s="3">
        <v>9</v>
      </c>
      <c r="AN40" s="3">
        <v>1</v>
      </c>
      <c r="AO40" s="3">
        <v>1</v>
      </c>
      <c r="AP40" s="3">
        <v>11</v>
      </c>
      <c r="AQ40" s="3">
        <v>11</v>
      </c>
      <c r="AR40" s="2" t="s">
        <v>5</v>
      </c>
      <c r="AS40" s="2" t="s">
        <v>16</v>
      </c>
      <c r="AT40" s="5" t="str">
        <f>HYPERLINK("http://catalog.hathitrust.org/Record/002219872","HathiTrust Record")</f>
        <v>HathiTrust Record</v>
      </c>
      <c r="AU40" s="5" t="str">
        <f>HYPERLINK("https://creighton-primo.hosted.exlibrisgroup.com/primo-explore/search?tab=default_tab&amp;search_scope=EVERYTHING&amp;vid=01CRU&amp;lang=en_US&amp;offset=0&amp;query=any,contains,991001645149702656","Catalog Record")</f>
        <v>Catalog Record</v>
      </c>
      <c r="AV40" s="5" t="str">
        <f>HYPERLINK("http://www.worldcat.org/oclc/21375652","WorldCat Record")</f>
        <v>WorldCat Record</v>
      </c>
      <c r="AW40" s="2" t="s">
        <v>561</v>
      </c>
      <c r="AX40" s="2" t="s">
        <v>562</v>
      </c>
      <c r="AY40" s="2" t="s">
        <v>563</v>
      </c>
      <c r="AZ40" s="2" t="s">
        <v>563</v>
      </c>
      <c r="BA40" s="2" t="s">
        <v>564</v>
      </c>
      <c r="BB40" s="2" t="s">
        <v>21</v>
      </c>
      <c r="BD40" s="2" t="s">
        <v>565</v>
      </c>
      <c r="BE40" s="2" t="s">
        <v>566</v>
      </c>
      <c r="BF40" s="2" t="s">
        <v>567</v>
      </c>
    </row>
    <row r="41" spans="1:58" ht="39.75" customHeight="1" x14ac:dyDescent="0.25">
      <c r="A41" s="1"/>
      <c r="B41" s="1" t="s">
        <v>0</v>
      </c>
      <c r="C41" s="1" t="s">
        <v>1</v>
      </c>
      <c r="D41" s="1" t="s">
        <v>568</v>
      </c>
      <c r="E41" s="1" t="s">
        <v>569</v>
      </c>
      <c r="F41" s="1" t="s">
        <v>570</v>
      </c>
      <c r="H41" s="2" t="s">
        <v>5</v>
      </c>
      <c r="I41" s="2" t="s">
        <v>6</v>
      </c>
      <c r="J41" s="2" t="s">
        <v>5</v>
      </c>
      <c r="K41" s="2" t="s">
        <v>5</v>
      </c>
      <c r="L41" s="2" t="s">
        <v>7</v>
      </c>
      <c r="M41" s="1" t="s">
        <v>571</v>
      </c>
      <c r="N41" s="1" t="s">
        <v>572</v>
      </c>
      <c r="O41" s="2" t="s">
        <v>213</v>
      </c>
      <c r="Q41" s="2" t="s">
        <v>11</v>
      </c>
      <c r="R41" s="2" t="s">
        <v>76</v>
      </c>
      <c r="S41" s="1" t="s">
        <v>573</v>
      </c>
      <c r="T41" s="2" t="s">
        <v>13</v>
      </c>
      <c r="U41" s="3">
        <v>1</v>
      </c>
      <c r="V41" s="3">
        <v>1</v>
      </c>
      <c r="W41" s="4" t="s">
        <v>574</v>
      </c>
      <c r="X41" s="4" t="s">
        <v>574</v>
      </c>
      <c r="Y41" s="4" t="s">
        <v>32</v>
      </c>
      <c r="Z41" s="4" t="s">
        <v>32</v>
      </c>
      <c r="AA41" s="3">
        <v>663</v>
      </c>
      <c r="AB41" s="3">
        <v>610</v>
      </c>
      <c r="AC41" s="3">
        <v>920</v>
      </c>
      <c r="AD41" s="3">
        <v>6</v>
      </c>
      <c r="AE41" s="7">
        <v>34</v>
      </c>
      <c r="AF41" s="7">
        <v>44</v>
      </c>
      <c r="AG41" s="7">
        <v>56</v>
      </c>
      <c r="AH41" s="3">
        <v>17</v>
      </c>
      <c r="AI41" s="3">
        <v>18</v>
      </c>
      <c r="AJ41" s="3">
        <v>9</v>
      </c>
      <c r="AK41" s="3">
        <v>9</v>
      </c>
      <c r="AL41" s="3">
        <v>18</v>
      </c>
      <c r="AM41" s="3">
        <v>19</v>
      </c>
      <c r="AN41" s="3">
        <v>4</v>
      </c>
      <c r="AO41" s="3">
        <v>14</v>
      </c>
      <c r="AP41" s="3">
        <v>6</v>
      </c>
      <c r="AQ41" s="3">
        <v>6</v>
      </c>
      <c r="AR41" s="2" t="s">
        <v>5</v>
      </c>
      <c r="AS41" s="2" t="s">
        <v>16</v>
      </c>
      <c r="AT41" s="5" t="str">
        <f>HYPERLINK("http://catalog.hathitrust.org/Record/000252621","HathiTrust Record")</f>
        <v>HathiTrust Record</v>
      </c>
      <c r="AU41" s="5" t="str">
        <f>HYPERLINK("https://creighton-primo.hosted.exlibrisgroup.com/primo-explore/search?tab=default_tab&amp;search_scope=EVERYTHING&amp;vid=01CRU&amp;lang=en_US&amp;offset=0&amp;query=any,contains,991004325999702656","Catalog Record")</f>
        <v>Catalog Record</v>
      </c>
      <c r="AV41" s="5" t="str">
        <f>HYPERLINK("http://www.worldcat.org/oclc/3037824","WorldCat Record")</f>
        <v>WorldCat Record</v>
      </c>
      <c r="AW41" s="2" t="s">
        <v>575</v>
      </c>
      <c r="AX41" s="2" t="s">
        <v>576</v>
      </c>
      <c r="AY41" s="2" t="s">
        <v>577</v>
      </c>
      <c r="AZ41" s="2" t="s">
        <v>577</v>
      </c>
      <c r="BA41" s="2" t="s">
        <v>578</v>
      </c>
      <c r="BB41" s="2" t="s">
        <v>21</v>
      </c>
      <c r="BD41" s="2" t="s">
        <v>579</v>
      </c>
      <c r="BE41" s="2" t="s">
        <v>580</v>
      </c>
      <c r="BF41" s="2" t="s">
        <v>581</v>
      </c>
    </row>
    <row r="42" spans="1:58" ht="39.75" customHeight="1" x14ac:dyDescent="0.25">
      <c r="A42" s="1"/>
      <c r="B42" s="1" t="s">
        <v>0</v>
      </c>
      <c r="C42" s="1" t="s">
        <v>1</v>
      </c>
      <c r="D42" s="1" t="s">
        <v>582</v>
      </c>
      <c r="E42" s="1" t="s">
        <v>583</v>
      </c>
      <c r="F42" s="1" t="s">
        <v>584</v>
      </c>
      <c r="H42" s="2" t="s">
        <v>5</v>
      </c>
      <c r="I42" s="2" t="s">
        <v>6</v>
      </c>
      <c r="J42" s="2" t="s">
        <v>5</v>
      </c>
      <c r="K42" s="2" t="s">
        <v>5</v>
      </c>
      <c r="L42" s="2" t="s">
        <v>7</v>
      </c>
      <c r="N42" s="1" t="s">
        <v>585</v>
      </c>
      <c r="O42" s="2" t="s">
        <v>586</v>
      </c>
      <c r="Q42" s="2" t="s">
        <v>11</v>
      </c>
      <c r="R42" s="2" t="s">
        <v>124</v>
      </c>
      <c r="S42" s="1" t="s">
        <v>587</v>
      </c>
      <c r="T42" s="2" t="s">
        <v>13</v>
      </c>
      <c r="U42" s="3">
        <v>5</v>
      </c>
      <c r="V42" s="3">
        <v>5</v>
      </c>
      <c r="W42" s="4" t="s">
        <v>588</v>
      </c>
      <c r="X42" s="4" t="s">
        <v>588</v>
      </c>
      <c r="Y42" s="4" t="s">
        <v>589</v>
      </c>
      <c r="Z42" s="4" t="s">
        <v>589</v>
      </c>
      <c r="AA42" s="3">
        <v>418</v>
      </c>
      <c r="AB42" s="3">
        <v>351</v>
      </c>
      <c r="AC42" s="3">
        <v>602</v>
      </c>
      <c r="AD42" s="3">
        <v>3</v>
      </c>
      <c r="AE42" s="7">
        <v>3</v>
      </c>
      <c r="AF42" s="7">
        <v>25</v>
      </c>
      <c r="AG42" s="7">
        <v>40</v>
      </c>
      <c r="AH42" s="3">
        <v>2</v>
      </c>
      <c r="AI42" s="3">
        <v>11</v>
      </c>
      <c r="AJ42" s="3">
        <v>3</v>
      </c>
      <c r="AK42" s="3">
        <v>8</v>
      </c>
      <c r="AL42" s="3">
        <v>4</v>
      </c>
      <c r="AM42" s="3">
        <v>10</v>
      </c>
      <c r="AN42" s="3">
        <v>1</v>
      </c>
      <c r="AO42" s="3">
        <v>1</v>
      </c>
      <c r="AP42" s="3">
        <v>17</v>
      </c>
      <c r="AQ42" s="3">
        <v>17</v>
      </c>
      <c r="AR42" s="2" t="s">
        <v>5</v>
      </c>
      <c r="AS42" s="2" t="s">
        <v>5</v>
      </c>
      <c r="AU42" s="5" t="str">
        <f>HYPERLINK("https://creighton-primo.hosted.exlibrisgroup.com/primo-explore/search?tab=default_tab&amp;search_scope=EVERYTHING&amp;vid=01CRU&amp;lang=en_US&amp;offset=0&amp;query=any,contains,991002631939702656","Catalog Record")</f>
        <v>Catalog Record</v>
      </c>
      <c r="AV42" s="5" t="str">
        <f>HYPERLINK("http://www.worldcat.org/oclc/34513154","WorldCat Record")</f>
        <v>WorldCat Record</v>
      </c>
      <c r="AW42" s="2" t="s">
        <v>590</v>
      </c>
      <c r="AX42" s="2" t="s">
        <v>591</v>
      </c>
      <c r="AY42" s="2" t="s">
        <v>592</v>
      </c>
      <c r="AZ42" s="2" t="s">
        <v>592</v>
      </c>
      <c r="BA42" s="2" t="s">
        <v>593</v>
      </c>
      <c r="BB42" s="2" t="s">
        <v>21</v>
      </c>
      <c r="BD42" s="2" t="s">
        <v>594</v>
      </c>
      <c r="BE42" s="2" t="s">
        <v>595</v>
      </c>
      <c r="BF42" s="2" t="s">
        <v>596</v>
      </c>
    </row>
    <row r="43" spans="1:58" ht="39.75" customHeight="1" x14ac:dyDescent="0.25">
      <c r="A43" s="1"/>
      <c r="B43" s="1" t="s">
        <v>0</v>
      </c>
      <c r="C43" s="1" t="s">
        <v>1</v>
      </c>
      <c r="D43" s="1" t="s">
        <v>597</v>
      </c>
      <c r="E43" s="1" t="s">
        <v>598</v>
      </c>
      <c r="F43" s="1" t="s">
        <v>599</v>
      </c>
      <c r="H43" s="2" t="s">
        <v>5</v>
      </c>
      <c r="I43" s="2" t="s">
        <v>6</v>
      </c>
      <c r="J43" s="2" t="s">
        <v>5</v>
      </c>
      <c r="K43" s="2" t="s">
        <v>5</v>
      </c>
      <c r="L43" s="2" t="s">
        <v>7</v>
      </c>
      <c r="M43" s="1" t="s">
        <v>600</v>
      </c>
      <c r="N43" s="1" t="s">
        <v>601</v>
      </c>
      <c r="O43" s="2" t="s">
        <v>387</v>
      </c>
      <c r="Q43" s="2" t="s">
        <v>11</v>
      </c>
      <c r="R43" s="2" t="s">
        <v>30</v>
      </c>
      <c r="T43" s="2" t="s">
        <v>13</v>
      </c>
      <c r="U43" s="3">
        <v>11</v>
      </c>
      <c r="V43" s="3">
        <v>11</v>
      </c>
      <c r="W43" s="4" t="s">
        <v>602</v>
      </c>
      <c r="X43" s="4" t="s">
        <v>602</v>
      </c>
      <c r="Y43" s="4" t="s">
        <v>32</v>
      </c>
      <c r="Z43" s="4" t="s">
        <v>32</v>
      </c>
      <c r="AA43" s="3">
        <v>428</v>
      </c>
      <c r="AB43" s="3">
        <v>301</v>
      </c>
      <c r="AC43" s="3">
        <v>306</v>
      </c>
      <c r="AD43" s="3">
        <v>3</v>
      </c>
      <c r="AE43" s="7">
        <v>3</v>
      </c>
      <c r="AF43" s="7">
        <v>25</v>
      </c>
      <c r="AG43" s="7">
        <v>25</v>
      </c>
      <c r="AH43" s="3">
        <v>4</v>
      </c>
      <c r="AI43" s="3">
        <v>4</v>
      </c>
      <c r="AJ43" s="3">
        <v>4</v>
      </c>
      <c r="AK43" s="3">
        <v>4</v>
      </c>
      <c r="AL43" s="3">
        <v>16</v>
      </c>
      <c r="AM43" s="3">
        <v>16</v>
      </c>
      <c r="AN43" s="3">
        <v>1</v>
      </c>
      <c r="AO43" s="3">
        <v>1</v>
      </c>
      <c r="AP43" s="3">
        <v>8</v>
      </c>
      <c r="AQ43" s="3">
        <v>8</v>
      </c>
      <c r="AR43" s="2" t="s">
        <v>5</v>
      </c>
      <c r="AS43" s="2" t="s">
        <v>5</v>
      </c>
      <c r="AU43" s="5" t="str">
        <f>HYPERLINK("https://creighton-primo.hosted.exlibrisgroup.com/primo-explore/search?tab=default_tab&amp;search_scope=EVERYTHING&amp;vid=01CRU&amp;lang=en_US&amp;offset=0&amp;query=any,contains,991000469229702656","Catalog Record")</f>
        <v>Catalog Record</v>
      </c>
      <c r="AV43" s="5" t="str">
        <f>HYPERLINK("http://www.worldcat.org/oclc/10996298","WorldCat Record")</f>
        <v>WorldCat Record</v>
      </c>
      <c r="AW43" s="2" t="s">
        <v>603</v>
      </c>
      <c r="AX43" s="2" t="s">
        <v>604</v>
      </c>
      <c r="AY43" s="2" t="s">
        <v>605</v>
      </c>
      <c r="AZ43" s="2" t="s">
        <v>605</v>
      </c>
      <c r="BA43" s="2" t="s">
        <v>606</v>
      </c>
      <c r="BB43" s="2" t="s">
        <v>21</v>
      </c>
      <c r="BD43" s="2" t="s">
        <v>607</v>
      </c>
      <c r="BE43" s="2" t="s">
        <v>608</v>
      </c>
      <c r="BF43" s="2" t="s">
        <v>609</v>
      </c>
    </row>
    <row r="44" spans="1:58" ht="39.75" customHeight="1" x14ac:dyDescent="0.25">
      <c r="A44" s="1"/>
      <c r="B44" s="1" t="s">
        <v>0</v>
      </c>
      <c r="C44" s="1" t="s">
        <v>1</v>
      </c>
      <c r="D44" s="1" t="s">
        <v>610</v>
      </c>
      <c r="E44" s="1" t="s">
        <v>611</v>
      </c>
      <c r="F44" s="1" t="s">
        <v>612</v>
      </c>
      <c r="H44" s="2" t="s">
        <v>5</v>
      </c>
      <c r="I44" s="2" t="s">
        <v>6</v>
      </c>
      <c r="J44" s="2" t="s">
        <v>5</v>
      </c>
      <c r="K44" s="2" t="s">
        <v>16</v>
      </c>
      <c r="L44" s="2" t="s">
        <v>7</v>
      </c>
      <c r="M44" s="1" t="s">
        <v>613</v>
      </c>
      <c r="N44" s="1" t="s">
        <v>614</v>
      </c>
      <c r="O44" s="2" t="s">
        <v>184</v>
      </c>
      <c r="Q44" s="2" t="s">
        <v>11</v>
      </c>
      <c r="R44" s="2" t="s">
        <v>30</v>
      </c>
      <c r="S44" s="1" t="s">
        <v>615</v>
      </c>
      <c r="T44" s="2" t="s">
        <v>13</v>
      </c>
      <c r="U44" s="3">
        <v>2</v>
      </c>
      <c r="V44" s="3">
        <v>2</v>
      </c>
      <c r="W44" s="4" t="s">
        <v>616</v>
      </c>
      <c r="X44" s="4" t="s">
        <v>616</v>
      </c>
      <c r="Y44" s="4" t="s">
        <v>32</v>
      </c>
      <c r="Z44" s="4" t="s">
        <v>32</v>
      </c>
      <c r="AA44" s="3">
        <v>521</v>
      </c>
      <c r="AB44" s="3">
        <v>373</v>
      </c>
      <c r="AC44" s="3">
        <v>499</v>
      </c>
      <c r="AD44" s="3">
        <v>3</v>
      </c>
      <c r="AE44" s="7">
        <v>5</v>
      </c>
      <c r="AF44" s="7">
        <v>26</v>
      </c>
      <c r="AG44" s="7">
        <v>38</v>
      </c>
      <c r="AH44" s="3">
        <v>5</v>
      </c>
      <c r="AI44" s="3">
        <v>5</v>
      </c>
      <c r="AJ44" s="3">
        <v>5</v>
      </c>
      <c r="AK44" s="3">
        <v>7</v>
      </c>
      <c r="AL44" s="3">
        <v>8</v>
      </c>
      <c r="AM44" s="3">
        <v>10</v>
      </c>
      <c r="AN44" s="3">
        <v>1</v>
      </c>
      <c r="AO44" s="3">
        <v>2</v>
      </c>
      <c r="AP44" s="3">
        <v>12</v>
      </c>
      <c r="AQ44" s="3">
        <v>19</v>
      </c>
      <c r="AR44" s="2" t="s">
        <v>5</v>
      </c>
      <c r="AS44" s="2" t="s">
        <v>5</v>
      </c>
      <c r="AU44" s="5" t="str">
        <f>HYPERLINK("https://creighton-primo.hosted.exlibrisgroup.com/primo-explore/search?tab=default_tab&amp;search_scope=EVERYTHING&amp;vid=01CRU&amp;lang=en_US&amp;offset=0&amp;query=any,contains,991005232779702656","Catalog Record")</f>
        <v>Catalog Record</v>
      </c>
      <c r="AV44" s="5" t="str">
        <f>HYPERLINK("http://www.worldcat.org/oclc/8345749","WorldCat Record")</f>
        <v>WorldCat Record</v>
      </c>
      <c r="AW44" s="2" t="s">
        <v>617</v>
      </c>
      <c r="AX44" s="2" t="s">
        <v>618</v>
      </c>
      <c r="AY44" s="2" t="s">
        <v>619</v>
      </c>
      <c r="AZ44" s="2" t="s">
        <v>619</v>
      </c>
      <c r="BA44" s="2" t="s">
        <v>620</v>
      </c>
      <c r="BB44" s="2" t="s">
        <v>21</v>
      </c>
      <c r="BD44" s="2" t="s">
        <v>621</v>
      </c>
      <c r="BE44" s="2" t="s">
        <v>622</v>
      </c>
      <c r="BF44" s="2" t="s">
        <v>623</v>
      </c>
    </row>
    <row r="45" spans="1:58" ht="39.75" customHeight="1" x14ac:dyDescent="0.25">
      <c r="A45" s="1"/>
      <c r="B45" s="1" t="s">
        <v>0</v>
      </c>
      <c r="C45" s="1" t="s">
        <v>1</v>
      </c>
      <c r="D45" s="1" t="s">
        <v>624</v>
      </c>
      <c r="E45" s="1" t="s">
        <v>625</v>
      </c>
      <c r="F45" s="1" t="s">
        <v>626</v>
      </c>
      <c r="H45" s="2" t="s">
        <v>5</v>
      </c>
      <c r="I45" s="2" t="s">
        <v>6</v>
      </c>
      <c r="J45" s="2" t="s">
        <v>5</v>
      </c>
      <c r="K45" s="2" t="s">
        <v>5</v>
      </c>
      <c r="L45" s="2" t="s">
        <v>7</v>
      </c>
      <c r="M45" s="1" t="s">
        <v>627</v>
      </c>
      <c r="N45" s="1" t="s">
        <v>628</v>
      </c>
      <c r="O45" s="2" t="s">
        <v>629</v>
      </c>
      <c r="Q45" s="2" t="s">
        <v>11</v>
      </c>
      <c r="R45" s="2" t="s">
        <v>501</v>
      </c>
      <c r="T45" s="2" t="s">
        <v>13</v>
      </c>
      <c r="U45" s="3">
        <v>15</v>
      </c>
      <c r="V45" s="3">
        <v>15</v>
      </c>
      <c r="W45" s="4" t="s">
        <v>630</v>
      </c>
      <c r="X45" s="4" t="s">
        <v>630</v>
      </c>
      <c r="Y45" s="4" t="s">
        <v>631</v>
      </c>
      <c r="Z45" s="4" t="s">
        <v>631</v>
      </c>
      <c r="AA45" s="3">
        <v>547</v>
      </c>
      <c r="AB45" s="3">
        <v>502</v>
      </c>
      <c r="AC45" s="3">
        <v>505</v>
      </c>
      <c r="AD45" s="3">
        <v>4</v>
      </c>
      <c r="AE45" s="7">
        <v>4</v>
      </c>
      <c r="AF45" s="7">
        <v>39</v>
      </c>
      <c r="AG45" s="7">
        <v>39</v>
      </c>
      <c r="AH45" s="3">
        <v>9</v>
      </c>
      <c r="AI45" s="3">
        <v>9</v>
      </c>
      <c r="AJ45" s="3">
        <v>6</v>
      </c>
      <c r="AK45" s="3">
        <v>6</v>
      </c>
      <c r="AL45" s="3">
        <v>20</v>
      </c>
      <c r="AM45" s="3">
        <v>20</v>
      </c>
      <c r="AN45" s="3">
        <v>2</v>
      </c>
      <c r="AO45" s="3">
        <v>2</v>
      </c>
      <c r="AP45" s="3">
        <v>12</v>
      </c>
      <c r="AQ45" s="3">
        <v>12</v>
      </c>
      <c r="AR45" s="2" t="s">
        <v>5</v>
      </c>
      <c r="AS45" s="2" t="s">
        <v>16</v>
      </c>
      <c r="AT45" s="5" t="str">
        <f>HYPERLINK("http://catalog.hathitrust.org/Record/000821997","HathiTrust Record")</f>
        <v>HathiTrust Record</v>
      </c>
      <c r="AU45" s="5" t="str">
        <f>HYPERLINK("https://creighton-primo.hosted.exlibrisgroup.com/primo-explore/search?tab=default_tab&amp;search_scope=EVERYTHING&amp;vid=01CRU&amp;lang=en_US&amp;offset=0&amp;query=any,contains,991000939269702656","Catalog Record")</f>
        <v>Catalog Record</v>
      </c>
      <c r="AV45" s="5" t="str">
        <f>HYPERLINK("http://www.worldcat.org/oclc/14379476","WorldCat Record")</f>
        <v>WorldCat Record</v>
      </c>
      <c r="AW45" s="2" t="s">
        <v>632</v>
      </c>
      <c r="AX45" s="2" t="s">
        <v>633</v>
      </c>
      <c r="AY45" s="2" t="s">
        <v>634</v>
      </c>
      <c r="AZ45" s="2" t="s">
        <v>634</v>
      </c>
      <c r="BA45" s="2" t="s">
        <v>635</v>
      </c>
      <c r="BB45" s="2" t="s">
        <v>21</v>
      </c>
      <c r="BD45" s="2" t="s">
        <v>636</v>
      </c>
      <c r="BE45" s="2" t="s">
        <v>637</v>
      </c>
      <c r="BF45" s="2" t="s">
        <v>638</v>
      </c>
    </row>
    <row r="46" spans="1:58" ht="39.75" customHeight="1" x14ac:dyDescent="0.25">
      <c r="A46" s="1"/>
      <c r="B46" s="1" t="s">
        <v>0</v>
      </c>
      <c r="C46" s="1" t="s">
        <v>1</v>
      </c>
      <c r="D46" s="1" t="s">
        <v>639</v>
      </c>
      <c r="E46" s="1" t="s">
        <v>640</v>
      </c>
      <c r="F46" s="1" t="s">
        <v>641</v>
      </c>
      <c r="H46" s="2" t="s">
        <v>5</v>
      </c>
      <c r="I46" s="2" t="s">
        <v>6</v>
      </c>
      <c r="J46" s="2" t="s">
        <v>5</v>
      </c>
      <c r="K46" s="2" t="s">
        <v>5</v>
      </c>
      <c r="L46" s="2" t="s">
        <v>7</v>
      </c>
      <c r="M46" s="1" t="s">
        <v>642</v>
      </c>
      <c r="N46" s="1" t="s">
        <v>643</v>
      </c>
      <c r="O46" s="2" t="s">
        <v>472</v>
      </c>
      <c r="Q46" s="2" t="s">
        <v>11</v>
      </c>
      <c r="R46" s="2" t="s">
        <v>76</v>
      </c>
      <c r="T46" s="2" t="s">
        <v>13</v>
      </c>
      <c r="U46" s="3">
        <v>16</v>
      </c>
      <c r="V46" s="3">
        <v>16</v>
      </c>
      <c r="W46" s="4" t="s">
        <v>644</v>
      </c>
      <c r="X46" s="4" t="s">
        <v>644</v>
      </c>
      <c r="Y46" s="4" t="s">
        <v>645</v>
      </c>
      <c r="Z46" s="4" t="s">
        <v>645</v>
      </c>
      <c r="AA46" s="3">
        <v>829</v>
      </c>
      <c r="AB46" s="3">
        <v>769</v>
      </c>
      <c r="AC46" s="3">
        <v>776</v>
      </c>
      <c r="AD46" s="3">
        <v>4</v>
      </c>
      <c r="AE46" s="7">
        <v>4</v>
      </c>
      <c r="AF46" s="7">
        <v>33</v>
      </c>
      <c r="AG46" s="7">
        <v>33</v>
      </c>
      <c r="AH46" s="3">
        <v>8</v>
      </c>
      <c r="AI46" s="3">
        <v>8</v>
      </c>
      <c r="AJ46" s="3">
        <v>4</v>
      </c>
      <c r="AK46" s="3">
        <v>4</v>
      </c>
      <c r="AL46" s="3">
        <v>9</v>
      </c>
      <c r="AM46" s="3">
        <v>9</v>
      </c>
      <c r="AN46" s="3">
        <v>1</v>
      </c>
      <c r="AO46" s="3">
        <v>1</v>
      </c>
      <c r="AP46" s="3">
        <v>16</v>
      </c>
      <c r="AQ46" s="3">
        <v>16</v>
      </c>
      <c r="AR46" s="2" t="s">
        <v>5</v>
      </c>
      <c r="AS46" s="2" t="s">
        <v>5</v>
      </c>
      <c r="AU46" s="5" t="str">
        <f>HYPERLINK("https://creighton-primo.hosted.exlibrisgroup.com/primo-explore/search?tab=default_tab&amp;search_scope=EVERYTHING&amp;vid=01CRU&amp;lang=en_US&amp;offset=0&amp;query=any,contains,991005030299702656","Catalog Record")</f>
        <v>Catalog Record</v>
      </c>
      <c r="AV46" s="5" t="str">
        <f>HYPERLINK("http://www.worldcat.org/oclc/6709254","WorldCat Record")</f>
        <v>WorldCat Record</v>
      </c>
      <c r="AW46" s="2" t="s">
        <v>646</v>
      </c>
      <c r="AX46" s="2" t="s">
        <v>647</v>
      </c>
      <c r="AY46" s="2" t="s">
        <v>648</v>
      </c>
      <c r="AZ46" s="2" t="s">
        <v>648</v>
      </c>
      <c r="BA46" s="2" t="s">
        <v>649</v>
      </c>
      <c r="BB46" s="2" t="s">
        <v>21</v>
      </c>
      <c r="BD46" s="2" t="s">
        <v>650</v>
      </c>
      <c r="BE46" s="2" t="s">
        <v>651</v>
      </c>
      <c r="BF46" s="2" t="s">
        <v>652</v>
      </c>
    </row>
    <row r="47" spans="1:58" ht="39.75" customHeight="1" x14ac:dyDescent="0.25">
      <c r="A47" s="1"/>
      <c r="B47" s="1" t="s">
        <v>0</v>
      </c>
      <c r="C47" s="1" t="s">
        <v>1</v>
      </c>
      <c r="D47" s="1" t="s">
        <v>653</v>
      </c>
      <c r="E47" s="1" t="s">
        <v>654</v>
      </c>
      <c r="F47" s="1" t="s">
        <v>655</v>
      </c>
      <c r="H47" s="2" t="s">
        <v>5</v>
      </c>
      <c r="I47" s="2" t="s">
        <v>6</v>
      </c>
      <c r="J47" s="2" t="s">
        <v>5</v>
      </c>
      <c r="K47" s="2" t="s">
        <v>5</v>
      </c>
      <c r="L47" s="2" t="s">
        <v>7</v>
      </c>
      <c r="M47" s="1" t="s">
        <v>656</v>
      </c>
      <c r="N47" s="1" t="s">
        <v>657</v>
      </c>
      <c r="O47" s="2" t="s">
        <v>305</v>
      </c>
      <c r="Q47" s="2" t="s">
        <v>11</v>
      </c>
      <c r="R47" s="2" t="s">
        <v>244</v>
      </c>
      <c r="T47" s="2" t="s">
        <v>13</v>
      </c>
      <c r="U47" s="3">
        <v>0</v>
      </c>
      <c r="V47" s="3">
        <v>0</v>
      </c>
      <c r="W47" s="4" t="s">
        <v>658</v>
      </c>
      <c r="X47" s="4" t="s">
        <v>658</v>
      </c>
      <c r="Y47" s="4" t="s">
        <v>659</v>
      </c>
      <c r="Z47" s="4" t="s">
        <v>659</v>
      </c>
      <c r="AA47" s="3">
        <v>656</v>
      </c>
      <c r="AB47" s="3">
        <v>522</v>
      </c>
      <c r="AC47" s="3">
        <v>529</v>
      </c>
      <c r="AD47" s="3">
        <v>3</v>
      </c>
      <c r="AE47" s="7">
        <v>3</v>
      </c>
      <c r="AF47" s="7">
        <v>36</v>
      </c>
      <c r="AG47" s="7">
        <v>36</v>
      </c>
      <c r="AH47" s="3">
        <v>6</v>
      </c>
      <c r="AI47" s="3">
        <v>6</v>
      </c>
      <c r="AJ47" s="3">
        <v>5</v>
      </c>
      <c r="AK47" s="3">
        <v>5</v>
      </c>
      <c r="AL47" s="3">
        <v>14</v>
      </c>
      <c r="AM47" s="3">
        <v>14</v>
      </c>
      <c r="AN47" s="3">
        <v>2</v>
      </c>
      <c r="AO47" s="3">
        <v>2</v>
      </c>
      <c r="AP47" s="3">
        <v>14</v>
      </c>
      <c r="AQ47" s="3">
        <v>14</v>
      </c>
      <c r="AR47" s="2" t="s">
        <v>5</v>
      </c>
      <c r="AS47" s="2" t="s">
        <v>16</v>
      </c>
      <c r="AT47" s="5" t="str">
        <f>HYPERLINK("http://catalog.hathitrust.org/Record/003002607","HathiTrust Record")</f>
        <v>HathiTrust Record</v>
      </c>
      <c r="AU47" s="5" t="str">
        <f>HYPERLINK("https://creighton-primo.hosted.exlibrisgroup.com/primo-explore/search?tab=default_tab&amp;search_scope=EVERYTHING&amp;vid=01CRU&amp;lang=en_US&amp;offset=0&amp;query=any,contains,991002473829702656","Catalog Record")</f>
        <v>Catalog Record</v>
      </c>
      <c r="AV47" s="5" t="str">
        <f>HYPERLINK("http://www.worldcat.org/oclc/32203754","WorldCat Record")</f>
        <v>WorldCat Record</v>
      </c>
      <c r="AW47" s="2" t="s">
        <v>660</v>
      </c>
      <c r="AX47" s="2" t="s">
        <v>661</v>
      </c>
      <c r="AY47" s="2" t="s">
        <v>662</v>
      </c>
      <c r="AZ47" s="2" t="s">
        <v>662</v>
      </c>
      <c r="BA47" s="2" t="s">
        <v>663</v>
      </c>
      <c r="BB47" s="2" t="s">
        <v>21</v>
      </c>
      <c r="BD47" s="2" t="s">
        <v>664</v>
      </c>
      <c r="BE47" s="2" t="s">
        <v>665</v>
      </c>
      <c r="BF47" s="2" t="s">
        <v>666</v>
      </c>
    </row>
    <row r="48" spans="1:58" ht="39.75" customHeight="1" x14ac:dyDescent="0.25">
      <c r="A48" s="1"/>
      <c r="B48" s="1" t="s">
        <v>0</v>
      </c>
      <c r="C48" s="1" t="s">
        <v>1</v>
      </c>
      <c r="D48" s="1" t="s">
        <v>667</v>
      </c>
      <c r="E48" s="1" t="s">
        <v>668</v>
      </c>
      <c r="F48" s="1" t="s">
        <v>669</v>
      </c>
      <c r="H48" s="2" t="s">
        <v>5</v>
      </c>
      <c r="I48" s="2" t="s">
        <v>6</v>
      </c>
      <c r="J48" s="2" t="s">
        <v>5</v>
      </c>
      <c r="K48" s="2" t="s">
        <v>5</v>
      </c>
      <c r="L48" s="2" t="s">
        <v>7</v>
      </c>
      <c r="M48" s="1" t="s">
        <v>670</v>
      </c>
      <c r="N48" s="1" t="s">
        <v>671</v>
      </c>
      <c r="O48" s="2" t="s">
        <v>75</v>
      </c>
      <c r="Q48" s="2" t="s">
        <v>11</v>
      </c>
      <c r="R48" s="2" t="s">
        <v>76</v>
      </c>
      <c r="S48" s="1" t="s">
        <v>672</v>
      </c>
      <c r="T48" s="2" t="s">
        <v>13</v>
      </c>
      <c r="U48" s="3">
        <v>9</v>
      </c>
      <c r="V48" s="3">
        <v>9</v>
      </c>
      <c r="W48" s="4" t="s">
        <v>673</v>
      </c>
      <c r="X48" s="4" t="s">
        <v>673</v>
      </c>
      <c r="Y48" s="4" t="s">
        <v>15</v>
      </c>
      <c r="Z48" s="4" t="s">
        <v>15</v>
      </c>
      <c r="AA48" s="3">
        <v>104</v>
      </c>
      <c r="AB48" s="3">
        <v>90</v>
      </c>
      <c r="AC48" s="3">
        <v>725</v>
      </c>
      <c r="AD48" s="3">
        <v>2</v>
      </c>
      <c r="AE48" s="7">
        <v>8</v>
      </c>
      <c r="AF48" s="7">
        <v>4</v>
      </c>
      <c r="AG48" s="7">
        <v>54</v>
      </c>
      <c r="AH48" s="3">
        <v>2</v>
      </c>
      <c r="AI48" s="3">
        <v>11</v>
      </c>
      <c r="AJ48" s="3">
        <v>2</v>
      </c>
      <c r="AK48" s="3">
        <v>9</v>
      </c>
      <c r="AL48" s="3">
        <v>0</v>
      </c>
      <c r="AM48" s="3">
        <v>20</v>
      </c>
      <c r="AN48" s="3">
        <v>1</v>
      </c>
      <c r="AO48" s="3">
        <v>5</v>
      </c>
      <c r="AP48" s="3">
        <v>0</v>
      </c>
      <c r="AQ48" s="3">
        <v>19</v>
      </c>
      <c r="AR48" s="2" t="s">
        <v>5</v>
      </c>
      <c r="AS48" s="2" t="s">
        <v>5</v>
      </c>
      <c r="AU48" s="5" t="str">
        <f>HYPERLINK("https://creighton-primo.hosted.exlibrisgroup.com/primo-explore/search?tab=default_tab&amp;search_scope=EVERYTHING&amp;vid=01CRU&amp;lang=en_US&amp;offset=0&amp;query=any,contains,991005353799702656","Catalog Record")</f>
        <v>Catalog Record</v>
      </c>
      <c r="AV48" s="5" t="str">
        <f>HYPERLINK("http://www.worldcat.org/oclc/216898","WorldCat Record")</f>
        <v>WorldCat Record</v>
      </c>
      <c r="AW48" s="2" t="s">
        <v>674</v>
      </c>
      <c r="AX48" s="2" t="s">
        <v>675</v>
      </c>
      <c r="AY48" s="2" t="s">
        <v>676</v>
      </c>
      <c r="AZ48" s="2" t="s">
        <v>676</v>
      </c>
      <c r="BA48" s="2" t="s">
        <v>677</v>
      </c>
      <c r="BB48" s="2" t="s">
        <v>21</v>
      </c>
      <c r="BD48" s="2" t="s">
        <v>678</v>
      </c>
      <c r="BE48" s="2" t="s">
        <v>679</v>
      </c>
      <c r="BF48" s="2" t="s">
        <v>680</v>
      </c>
    </row>
    <row r="49" spans="1:58" ht="39.75" customHeight="1" x14ac:dyDescent="0.25">
      <c r="A49" s="1"/>
      <c r="B49" s="1" t="s">
        <v>0</v>
      </c>
      <c r="C49" s="1" t="s">
        <v>1</v>
      </c>
      <c r="D49" s="1" t="s">
        <v>681</v>
      </c>
      <c r="E49" s="1" t="s">
        <v>682</v>
      </c>
      <c r="F49" s="1" t="s">
        <v>683</v>
      </c>
      <c r="H49" s="2" t="s">
        <v>5</v>
      </c>
      <c r="I49" s="2" t="s">
        <v>6</v>
      </c>
      <c r="J49" s="2" t="s">
        <v>5</v>
      </c>
      <c r="K49" s="2" t="s">
        <v>5</v>
      </c>
      <c r="L49" s="2" t="s">
        <v>7</v>
      </c>
      <c r="M49" s="1" t="s">
        <v>684</v>
      </c>
      <c r="N49" s="1" t="s">
        <v>685</v>
      </c>
      <c r="O49" s="2" t="s">
        <v>184</v>
      </c>
      <c r="Q49" s="2" t="s">
        <v>11</v>
      </c>
      <c r="R49" s="2" t="s">
        <v>260</v>
      </c>
      <c r="T49" s="2" t="s">
        <v>13</v>
      </c>
      <c r="U49" s="3">
        <v>7</v>
      </c>
      <c r="V49" s="3">
        <v>7</v>
      </c>
      <c r="W49" s="4" t="s">
        <v>686</v>
      </c>
      <c r="X49" s="4" t="s">
        <v>686</v>
      </c>
      <c r="Y49" s="4" t="s">
        <v>32</v>
      </c>
      <c r="Z49" s="4" t="s">
        <v>32</v>
      </c>
      <c r="AA49" s="3">
        <v>175</v>
      </c>
      <c r="AB49" s="3">
        <v>159</v>
      </c>
      <c r="AC49" s="3">
        <v>594</v>
      </c>
      <c r="AD49" s="3">
        <v>1</v>
      </c>
      <c r="AE49" s="7">
        <v>7</v>
      </c>
      <c r="AF49" s="7">
        <v>18</v>
      </c>
      <c r="AG49" s="7">
        <v>44</v>
      </c>
      <c r="AH49" s="3">
        <v>5</v>
      </c>
      <c r="AI49" s="3">
        <v>11</v>
      </c>
      <c r="AJ49" s="3">
        <v>2</v>
      </c>
      <c r="AK49" s="3">
        <v>7</v>
      </c>
      <c r="AL49" s="3">
        <v>9</v>
      </c>
      <c r="AM49" s="3">
        <v>18</v>
      </c>
      <c r="AN49" s="3">
        <v>0</v>
      </c>
      <c r="AO49" s="3">
        <v>5</v>
      </c>
      <c r="AP49" s="3">
        <v>6</v>
      </c>
      <c r="AQ49" s="3">
        <v>11</v>
      </c>
      <c r="AR49" s="2" t="s">
        <v>5</v>
      </c>
      <c r="AS49" s="2" t="s">
        <v>5</v>
      </c>
      <c r="AU49" s="5" t="str">
        <f>HYPERLINK("https://creighton-primo.hosted.exlibrisgroup.com/primo-explore/search?tab=default_tab&amp;search_scope=EVERYTHING&amp;vid=01CRU&amp;lang=en_US&amp;offset=0&amp;query=any,contains,991005185329702656","Catalog Record")</f>
        <v>Catalog Record</v>
      </c>
      <c r="AV49" s="5" t="str">
        <f>HYPERLINK("http://www.worldcat.org/oclc/7975442","WorldCat Record")</f>
        <v>WorldCat Record</v>
      </c>
      <c r="AW49" s="2" t="s">
        <v>687</v>
      </c>
      <c r="AX49" s="2" t="s">
        <v>688</v>
      </c>
      <c r="AY49" s="2" t="s">
        <v>689</v>
      </c>
      <c r="AZ49" s="2" t="s">
        <v>689</v>
      </c>
      <c r="BA49" s="2" t="s">
        <v>690</v>
      </c>
      <c r="BB49" s="2" t="s">
        <v>21</v>
      </c>
      <c r="BD49" s="2" t="s">
        <v>691</v>
      </c>
      <c r="BE49" s="2" t="s">
        <v>692</v>
      </c>
      <c r="BF49" s="2" t="s">
        <v>693</v>
      </c>
    </row>
    <row r="50" spans="1:58" ht="39.75" customHeight="1" x14ac:dyDescent="0.25">
      <c r="A50" s="1"/>
      <c r="B50" s="1" t="s">
        <v>0</v>
      </c>
      <c r="C50" s="1" t="s">
        <v>1</v>
      </c>
      <c r="D50" s="1" t="s">
        <v>694</v>
      </c>
      <c r="E50" s="1" t="s">
        <v>695</v>
      </c>
      <c r="F50" s="1" t="s">
        <v>696</v>
      </c>
      <c r="H50" s="2" t="s">
        <v>5</v>
      </c>
      <c r="I50" s="2" t="s">
        <v>6</v>
      </c>
      <c r="J50" s="2" t="s">
        <v>5</v>
      </c>
      <c r="K50" s="2" t="s">
        <v>5</v>
      </c>
      <c r="L50" s="2" t="s">
        <v>7</v>
      </c>
      <c r="M50" s="1" t="s">
        <v>697</v>
      </c>
      <c r="N50" s="1" t="s">
        <v>698</v>
      </c>
      <c r="O50" s="2" t="s">
        <v>275</v>
      </c>
      <c r="Q50" s="2" t="s">
        <v>11</v>
      </c>
      <c r="R50" s="2" t="s">
        <v>30</v>
      </c>
      <c r="T50" s="2" t="s">
        <v>13</v>
      </c>
      <c r="U50" s="3">
        <v>8</v>
      </c>
      <c r="V50" s="3">
        <v>8</v>
      </c>
      <c r="W50" s="4" t="s">
        <v>699</v>
      </c>
      <c r="X50" s="4" t="s">
        <v>699</v>
      </c>
      <c r="Y50" s="4" t="s">
        <v>700</v>
      </c>
      <c r="Z50" s="4" t="s">
        <v>700</v>
      </c>
      <c r="AA50" s="3">
        <v>810</v>
      </c>
      <c r="AB50" s="3">
        <v>577</v>
      </c>
      <c r="AC50" s="3">
        <v>658</v>
      </c>
      <c r="AD50" s="3">
        <v>3</v>
      </c>
      <c r="AE50" s="7">
        <v>3</v>
      </c>
      <c r="AF50" s="7">
        <v>45</v>
      </c>
      <c r="AG50" s="7">
        <v>50</v>
      </c>
      <c r="AH50" s="3">
        <v>12</v>
      </c>
      <c r="AI50" s="3">
        <v>13</v>
      </c>
      <c r="AJ50" s="3">
        <v>10</v>
      </c>
      <c r="AK50" s="3">
        <v>11</v>
      </c>
      <c r="AL50" s="3">
        <v>19</v>
      </c>
      <c r="AM50" s="3">
        <v>22</v>
      </c>
      <c r="AN50" s="3">
        <v>2</v>
      </c>
      <c r="AO50" s="3">
        <v>2</v>
      </c>
      <c r="AP50" s="3">
        <v>14</v>
      </c>
      <c r="AQ50" s="3">
        <v>15</v>
      </c>
      <c r="AR50" s="2" t="s">
        <v>5</v>
      </c>
      <c r="AS50" s="2" t="s">
        <v>5</v>
      </c>
      <c r="AU50" s="5" t="str">
        <f>HYPERLINK("https://creighton-primo.hosted.exlibrisgroup.com/primo-explore/search?tab=default_tab&amp;search_scope=EVERYTHING&amp;vid=01CRU&amp;lang=en_US&amp;offset=0&amp;query=any,contains,991004729919702656","Catalog Record")</f>
        <v>Catalog Record</v>
      </c>
      <c r="AV50" s="5" t="str">
        <f>HYPERLINK("http://www.worldcat.org/oclc/4834165","WorldCat Record")</f>
        <v>WorldCat Record</v>
      </c>
      <c r="AW50" s="2" t="s">
        <v>701</v>
      </c>
      <c r="AX50" s="2" t="s">
        <v>702</v>
      </c>
      <c r="AY50" s="2" t="s">
        <v>703</v>
      </c>
      <c r="AZ50" s="2" t="s">
        <v>703</v>
      </c>
      <c r="BA50" s="2" t="s">
        <v>704</v>
      </c>
      <c r="BB50" s="2" t="s">
        <v>21</v>
      </c>
      <c r="BD50" s="2" t="s">
        <v>705</v>
      </c>
      <c r="BE50" s="2" t="s">
        <v>706</v>
      </c>
      <c r="BF50" s="2" t="s">
        <v>707</v>
      </c>
    </row>
    <row r="51" spans="1:58" ht="39.75" customHeight="1" x14ac:dyDescent="0.25">
      <c r="A51" s="1"/>
      <c r="B51" s="1" t="s">
        <v>0</v>
      </c>
      <c r="C51" s="1" t="s">
        <v>1</v>
      </c>
      <c r="D51" s="1" t="s">
        <v>708</v>
      </c>
      <c r="E51" s="1" t="s">
        <v>709</v>
      </c>
      <c r="F51" s="1" t="s">
        <v>710</v>
      </c>
      <c r="H51" s="2" t="s">
        <v>5</v>
      </c>
      <c r="I51" s="2" t="s">
        <v>6</v>
      </c>
      <c r="J51" s="2" t="s">
        <v>16</v>
      </c>
      <c r="K51" s="2" t="s">
        <v>5</v>
      </c>
      <c r="L51" s="2" t="s">
        <v>7</v>
      </c>
      <c r="M51" s="1" t="s">
        <v>711</v>
      </c>
      <c r="N51" s="1" t="s">
        <v>712</v>
      </c>
      <c r="O51" s="2" t="s">
        <v>713</v>
      </c>
      <c r="Q51" s="2" t="s">
        <v>11</v>
      </c>
      <c r="R51" s="2" t="s">
        <v>62</v>
      </c>
      <c r="T51" s="2" t="s">
        <v>13</v>
      </c>
      <c r="U51" s="3">
        <v>5</v>
      </c>
      <c r="V51" s="3">
        <v>6</v>
      </c>
      <c r="W51" s="4" t="s">
        <v>714</v>
      </c>
      <c r="X51" s="4" t="s">
        <v>714</v>
      </c>
      <c r="Y51" s="4" t="s">
        <v>32</v>
      </c>
      <c r="Z51" s="4" t="s">
        <v>32</v>
      </c>
      <c r="AA51" s="3">
        <v>696</v>
      </c>
      <c r="AB51" s="3">
        <v>611</v>
      </c>
      <c r="AC51" s="3">
        <v>953</v>
      </c>
      <c r="AD51" s="3">
        <v>6</v>
      </c>
      <c r="AE51" s="7">
        <v>9</v>
      </c>
      <c r="AF51" s="7">
        <v>54</v>
      </c>
      <c r="AG51" s="7">
        <v>66</v>
      </c>
      <c r="AH51" s="3">
        <v>15</v>
      </c>
      <c r="AI51" s="3">
        <v>17</v>
      </c>
      <c r="AJ51" s="3">
        <v>9</v>
      </c>
      <c r="AK51" s="3">
        <v>10</v>
      </c>
      <c r="AL51" s="3">
        <v>24</v>
      </c>
      <c r="AM51" s="3">
        <v>26</v>
      </c>
      <c r="AN51" s="3">
        <v>4</v>
      </c>
      <c r="AO51" s="3">
        <v>6</v>
      </c>
      <c r="AP51" s="3">
        <v>13</v>
      </c>
      <c r="AQ51" s="3">
        <v>19</v>
      </c>
      <c r="AR51" s="2" t="s">
        <v>5</v>
      </c>
      <c r="AS51" s="2" t="s">
        <v>16</v>
      </c>
      <c r="AT51" s="5" t="str">
        <f>HYPERLINK("http://catalog.hathitrust.org/Record/001434025","HathiTrust Record")</f>
        <v>HathiTrust Record</v>
      </c>
      <c r="AU51" s="5" t="str">
        <f>HYPERLINK("https://creighton-primo.hosted.exlibrisgroup.com/primo-explore/search?tab=default_tab&amp;search_scope=EVERYTHING&amp;vid=01CRU&amp;lang=en_US&amp;offset=0&amp;query=any,contains,991001625919702656","Catalog Record")</f>
        <v>Catalog Record</v>
      </c>
      <c r="AV51" s="5" t="str">
        <f>HYPERLINK("http://www.worldcat.org/oclc/306156","WorldCat Record")</f>
        <v>WorldCat Record</v>
      </c>
      <c r="AW51" s="2" t="s">
        <v>715</v>
      </c>
      <c r="AX51" s="2" t="s">
        <v>716</v>
      </c>
      <c r="AY51" s="2" t="s">
        <v>717</v>
      </c>
      <c r="AZ51" s="2" t="s">
        <v>717</v>
      </c>
      <c r="BA51" s="2" t="s">
        <v>718</v>
      </c>
      <c r="BB51" s="2" t="s">
        <v>21</v>
      </c>
      <c r="BE51" s="2" t="s">
        <v>719</v>
      </c>
      <c r="BF51" s="2" t="s">
        <v>720</v>
      </c>
    </row>
    <row r="52" spans="1:58" ht="39.75" customHeight="1" x14ac:dyDescent="0.25">
      <c r="A52" s="1"/>
      <c r="B52" s="1" t="s">
        <v>0</v>
      </c>
      <c r="C52" s="1" t="s">
        <v>1</v>
      </c>
      <c r="D52" s="1" t="s">
        <v>721</v>
      </c>
      <c r="E52" s="1" t="s">
        <v>722</v>
      </c>
      <c r="F52" s="1" t="s">
        <v>723</v>
      </c>
      <c r="H52" s="2" t="s">
        <v>5</v>
      </c>
      <c r="I52" s="2" t="s">
        <v>6</v>
      </c>
      <c r="J52" s="2" t="s">
        <v>5</v>
      </c>
      <c r="K52" s="2" t="s">
        <v>5</v>
      </c>
      <c r="L52" s="2" t="s">
        <v>7</v>
      </c>
      <c r="M52" s="1" t="s">
        <v>724</v>
      </c>
      <c r="N52" s="1" t="s">
        <v>725</v>
      </c>
      <c r="O52" s="2" t="s">
        <v>152</v>
      </c>
      <c r="Q52" s="2" t="s">
        <v>11</v>
      </c>
      <c r="R52" s="2" t="s">
        <v>76</v>
      </c>
      <c r="T52" s="2" t="s">
        <v>13</v>
      </c>
      <c r="U52" s="3">
        <v>8</v>
      </c>
      <c r="V52" s="3">
        <v>8</v>
      </c>
      <c r="W52" s="4" t="s">
        <v>726</v>
      </c>
      <c r="X52" s="4" t="s">
        <v>726</v>
      </c>
      <c r="Y52" s="4" t="s">
        <v>727</v>
      </c>
      <c r="Z52" s="4" t="s">
        <v>727</v>
      </c>
      <c r="AA52" s="3">
        <v>398</v>
      </c>
      <c r="AB52" s="3">
        <v>328</v>
      </c>
      <c r="AC52" s="3">
        <v>515</v>
      </c>
      <c r="AD52" s="3">
        <v>2</v>
      </c>
      <c r="AE52" s="7">
        <v>2</v>
      </c>
      <c r="AF52" s="7">
        <v>29</v>
      </c>
      <c r="AG52" s="7">
        <v>36</v>
      </c>
      <c r="AH52" s="3">
        <v>6</v>
      </c>
      <c r="AI52" s="3">
        <v>10</v>
      </c>
      <c r="AJ52" s="3">
        <v>5</v>
      </c>
      <c r="AK52" s="3">
        <v>7</v>
      </c>
      <c r="AL52" s="3">
        <v>12</v>
      </c>
      <c r="AM52" s="3">
        <v>15</v>
      </c>
      <c r="AN52" s="3">
        <v>1</v>
      </c>
      <c r="AO52" s="3">
        <v>1</v>
      </c>
      <c r="AP52" s="3">
        <v>11</v>
      </c>
      <c r="AQ52" s="3">
        <v>11</v>
      </c>
      <c r="AR52" s="2" t="s">
        <v>5</v>
      </c>
      <c r="AS52" s="2" t="s">
        <v>16</v>
      </c>
      <c r="AT52" s="5" t="str">
        <f>HYPERLINK("http://catalog.hathitrust.org/Record/002167374","HathiTrust Record")</f>
        <v>HathiTrust Record</v>
      </c>
      <c r="AU52" s="5" t="str">
        <f>HYPERLINK("https://creighton-primo.hosted.exlibrisgroup.com/primo-explore/search?tab=default_tab&amp;search_scope=EVERYTHING&amp;vid=01CRU&amp;lang=en_US&amp;offset=0&amp;query=any,contains,991001650949702656","Catalog Record")</f>
        <v>Catalog Record</v>
      </c>
      <c r="AV52" s="5" t="str">
        <f>HYPERLINK("http://www.worldcat.org/oclc/21080801","WorldCat Record")</f>
        <v>WorldCat Record</v>
      </c>
      <c r="AW52" s="2" t="s">
        <v>728</v>
      </c>
      <c r="AX52" s="2" t="s">
        <v>729</v>
      </c>
      <c r="AY52" s="2" t="s">
        <v>730</v>
      </c>
      <c r="AZ52" s="2" t="s">
        <v>730</v>
      </c>
      <c r="BA52" s="2" t="s">
        <v>731</v>
      </c>
      <c r="BB52" s="2" t="s">
        <v>21</v>
      </c>
      <c r="BD52" s="2" t="s">
        <v>732</v>
      </c>
      <c r="BE52" s="2" t="s">
        <v>733</v>
      </c>
      <c r="BF52" s="2" t="s">
        <v>734</v>
      </c>
    </row>
    <row r="53" spans="1:58" ht="39.75" customHeight="1" x14ac:dyDescent="0.25">
      <c r="A53" s="1"/>
      <c r="B53" s="1" t="s">
        <v>0</v>
      </c>
      <c r="C53" s="1" t="s">
        <v>1</v>
      </c>
      <c r="D53" s="1" t="s">
        <v>735</v>
      </c>
      <c r="E53" s="1" t="s">
        <v>736</v>
      </c>
      <c r="F53" s="1" t="s">
        <v>737</v>
      </c>
      <c r="H53" s="2" t="s">
        <v>5</v>
      </c>
      <c r="I53" s="2" t="s">
        <v>6</v>
      </c>
      <c r="J53" s="2" t="s">
        <v>5</v>
      </c>
      <c r="K53" s="2" t="s">
        <v>16</v>
      </c>
      <c r="L53" s="2" t="s">
        <v>7</v>
      </c>
      <c r="M53" s="1" t="s">
        <v>738</v>
      </c>
      <c r="N53" s="1" t="s">
        <v>739</v>
      </c>
      <c r="O53" s="2" t="s">
        <v>372</v>
      </c>
      <c r="Q53" s="2" t="s">
        <v>11</v>
      </c>
      <c r="R53" s="2" t="s">
        <v>153</v>
      </c>
      <c r="S53" s="1" t="s">
        <v>740</v>
      </c>
      <c r="T53" s="2" t="s">
        <v>13</v>
      </c>
      <c r="U53" s="3">
        <v>3</v>
      </c>
      <c r="V53" s="3">
        <v>3</v>
      </c>
      <c r="W53" s="4" t="s">
        <v>741</v>
      </c>
      <c r="X53" s="4" t="s">
        <v>741</v>
      </c>
      <c r="Y53" s="4" t="s">
        <v>742</v>
      </c>
      <c r="Z53" s="4" t="s">
        <v>742</v>
      </c>
      <c r="AA53" s="3">
        <v>162</v>
      </c>
      <c r="AB53" s="3">
        <v>130</v>
      </c>
      <c r="AC53" s="3">
        <v>805</v>
      </c>
      <c r="AD53" s="3">
        <v>1</v>
      </c>
      <c r="AE53" s="7">
        <v>5</v>
      </c>
      <c r="AF53" s="7">
        <v>7</v>
      </c>
      <c r="AG53" s="7">
        <v>53</v>
      </c>
      <c r="AH53" s="3">
        <v>2</v>
      </c>
      <c r="AI53" s="3">
        <v>14</v>
      </c>
      <c r="AJ53" s="3">
        <v>0</v>
      </c>
      <c r="AK53" s="3">
        <v>6</v>
      </c>
      <c r="AL53" s="3">
        <v>0</v>
      </c>
      <c r="AM53" s="3">
        <v>19</v>
      </c>
      <c r="AN53" s="3">
        <v>0</v>
      </c>
      <c r="AO53" s="3">
        <v>2</v>
      </c>
      <c r="AP53" s="3">
        <v>5</v>
      </c>
      <c r="AQ53" s="3">
        <v>21</v>
      </c>
      <c r="AR53" s="2" t="s">
        <v>5</v>
      </c>
      <c r="AS53" s="2" t="s">
        <v>5</v>
      </c>
      <c r="AU53" s="5" t="str">
        <f>HYPERLINK("https://creighton-primo.hosted.exlibrisgroup.com/primo-explore/search?tab=default_tab&amp;search_scope=EVERYTHING&amp;vid=01CRU&amp;lang=en_US&amp;offset=0&amp;query=any,contains,991004672099702656","Catalog Record")</f>
        <v>Catalog Record</v>
      </c>
      <c r="AV53" s="5" t="str">
        <f>HYPERLINK("http://www.worldcat.org/oclc/26855780","WorldCat Record")</f>
        <v>WorldCat Record</v>
      </c>
      <c r="AW53" s="2" t="s">
        <v>743</v>
      </c>
      <c r="AX53" s="2" t="s">
        <v>744</v>
      </c>
      <c r="AY53" s="2" t="s">
        <v>745</v>
      </c>
      <c r="AZ53" s="2" t="s">
        <v>745</v>
      </c>
      <c r="BA53" s="2" t="s">
        <v>746</v>
      </c>
      <c r="BB53" s="2" t="s">
        <v>21</v>
      </c>
      <c r="BD53" s="2" t="s">
        <v>747</v>
      </c>
      <c r="BE53" s="2" t="s">
        <v>748</v>
      </c>
      <c r="BF53" s="2" t="s">
        <v>749</v>
      </c>
    </row>
    <row r="54" spans="1:58" ht="39.75" customHeight="1" x14ac:dyDescent="0.25">
      <c r="A54" s="1"/>
      <c r="B54" s="1" t="s">
        <v>0</v>
      </c>
      <c r="C54" s="1" t="s">
        <v>1</v>
      </c>
      <c r="D54" s="1" t="s">
        <v>750</v>
      </c>
      <c r="E54" s="1" t="s">
        <v>751</v>
      </c>
      <c r="F54" s="1" t="s">
        <v>752</v>
      </c>
      <c r="H54" s="2" t="s">
        <v>5</v>
      </c>
      <c r="I54" s="2" t="s">
        <v>6</v>
      </c>
      <c r="J54" s="2" t="s">
        <v>16</v>
      </c>
      <c r="K54" s="2" t="s">
        <v>5</v>
      </c>
      <c r="L54" s="2" t="s">
        <v>7</v>
      </c>
      <c r="M54" s="1" t="s">
        <v>753</v>
      </c>
      <c r="N54" s="1" t="s">
        <v>754</v>
      </c>
      <c r="O54" s="2" t="s">
        <v>629</v>
      </c>
      <c r="Q54" s="2" t="s">
        <v>11</v>
      </c>
      <c r="R54" s="2" t="s">
        <v>244</v>
      </c>
      <c r="T54" s="2" t="s">
        <v>13</v>
      </c>
      <c r="U54" s="3">
        <v>6</v>
      </c>
      <c r="V54" s="3">
        <v>7</v>
      </c>
      <c r="W54" s="4" t="s">
        <v>755</v>
      </c>
      <c r="X54" s="4" t="s">
        <v>755</v>
      </c>
      <c r="Y54" s="4" t="s">
        <v>32</v>
      </c>
      <c r="Z54" s="4" t="s">
        <v>756</v>
      </c>
      <c r="AA54" s="3">
        <v>640</v>
      </c>
      <c r="AB54" s="3">
        <v>501</v>
      </c>
      <c r="AC54" s="3">
        <v>504</v>
      </c>
      <c r="AD54" s="3">
        <v>5</v>
      </c>
      <c r="AE54" s="7">
        <v>5</v>
      </c>
      <c r="AF54" s="7">
        <v>44</v>
      </c>
      <c r="AG54" s="7">
        <v>44</v>
      </c>
      <c r="AH54" s="3">
        <v>6</v>
      </c>
      <c r="AI54" s="3">
        <v>6</v>
      </c>
      <c r="AJ54" s="3">
        <v>8</v>
      </c>
      <c r="AK54" s="3">
        <v>8</v>
      </c>
      <c r="AL54" s="3">
        <v>13</v>
      </c>
      <c r="AM54" s="3">
        <v>13</v>
      </c>
      <c r="AN54" s="3">
        <v>1</v>
      </c>
      <c r="AO54" s="3">
        <v>1</v>
      </c>
      <c r="AP54" s="3">
        <v>23</v>
      </c>
      <c r="AQ54" s="3">
        <v>23</v>
      </c>
      <c r="AR54" s="2" t="s">
        <v>5</v>
      </c>
      <c r="AS54" s="2" t="s">
        <v>16</v>
      </c>
      <c r="AT54" s="5" t="str">
        <f>HYPERLINK("http://catalog.hathitrust.org/Record/000839894","HathiTrust Record")</f>
        <v>HathiTrust Record</v>
      </c>
      <c r="AU54" s="5" t="str">
        <f>HYPERLINK("https://creighton-primo.hosted.exlibrisgroup.com/primo-explore/search?tab=default_tab&amp;search_scope=EVERYTHING&amp;vid=01CRU&amp;lang=en_US&amp;offset=0&amp;query=any,contains,991001635099702656","Catalog Record")</f>
        <v>Catalog Record</v>
      </c>
      <c r="AV54" s="5" t="str">
        <f>HYPERLINK("http://www.worldcat.org/oclc/14586188","WorldCat Record")</f>
        <v>WorldCat Record</v>
      </c>
      <c r="AW54" s="2" t="s">
        <v>757</v>
      </c>
      <c r="AX54" s="2" t="s">
        <v>758</v>
      </c>
      <c r="AY54" s="2" t="s">
        <v>759</v>
      </c>
      <c r="AZ54" s="2" t="s">
        <v>759</v>
      </c>
      <c r="BA54" s="2" t="s">
        <v>760</v>
      </c>
      <c r="BB54" s="2" t="s">
        <v>21</v>
      </c>
      <c r="BD54" s="2" t="s">
        <v>761</v>
      </c>
      <c r="BE54" s="2" t="s">
        <v>762</v>
      </c>
      <c r="BF54" s="2" t="s">
        <v>763</v>
      </c>
    </row>
    <row r="55" spans="1:58" ht="39.75" customHeight="1" x14ac:dyDescent="0.25">
      <c r="A55" s="1"/>
      <c r="B55" s="1" t="s">
        <v>0</v>
      </c>
      <c r="C55" s="1" t="s">
        <v>1</v>
      </c>
      <c r="D55" s="1" t="s">
        <v>764</v>
      </c>
      <c r="E55" s="1" t="s">
        <v>765</v>
      </c>
      <c r="F55" s="1" t="s">
        <v>766</v>
      </c>
      <c r="H55" s="2" t="s">
        <v>5</v>
      </c>
      <c r="I55" s="2" t="s">
        <v>6</v>
      </c>
      <c r="J55" s="2" t="s">
        <v>5</v>
      </c>
      <c r="K55" s="2" t="s">
        <v>5</v>
      </c>
      <c r="L55" s="2" t="s">
        <v>7</v>
      </c>
      <c r="M55" s="1" t="s">
        <v>767</v>
      </c>
      <c r="N55" s="1" t="s">
        <v>768</v>
      </c>
      <c r="O55" s="2" t="s">
        <v>500</v>
      </c>
      <c r="Q55" s="2" t="s">
        <v>11</v>
      </c>
      <c r="R55" s="2" t="s">
        <v>12</v>
      </c>
      <c r="T55" s="2" t="s">
        <v>13</v>
      </c>
      <c r="U55" s="3">
        <v>3</v>
      </c>
      <c r="V55" s="3">
        <v>3</v>
      </c>
      <c r="W55" s="4" t="s">
        <v>769</v>
      </c>
      <c r="X55" s="4" t="s">
        <v>769</v>
      </c>
      <c r="Y55" s="4" t="s">
        <v>770</v>
      </c>
      <c r="Z55" s="4" t="s">
        <v>770</v>
      </c>
      <c r="AA55" s="3">
        <v>141</v>
      </c>
      <c r="AB55" s="3">
        <v>78</v>
      </c>
      <c r="AC55" s="3">
        <v>78</v>
      </c>
      <c r="AD55" s="3">
        <v>2</v>
      </c>
      <c r="AE55" s="7">
        <v>2</v>
      </c>
      <c r="AF55" s="7">
        <v>6</v>
      </c>
      <c r="AG55" s="7">
        <v>6</v>
      </c>
      <c r="AH55" s="3">
        <v>0</v>
      </c>
      <c r="AI55" s="3">
        <v>0</v>
      </c>
      <c r="AJ55" s="3">
        <v>0</v>
      </c>
      <c r="AK55" s="3">
        <v>0</v>
      </c>
      <c r="AL55" s="3">
        <v>0</v>
      </c>
      <c r="AM55" s="3">
        <v>0</v>
      </c>
      <c r="AN55" s="3">
        <v>1</v>
      </c>
      <c r="AO55" s="3">
        <v>1</v>
      </c>
      <c r="AP55" s="3">
        <v>5</v>
      </c>
      <c r="AQ55" s="3">
        <v>5</v>
      </c>
      <c r="AR55" s="2" t="s">
        <v>5</v>
      </c>
      <c r="AS55" s="2" t="s">
        <v>5</v>
      </c>
      <c r="AU55" s="5" t="str">
        <f>HYPERLINK("https://creighton-primo.hosted.exlibrisgroup.com/primo-explore/search?tab=default_tab&amp;search_scope=EVERYTHING&amp;vid=01CRU&amp;lang=en_US&amp;offset=0&amp;query=any,contains,991004734159702656","Catalog Record")</f>
        <v>Catalog Record</v>
      </c>
      <c r="AV55" s="5" t="str">
        <f>HYPERLINK("http://www.worldcat.org/oclc/4846247","WorldCat Record")</f>
        <v>WorldCat Record</v>
      </c>
      <c r="AW55" s="2" t="s">
        <v>771</v>
      </c>
      <c r="AX55" s="2" t="s">
        <v>772</v>
      </c>
      <c r="AY55" s="2" t="s">
        <v>773</v>
      </c>
      <c r="AZ55" s="2" t="s">
        <v>773</v>
      </c>
      <c r="BA55" s="2" t="s">
        <v>774</v>
      </c>
      <c r="BB55" s="2" t="s">
        <v>21</v>
      </c>
      <c r="BD55" s="2" t="s">
        <v>775</v>
      </c>
      <c r="BE55" s="2" t="s">
        <v>776</v>
      </c>
      <c r="BF55" s="2" t="s">
        <v>777</v>
      </c>
    </row>
    <row r="56" spans="1:58" ht="39.75" customHeight="1" x14ac:dyDescent="0.25">
      <c r="A56" s="1"/>
      <c r="B56" s="1" t="s">
        <v>0</v>
      </c>
      <c r="C56" s="1" t="s">
        <v>1</v>
      </c>
      <c r="D56" s="1" t="s">
        <v>778</v>
      </c>
      <c r="E56" s="1" t="s">
        <v>779</v>
      </c>
      <c r="F56" s="1" t="s">
        <v>780</v>
      </c>
      <c r="H56" s="2" t="s">
        <v>5</v>
      </c>
      <c r="I56" s="2" t="s">
        <v>6</v>
      </c>
      <c r="J56" s="2" t="s">
        <v>5</v>
      </c>
      <c r="K56" s="2" t="s">
        <v>5</v>
      </c>
      <c r="L56" s="2" t="s">
        <v>7</v>
      </c>
      <c r="N56" s="1" t="s">
        <v>781</v>
      </c>
      <c r="O56" s="2" t="s">
        <v>213</v>
      </c>
      <c r="Q56" s="2" t="s">
        <v>11</v>
      </c>
      <c r="R56" s="2" t="s">
        <v>76</v>
      </c>
      <c r="T56" s="2" t="s">
        <v>13</v>
      </c>
      <c r="U56" s="3">
        <v>11</v>
      </c>
      <c r="V56" s="3">
        <v>11</v>
      </c>
      <c r="W56" s="4" t="s">
        <v>782</v>
      </c>
      <c r="X56" s="4" t="s">
        <v>782</v>
      </c>
      <c r="Y56" s="4" t="s">
        <v>32</v>
      </c>
      <c r="Z56" s="4" t="s">
        <v>32</v>
      </c>
      <c r="AA56" s="3">
        <v>386</v>
      </c>
      <c r="AB56" s="3">
        <v>310</v>
      </c>
      <c r="AC56" s="3">
        <v>313</v>
      </c>
      <c r="AD56" s="3">
        <v>3</v>
      </c>
      <c r="AE56" s="7">
        <v>3</v>
      </c>
      <c r="AF56" s="7">
        <v>26</v>
      </c>
      <c r="AG56" s="7">
        <v>26</v>
      </c>
      <c r="AH56" s="3">
        <v>4</v>
      </c>
      <c r="AI56" s="3">
        <v>4</v>
      </c>
      <c r="AJ56" s="3">
        <v>4</v>
      </c>
      <c r="AK56" s="3">
        <v>4</v>
      </c>
      <c r="AL56" s="3">
        <v>6</v>
      </c>
      <c r="AM56" s="3">
        <v>6</v>
      </c>
      <c r="AN56" s="3">
        <v>1</v>
      </c>
      <c r="AO56" s="3">
        <v>1</v>
      </c>
      <c r="AP56" s="3">
        <v>15</v>
      </c>
      <c r="AQ56" s="3">
        <v>15</v>
      </c>
      <c r="AR56" s="2" t="s">
        <v>5</v>
      </c>
      <c r="AS56" s="2" t="s">
        <v>16</v>
      </c>
      <c r="AT56" s="5" t="str">
        <f>HYPERLINK("http://catalog.hathitrust.org/Record/007475271","HathiTrust Record")</f>
        <v>HathiTrust Record</v>
      </c>
      <c r="AU56" s="5" t="str">
        <f>HYPERLINK("https://creighton-primo.hosted.exlibrisgroup.com/primo-explore/search?tab=default_tab&amp;search_scope=EVERYTHING&amp;vid=01CRU&amp;lang=en_US&amp;offset=0&amp;query=any,contains,991004259339702656","Catalog Record")</f>
        <v>Catalog Record</v>
      </c>
      <c r="AV56" s="5" t="str">
        <f>HYPERLINK("http://www.worldcat.org/oclc/2837140","WorldCat Record")</f>
        <v>WorldCat Record</v>
      </c>
      <c r="AW56" s="2" t="s">
        <v>783</v>
      </c>
      <c r="AX56" s="2" t="s">
        <v>784</v>
      </c>
      <c r="AY56" s="2" t="s">
        <v>785</v>
      </c>
      <c r="AZ56" s="2" t="s">
        <v>785</v>
      </c>
      <c r="BA56" s="2" t="s">
        <v>786</v>
      </c>
      <c r="BB56" s="2" t="s">
        <v>21</v>
      </c>
      <c r="BD56" s="2" t="s">
        <v>787</v>
      </c>
      <c r="BE56" s="2" t="s">
        <v>788</v>
      </c>
      <c r="BF56" s="2" t="s">
        <v>789</v>
      </c>
    </row>
    <row r="57" spans="1:58" ht="39.75" customHeight="1" x14ac:dyDescent="0.25">
      <c r="A57" s="1"/>
      <c r="B57" s="1" t="s">
        <v>0</v>
      </c>
      <c r="C57" s="1" t="s">
        <v>1</v>
      </c>
      <c r="D57" s="1" t="s">
        <v>790</v>
      </c>
      <c r="E57" s="1" t="s">
        <v>791</v>
      </c>
      <c r="F57" s="1" t="s">
        <v>792</v>
      </c>
      <c r="H57" s="2" t="s">
        <v>5</v>
      </c>
      <c r="I57" s="2" t="s">
        <v>6</v>
      </c>
      <c r="J57" s="2" t="s">
        <v>5</v>
      </c>
      <c r="K57" s="2" t="s">
        <v>16</v>
      </c>
      <c r="L57" s="2" t="s">
        <v>7</v>
      </c>
      <c r="M57" s="1" t="s">
        <v>793</v>
      </c>
      <c r="N57" s="1" t="s">
        <v>794</v>
      </c>
      <c r="O57" s="2" t="s">
        <v>291</v>
      </c>
      <c r="Q57" s="2" t="s">
        <v>11</v>
      </c>
      <c r="R57" s="2" t="s">
        <v>76</v>
      </c>
      <c r="T57" s="2" t="s">
        <v>13</v>
      </c>
      <c r="U57" s="3">
        <v>1</v>
      </c>
      <c r="V57" s="3">
        <v>1</v>
      </c>
      <c r="W57" s="4" t="s">
        <v>795</v>
      </c>
      <c r="X57" s="4" t="s">
        <v>795</v>
      </c>
      <c r="Y57" s="4" t="s">
        <v>796</v>
      </c>
      <c r="Z57" s="4" t="s">
        <v>796</v>
      </c>
      <c r="AA57" s="3">
        <v>590</v>
      </c>
      <c r="AB57" s="3">
        <v>514</v>
      </c>
      <c r="AC57" s="3">
        <v>556</v>
      </c>
      <c r="AD57" s="3">
        <v>5</v>
      </c>
      <c r="AE57" s="7">
        <v>8</v>
      </c>
      <c r="AF57" s="7">
        <v>37</v>
      </c>
      <c r="AG57" s="7">
        <v>40</v>
      </c>
      <c r="AH57" s="3">
        <v>8</v>
      </c>
      <c r="AI57" s="3">
        <v>8</v>
      </c>
      <c r="AJ57" s="3">
        <v>3</v>
      </c>
      <c r="AK57" s="3">
        <v>3</v>
      </c>
      <c r="AL57" s="3">
        <v>10</v>
      </c>
      <c r="AM57" s="3">
        <v>11</v>
      </c>
      <c r="AN57" s="3">
        <v>4</v>
      </c>
      <c r="AO57" s="3">
        <v>6</v>
      </c>
      <c r="AP57" s="3">
        <v>17</v>
      </c>
      <c r="AQ57" s="3">
        <v>17</v>
      </c>
      <c r="AR57" s="2" t="s">
        <v>5</v>
      </c>
      <c r="AS57" s="2" t="s">
        <v>5</v>
      </c>
      <c r="AU57" s="5" t="str">
        <f>HYPERLINK("https://creighton-primo.hosted.exlibrisgroup.com/primo-explore/search?tab=default_tab&amp;search_scope=EVERYTHING&amp;vid=01CRU&amp;lang=en_US&amp;offset=0&amp;query=any,contains,991003025599702656","Catalog Record")</f>
        <v>Catalog Record</v>
      </c>
      <c r="AV57" s="5" t="str">
        <f>HYPERLINK("http://www.worldcat.org/oclc/41320197","WorldCat Record")</f>
        <v>WorldCat Record</v>
      </c>
      <c r="AW57" s="2" t="s">
        <v>797</v>
      </c>
      <c r="AX57" s="2" t="s">
        <v>798</v>
      </c>
      <c r="AY57" s="2" t="s">
        <v>799</v>
      </c>
      <c r="AZ57" s="2" t="s">
        <v>799</v>
      </c>
      <c r="BA57" s="2" t="s">
        <v>800</v>
      </c>
      <c r="BB57" s="2" t="s">
        <v>21</v>
      </c>
      <c r="BD57" s="2" t="s">
        <v>801</v>
      </c>
      <c r="BE57" s="2" t="s">
        <v>802</v>
      </c>
      <c r="BF57" s="2" t="s">
        <v>803</v>
      </c>
    </row>
    <row r="58" spans="1:58" ht="39.75" customHeight="1" x14ac:dyDescent="0.25">
      <c r="A58" s="1"/>
      <c r="B58" s="1" t="s">
        <v>0</v>
      </c>
      <c r="C58" s="1" t="s">
        <v>1</v>
      </c>
      <c r="D58" s="1" t="s">
        <v>804</v>
      </c>
      <c r="E58" s="1" t="s">
        <v>805</v>
      </c>
      <c r="F58" s="1" t="s">
        <v>806</v>
      </c>
      <c r="H58" s="2" t="s">
        <v>5</v>
      </c>
      <c r="I58" s="2" t="s">
        <v>6</v>
      </c>
      <c r="J58" s="2" t="s">
        <v>5</v>
      </c>
      <c r="K58" s="2" t="s">
        <v>5</v>
      </c>
      <c r="L58" s="2" t="s">
        <v>7</v>
      </c>
      <c r="M58" s="1" t="s">
        <v>807</v>
      </c>
      <c r="N58" s="1" t="s">
        <v>808</v>
      </c>
      <c r="O58" s="2" t="s">
        <v>530</v>
      </c>
      <c r="Q58" s="2" t="s">
        <v>11</v>
      </c>
      <c r="R58" s="2" t="s">
        <v>809</v>
      </c>
      <c r="T58" s="2" t="s">
        <v>13</v>
      </c>
      <c r="U58" s="3">
        <v>11</v>
      </c>
      <c r="V58" s="3">
        <v>11</v>
      </c>
      <c r="W58" s="4" t="s">
        <v>810</v>
      </c>
      <c r="X58" s="4" t="s">
        <v>810</v>
      </c>
      <c r="Y58" s="4" t="s">
        <v>32</v>
      </c>
      <c r="Z58" s="4" t="s">
        <v>32</v>
      </c>
      <c r="AA58" s="3">
        <v>210</v>
      </c>
      <c r="AB58" s="3">
        <v>161</v>
      </c>
      <c r="AC58" s="3">
        <v>161</v>
      </c>
      <c r="AD58" s="3">
        <v>2</v>
      </c>
      <c r="AE58" s="7">
        <v>2</v>
      </c>
      <c r="AF58" s="7">
        <v>8</v>
      </c>
      <c r="AG58" s="7">
        <v>8</v>
      </c>
      <c r="AH58" s="3">
        <v>0</v>
      </c>
      <c r="AI58" s="3">
        <v>0</v>
      </c>
      <c r="AJ58" s="3">
        <v>0</v>
      </c>
      <c r="AK58" s="3">
        <v>0</v>
      </c>
      <c r="AL58" s="3">
        <v>0</v>
      </c>
      <c r="AM58" s="3">
        <v>0</v>
      </c>
      <c r="AN58" s="3">
        <v>1</v>
      </c>
      <c r="AO58" s="3">
        <v>1</v>
      </c>
      <c r="AP58" s="3">
        <v>7</v>
      </c>
      <c r="AQ58" s="3">
        <v>7</v>
      </c>
      <c r="AR58" s="2" t="s">
        <v>5</v>
      </c>
      <c r="AS58" s="2" t="s">
        <v>5</v>
      </c>
      <c r="AU58" s="5" t="str">
        <f>HYPERLINK("https://creighton-primo.hosted.exlibrisgroup.com/primo-explore/search?tab=default_tab&amp;search_scope=EVERYTHING&amp;vid=01CRU&amp;lang=en_US&amp;offset=0&amp;query=any,contains,991001006169702656","Catalog Record")</f>
        <v>Catalog Record</v>
      </c>
      <c r="AV58" s="5" t="str">
        <f>HYPERLINK("http://www.worldcat.org/oclc/15246880","WorldCat Record")</f>
        <v>WorldCat Record</v>
      </c>
      <c r="AW58" s="2" t="s">
        <v>811</v>
      </c>
      <c r="AX58" s="2" t="s">
        <v>812</v>
      </c>
      <c r="AY58" s="2" t="s">
        <v>813</v>
      </c>
      <c r="AZ58" s="2" t="s">
        <v>813</v>
      </c>
      <c r="BA58" s="2" t="s">
        <v>814</v>
      </c>
      <c r="BB58" s="2" t="s">
        <v>21</v>
      </c>
      <c r="BD58" s="2" t="s">
        <v>815</v>
      </c>
      <c r="BE58" s="2" t="s">
        <v>816</v>
      </c>
      <c r="BF58" s="2" t="s">
        <v>817</v>
      </c>
    </row>
    <row r="59" spans="1:58" ht="39.75" customHeight="1" x14ac:dyDescent="0.25">
      <c r="A59" s="1"/>
      <c r="B59" s="1" t="s">
        <v>0</v>
      </c>
      <c r="C59" s="1" t="s">
        <v>1</v>
      </c>
      <c r="D59" s="1" t="s">
        <v>818</v>
      </c>
      <c r="E59" s="1" t="s">
        <v>819</v>
      </c>
      <c r="F59" s="1" t="s">
        <v>820</v>
      </c>
      <c r="H59" s="2" t="s">
        <v>5</v>
      </c>
      <c r="I59" s="2" t="s">
        <v>6</v>
      </c>
      <c r="J59" s="2" t="s">
        <v>16</v>
      </c>
      <c r="K59" s="2" t="s">
        <v>5</v>
      </c>
      <c r="L59" s="2" t="s">
        <v>7</v>
      </c>
      <c r="M59" s="1" t="s">
        <v>821</v>
      </c>
      <c r="N59" s="1" t="s">
        <v>822</v>
      </c>
      <c r="O59" s="2" t="s">
        <v>275</v>
      </c>
      <c r="Q59" s="2" t="s">
        <v>11</v>
      </c>
      <c r="R59" s="2" t="s">
        <v>76</v>
      </c>
      <c r="T59" s="2" t="s">
        <v>13</v>
      </c>
      <c r="U59" s="3">
        <v>9</v>
      </c>
      <c r="V59" s="3">
        <v>9</v>
      </c>
      <c r="W59" s="4" t="s">
        <v>823</v>
      </c>
      <c r="X59" s="4" t="s">
        <v>823</v>
      </c>
      <c r="Y59" s="4" t="s">
        <v>15</v>
      </c>
      <c r="Z59" s="4" t="s">
        <v>15</v>
      </c>
      <c r="AA59" s="3">
        <v>873</v>
      </c>
      <c r="AB59" s="3">
        <v>708</v>
      </c>
      <c r="AC59" s="3">
        <v>716</v>
      </c>
      <c r="AD59" s="3">
        <v>7</v>
      </c>
      <c r="AE59" s="7">
        <v>7</v>
      </c>
      <c r="AF59" s="7">
        <v>51</v>
      </c>
      <c r="AG59" s="7">
        <v>53</v>
      </c>
      <c r="AH59" s="3">
        <v>13</v>
      </c>
      <c r="AI59" s="3">
        <v>13</v>
      </c>
      <c r="AJ59" s="3">
        <v>5</v>
      </c>
      <c r="AK59" s="3">
        <v>6</v>
      </c>
      <c r="AL59" s="3">
        <v>16</v>
      </c>
      <c r="AM59" s="3">
        <v>17</v>
      </c>
      <c r="AN59" s="3">
        <v>4</v>
      </c>
      <c r="AO59" s="3">
        <v>4</v>
      </c>
      <c r="AP59" s="3">
        <v>22</v>
      </c>
      <c r="AQ59" s="3">
        <v>23</v>
      </c>
      <c r="AR59" s="2" t="s">
        <v>5</v>
      </c>
      <c r="AS59" s="2" t="s">
        <v>16</v>
      </c>
      <c r="AT59" s="5" t="str">
        <f>HYPERLINK("http://catalog.hathitrust.org/Record/000752962","HathiTrust Record")</f>
        <v>HathiTrust Record</v>
      </c>
      <c r="AU59" s="5" t="str">
        <f>HYPERLINK("https://creighton-primo.hosted.exlibrisgroup.com/primo-explore/search?tab=default_tab&amp;search_scope=EVERYTHING&amp;vid=01CRU&amp;lang=en_US&amp;offset=0&amp;query=any,contains,991001783589702656","Catalog Record")</f>
        <v>Catalog Record</v>
      </c>
      <c r="AV59" s="5" t="str">
        <f>HYPERLINK("http://www.worldcat.org/oclc/3447574","WorldCat Record")</f>
        <v>WorldCat Record</v>
      </c>
      <c r="AW59" s="2" t="s">
        <v>824</v>
      </c>
      <c r="AX59" s="2" t="s">
        <v>825</v>
      </c>
      <c r="AY59" s="2" t="s">
        <v>826</v>
      </c>
      <c r="AZ59" s="2" t="s">
        <v>826</v>
      </c>
      <c r="BA59" s="2" t="s">
        <v>827</v>
      </c>
      <c r="BB59" s="2" t="s">
        <v>21</v>
      </c>
      <c r="BD59" s="2" t="s">
        <v>828</v>
      </c>
      <c r="BE59" s="2" t="s">
        <v>829</v>
      </c>
      <c r="BF59" s="2" t="s">
        <v>830</v>
      </c>
    </row>
    <row r="60" spans="1:58" ht="39.75" customHeight="1" x14ac:dyDescent="0.25">
      <c r="A60" s="1"/>
      <c r="B60" s="1" t="s">
        <v>0</v>
      </c>
      <c r="C60" s="1" t="s">
        <v>1</v>
      </c>
      <c r="D60" s="1" t="s">
        <v>831</v>
      </c>
      <c r="E60" s="1" t="s">
        <v>832</v>
      </c>
      <c r="F60" s="1" t="s">
        <v>833</v>
      </c>
      <c r="H60" s="2" t="s">
        <v>5</v>
      </c>
      <c r="I60" s="2" t="s">
        <v>6</v>
      </c>
      <c r="J60" s="2" t="s">
        <v>5</v>
      </c>
      <c r="K60" s="2" t="s">
        <v>5</v>
      </c>
      <c r="L60" s="2" t="s">
        <v>7</v>
      </c>
      <c r="M60" s="1" t="s">
        <v>834</v>
      </c>
      <c r="N60" s="1" t="s">
        <v>835</v>
      </c>
      <c r="O60" s="2" t="s">
        <v>836</v>
      </c>
      <c r="Q60" s="2" t="s">
        <v>11</v>
      </c>
      <c r="R60" s="2" t="s">
        <v>76</v>
      </c>
      <c r="S60" s="1" t="s">
        <v>837</v>
      </c>
      <c r="T60" s="2" t="s">
        <v>13</v>
      </c>
      <c r="U60" s="3">
        <v>2</v>
      </c>
      <c r="V60" s="3">
        <v>2</v>
      </c>
      <c r="W60" s="4" t="s">
        <v>838</v>
      </c>
      <c r="X60" s="4" t="s">
        <v>838</v>
      </c>
      <c r="Y60" s="4" t="s">
        <v>839</v>
      </c>
      <c r="Z60" s="4" t="s">
        <v>839</v>
      </c>
      <c r="AA60" s="3">
        <v>506</v>
      </c>
      <c r="AB60" s="3">
        <v>434</v>
      </c>
      <c r="AC60" s="3">
        <v>464</v>
      </c>
      <c r="AD60" s="3">
        <v>3</v>
      </c>
      <c r="AE60" s="7">
        <v>3</v>
      </c>
      <c r="AF60" s="7">
        <v>30</v>
      </c>
      <c r="AG60" s="7">
        <v>30</v>
      </c>
      <c r="AH60" s="3">
        <v>6</v>
      </c>
      <c r="AI60" s="3">
        <v>6</v>
      </c>
      <c r="AJ60" s="3">
        <v>5</v>
      </c>
      <c r="AK60" s="3">
        <v>5</v>
      </c>
      <c r="AL60" s="3">
        <v>13</v>
      </c>
      <c r="AM60" s="3">
        <v>13</v>
      </c>
      <c r="AN60" s="3">
        <v>2</v>
      </c>
      <c r="AO60" s="3">
        <v>2</v>
      </c>
      <c r="AP60" s="3">
        <v>10</v>
      </c>
      <c r="AQ60" s="3">
        <v>10</v>
      </c>
      <c r="AR60" s="2" t="s">
        <v>5</v>
      </c>
      <c r="AS60" s="2" t="s">
        <v>5</v>
      </c>
      <c r="AU60" s="5" t="str">
        <f>HYPERLINK("https://creighton-primo.hosted.exlibrisgroup.com/primo-explore/search?tab=default_tab&amp;search_scope=EVERYTHING&amp;vid=01CRU&amp;lang=en_US&amp;offset=0&amp;query=any,contains,991004159499702656","Catalog Record")</f>
        <v>Catalog Record</v>
      </c>
      <c r="AV60" s="5" t="str">
        <f>HYPERLINK("http://www.worldcat.org/oclc/2546008","WorldCat Record")</f>
        <v>WorldCat Record</v>
      </c>
      <c r="AW60" s="2" t="s">
        <v>840</v>
      </c>
      <c r="AX60" s="2" t="s">
        <v>841</v>
      </c>
      <c r="AY60" s="2" t="s">
        <v>842</v>
      </c>
      <c r="AZ60" s="2" t="s">
        <v>842</v>
      </c>
      <c r="BA60" s="2" t="s">
        <v>843</v>
      </c>
      <c r="BB60" s="2" t="s">
        <v>21</v>
      </c>
      <c r="BD60" s="2" t="s">
        <v>844</v>
      </c>
      <c r="BE60" s="2" t="s">
        <v>845</v>
      </c>
      <c r="BF60" s="2" t="s">
        <v>846</v>
      </c>
    </row>
    <row r="61" spans="1:58" ht="39.75" customHeight="1" x14ac:dyDescent="0.25">
      <c r="A61" s="1"/>
      <c r="B61" s="1" t="s">
        <v>0</v>
      </c>
      <c r="C61" s="1" t="s">
        <v>1</v>
      </c>
      <c r="D61" s="1" t="s">
        <v>847</v>
      </c>
      <c r="E61" s="1" t="s">
        <v>848</v>
      </c>
      <c r="F61" s="1" t="s">
        <v>849</v>
      </c>
      <c r="H61" s="2" t="s">
        <v>5</v>
      </c>
      <c r="I61" s="2" t="s">
        <v>6</v>
      </c>
      <c r="J61" s="2" t="s">
        <v>5</v>
      </c>
      <c r="K61" s="2" t="s">
        <v>5</v>
      </c>
      <c r="L61" s="2" t="s">
        <v>7</v>
      </c>
      <c r="M61" s="1" t="s">
        <v>199</v>
      </c>
      <c r="N61" s="1" t="s">
        <v>850</v>
      </c>
      <c r="O61" s="2" t="s">
        <v>500</v>
      </c>
      <c r="Q61" s="2" t="s">
        <v>11</v>
      </c>
      <c r="R61" s="2" t="s">
        <v>30</v>
      </c>
      <c r="T61" s="2" t="s">
        <v>13</v>
      </c>
      <c r="U61" s="3">
        <v>8</v>
      </c>
      <c r="V61" s="3">
        <v>8</v>
      </c>
      <c r="W61" s="4" t="s">
        <v>851</v>
      </c>
      <c r="X61" s="4" t="s">
        <v>851</v>
      </c>
      <c r="Y61" s="4" t="s">
        <v>852</v>
      </c>
      <c r="Z61" s="4" t="s">
        <v>852</v>
      </c>
      <c r="AA61" s="3">
        <v>649</v>
      </c>
      <c r="AB61" s="3">
        <v>451</v>
      </c>
      <c r="AC61" s="3">
        <v>493</v>
      </c>
      <c r="AD61" s="3">
        <v>5</v>
      </c>
      <c r="AE61" s="7">
        <v>5</v>
      </c>
      <c r="AF61" s="7">
        <v>34</v>
      </c>
      <c r="AG61" s="7">
        <v>35</v>
      </c>
      <c r="AH61" s="3">
        <v>11</v>
      </c>
      <c r="AI61" s="3">
        <v>11</v>
      </c>
      <c r="AJ61" s="3">
        <v>4</v>
      </c>
      <c r="AK61" s="3">
        <v>4</v>
      </c>
      <c r="AL61" s="3">
        <v>13</v>
      </c>
      <c r="AM61" s="3">
        <v>13</v>
      </c>
      <c r="AN61" s="3">
        <v>4</v>
      </c>
      <c r="AO61" s="3">
        <v>4</v>
      </c>
      <c r="AP61" s="3">
        <v>9</v>
      </c>
      <c r="AQ61" s="3">
        <v>10</v>
      </c>
      <c r="AR61" s="2" t="s">
        <v>5</v>
      </c>
      <c r="AS61" s="2" t="s">
        <v>16</v>
      </c>
      <c r="AT61" s="5" t="str">
        <f>HYPERLINK("http://catalog.hathitrust.org/Record/000260338","HathiTrust Record")</f>
        <v>HathiTrust Record</v>
      </c>
      <c r="AU61" s="5" t="str">
        <f>HYPERLINK("https://creighton-primo.hosted.exlibrisgroup.com/primo-explore/search?tab=default_tab&amp;search_scope=EVERYTHING&amp;vid=01CRU&amp;lang=en_US&amp;offset=0&amp;query=any,contains,991004698159702656","Catalog Record")</f>
        <v>Catalog Record</v>
      </c>
      <c r="AV61" s="5" t="str">
        <f>HYPERLINK("http://www.worldcat.org/oclc/4654446","WorldCat Record")</f>
        <v>WorldCat Record</v>
      </c>
      <c r="AW61" s="2" t="s">
        <v>853</v>
      </c>
      <c r="AX61" s="2" t="s">
        <v>854</v>
      </c>
      <c r="AY61" s="2" t="s">
        <v>855</v>
      </c>
      <c r="AZ61" s="2" t="s">
        <v>855</v>
      </c>
      <c r="BA61" s="2" t="s">
        <v>856</v>
      </c>
      <c r="BB61" s="2" t="s">
        <v>21</v>
      </c>
      <c r="BD61" s="2" t="s">
        <v>857</v>
      </c>
      <c r="BE61" s="2" t="s">
        <v>858</v>
      </c>
      <c r="BF61" s="2" t="s">
        <v>859</v>
      </c>
    </row>
    <row r="62" spans="1:58" ht="39.75" customHeight="1" x14ac:dyDescent="0.25">
      <c r="A62" s="1"/>
      <c r="B62" s="1" t="s">
        <v>0</v>
      </c>
      <c r="C62" s="1" t="s">
        <v>1</v>
      </c>
      <c r="D62" s="1" t="s">
        <v>860</v>
      </c>
      <c r="E62" s="1" t="s">
        <v>861</v>
      </c>
      <c r="F62" s="1" t="s">
        <v>862</v>
      </c>
      <c r="H62" s="2" t="s">
        <v>5</v>
      </c>
      <c r="I62" s="2" t="s">
        <v>6</v>
      </c>
      <c r="J62" s="2" t="s">
        <v>16</v>
      </c>
      <c r="K62" s="2" t="s">
        <v>5</v>
      </c>
      <c r="L62" s="2" t="s">
        <v>7</v>
      </c>
      <c r="M62" s="1" t="s">
        <v>863</v>
      </c>
      <c r="N62" s="1" t="s">
        <v>864</v>
      </c>
      <c r="O62" s="2" t="s">
        <v>586</v>
      </c>
      <c r="Q62" s="2" t="s">
        <v>11</v>
      </c>
      <c r="R62" s="2" t="s">
        <v>244</v>
      </c>
      <c r="T62" s="2" t="s">
        <v>13</v>
      </c>
      <c r="U62" s="3">
        <v>2</v>
      </c>
      <c r="V62" s="3">
        <v>2</v>
      </c>
      <c r="W62" s="4" t="s">
        <v>865</v>
      </c>
      <c r="X62" s="4" t="s">
        <v>865</v>
      </c>
      <c r="Y62" s="4" t="s">
        <v>866</v>
      </c>
      <c r="Z62" s="4" t="s">
        <v>867</v>
      </c>
      <c r="AA62" s="3">
        <v>875</v>
      </c>
      <c r="AB62" s="3">
        <v>770</v>
      </c>
      <c r="AC62" s="3">
        <v>824</v>
      </c>
      <c r="AD62" s="3">
        <v>7</v>
      </c>
      <c r="AE62" s="7">
        <v>7</v>
      </c>
      <c r="AF62" s="7">
        <v>47</v>
      </c>
      <c r="AG62" s="7">
        <v>48</v>
      </c>
      <c r="AH62" s="3">
        <v>12</v>
      </c>
      <c r="AI62" s="3">
        <v>13</v>
      </c>
      <c r="AJ62" s="3">
        <v>6</v>
      </c>
      <c r="AK62" s="3">
        <v>6</v>
      </c>
      <c r="AL62" s="3">
        <v>15</v>
      </c>
      <c r="AM62" s="3">
        <v>15</v>
      </c>
      <c r="AN62" s="3">
        <v>5</v>
      </c>
      <c r="AO62" s="3">
        <v>5</v>
      </c>
      <c r="AP62" s="3">
        <v>17</v>
      </c>
      <c r="AQ62" s="3">
        <v>17</v>
      </c>
      <c r="AR62" s="2" t="s">
        <v>5</v>
      </c>
      <c r="AS62" s="2" t="s">
        <v>16</v>
      </c>
      <c r="AT62" s="5" t="str">
        <f>HYPERLINK("http://catalog.hathitrust.org/Record/003093003","HathiTrust Record")</f>
        <v>HathiTrust Record</v>
      </c>
      <c r="AU62" s="5" t="str">
        <f>HYPERLINK("https://creighton-primo.hosted.exlibrisgroup.com/primo-explore/search?tab=default_tab&amp;search_scope=EVERYTHING&amp;vid=01CRU&amp;lang=en_US&amp;offset=0&amp;query=any,contains,991001671059702656","Catalog Record")</f>
        <v>Catalog Record</v>
      </c>
      <c r="AV62" s="5" t="str">
        <f>HYPERLINK("http://www.worldcat.org/oclc/34411563","WorldCat Record")</f>
        <v>WorldCat Record</v>
      </c>
      <c r="AW62" s="2" t="s">
        <v>868</v>
      </c>
      <c r="AX62" s="2" t="s">
        <v>869</v>
      </c>
      <c r="AY62" s="2" t="s">
        <v>870</v>
      </c>
      <c r="AZ62" s="2" t="s">
        <v>870</v>
      </c>
      <c r="BA62" s="2" t="s">
        <v>871</v>
      </c>
      <c r="BB62" s="2" t="s">
        <v>21</v>
      </c>
      <c r="BD62" s="2" t="s">
        <v>872</v>
      </c>
      <c r="BE62" s="2" t="s">
        <v>873</v>
      </c>
      <c r="BF62" s="2" t="s">
        <v>874</v>
      </c>
    </row>
    <row r="63" spans="1:58" ht="39.75" customHeight="1" x14ac:dyDescent="0.25">
      <c r="A63" s="1"/>
      <c r="B63" s="1" t="s">
        <v>0</v>
      </c>
      <c r="C63" s="1" t="s">
        <v>1</v>
      </c>
      <c r="D63" s="1" t="s">
        <v>875</v>
      </c>
      <c r="E63" s="1" t="s">
        <v>876</v>
      </c>
      <c r="F63" s="1" t="s">
        <v>877</v>
      </c>
      <c r="H63" s="2" t="s">
        <v>5</v>
      </c>
      <c r="I63" s="2" t="s">
        <v>6</v>
      </c>
      <c r="J63" s="2" t="s">
        <v>16</v>
      </c>
      <c r="K63" s="2" t="s">
        <v>5</v>
      </c>
      <c r="L63" s="2" t="s">
        <v>7</v>
      </c>
      <c r="N63" s="1" t="s">
        <v>878</v>
      </c>
      <c r="O63" s="2" t="s">
        <v>458</v>
      </c>
      <c r="Q63" s="2" t="s">
        <v>11</v>
      </c>
      <c r="R63" s="2" t="s">
        <v>185</v>
      </c>
      <c r="T63" s="2" t="s">
        <v>13</v>
      </c>
      <c r="U63" s="3">
        <v>8</v>
      </c>
      <c r="V63" s="3">
        <v>10</v>
      </c>
      <c r="W63" s="4" t="s">
        <v>879</v>
      </c>
      <c r="X63" s="4" t="s">
        <v>879</v>
      </c>
      <c r="Y63" s="4" t="s">
        <v>415</v>
      </c>
      <c r="Z63" s="4" t="s">
        <v>415</v>
      </c>
      <c r="AA63" s="3">
        <v>764</v>
      </c>
      <c r="AB63" s="3">
        <v>653</v>
      </c>
      <c r="AC63" s="3">
        <v>656</v>
      </c>
      <c r="AD63" s="3">
        <v>11</v>
      </c>
      <c r="AE63" s="7">
        <v>11</v>
      </c>
      <c r="AF63" s="7">
        <v>48</v>
      </c>
      <c r="AG63" s="7">
        <v>48</v>
      </c>
      <c r="AH63" s="3">
        <v>11</v>
      </c>
      <c r="AI63" s="3">
        <v>11</v>
      </c>
      <c r="AJ63" s="3">
        <v>9</v>
      </c>
      <c r="AK63" s="3">
        <v>9</v>
      </c>
      <c r="AL63" s="3">
        <v>14</v>
      </c>
      <c r="AM63" s="3">
        <v>14</v>
      </c>
      <c r="AN63" s="3">
        <v>7</v>
      </c>
      <c r="AO63" s="3">
        <v>7</v>
      </c>
      <c r="AP63" s="3">
        <v>15</v>
      </c>
      <c r="AQ63" s="3">
        <v>15</v>
      </c>
      <c r="AR63" s="2" t="s">
        <v>5</v>
      </c>
      <c r="AS63" s="2" t="s">
        <v>5</v>
      </c>
      <c r="AU63" s="5" t="str">
        <f>HYPERLINK("https://creighton-primo.hosted.exlibrisgroup.com/primo-explore/search?tab=default_tab&amp;search_scope=EVERYTHING&amp;vid=01CRU&amp;lang=en_US&amp;offset=0&amp;query=any,contains,991001626849702656","Catalog Record")</f>
        <v>Catalog Record</v>
      </c>
      <c r="AV63" s="5" t="str">
        <f>HYPERLINK("http://www.worldcat.org/oclc/314879","WorldCat Record")</f>
        <v>WorldCat Record</v>
      </c>
      <c r="AW63" s="2" t="s">
        <v>880</v>
      </c>
      <c r="AX63" s="2" t="s">
        <v>881</v>
      </c>
      <c r="AY63" s="2" t="s">
        <v>882</v>
      </c>
      <c r="AZ63" s="2" t="s">
        <v>882</v>
      </c>
      <c r="BA63" s="2" t="s">
        <v>883</v>
      </c>
      <c r="BB63" s="2" t="s">
        <v>21</v>
      </c>
      <c r="BE63" s="2" t="s">
        <v>884</v>
      </c>
      <c r="BF63" s="2" t="s">
        <v>885</v>
      </c>
    </row>
    <row r="64" spans="1:58" ht="39.75" customHeight="1" x14ac:dyDescent="0.25">
      <c r="A64" s="1"/>
      <c r="B64" s="1" t="s">
        <v>0</v>
      </c>
      <c r="C64" s="1" t="s">
        <v>1</v>
      </c>
      <c r="D64" s="1" t="s">
        <v>886</v>
      </c>
      <c r="E64" s="1" t="s">
        <v>887</v>
      </c>
      <c r="F64" s="1" t="s">
        <v>888</v>
      </c>
      <c r="H64" s="2" t="s">
        <v>5</v>
      </c>
      <c r="I64" s="2" t="s">
        <v>6</v>
      </c>
      <c r="J64" s="2" t="s">
        <v>5</v>
      </c>
      <c r="K64" s="2" t="s">
        <v>5</v>
      </c>
      <c r="L64" s="2" t="s">
        <v>7</v>
      </c>
      <c r="N64" s="1" t="s">
        <v>889</v>
      </c>
      <c r="O64" s="2" t="s">
        <v>305</v>
      </c>
      <c r="Q64" s="2" t="s">
        <v>11</v>
      </c>
      <c r="R64" s="2" t="s">
        <v>153</v>
      </c>
      <c r="S64" s="1" t="s">
        <v>890</v>
      </c>
      <c r="T64" s="2" t="s">
        <v>13</v>
      </c>
      <c r="U64" s="3">
        <v>9</v>
      </c>
      <c r="V64" s="3">
        <v>9</v>
      </c>
      <c r="W64" s="4" t="s">
        <v>879</v>
      </c>
      <c r="X64" s="4" t="s">
        <v>879</v>
      </c>
      <c r="Y64" s="4" t="s">
        <v>891</v>
      </c>
      <c r="Z64" s="4" t="s">
        <v>891</v>
      </c>
      <c r="AA64" s="3">
        <v>367</v>
      </c>
      <c r="AB64" s="3">
        <v>296</v>
      </c>
      <c r="AC64" s="3">
        <v>304</v>
      </c>
      <c r="AD64" s="3">
        <v>2</v>
      </c>
      <c r="AE64" s="7">
        <v>2</v>
      </c>
      <c r="AF64" s="7">
        <v>13</v>
      </c>
      <c r="AG64" s="7">
        <v>13</v>
      </c>
      <c r="AH64" s="3">
        <v>2</v>
      </c>
      <c r="AI64" s="3">
        <v>2</v>
      </c>
      <c r="AJ64" s="3">
        <v>1</v>
      </c>
      <c r="AK64" s="3">
        <v>1</v>
      </c>
      <c r="AL64" s="3">
        <v>3</v>
      </c>
      <c r="AM64" s="3">
        <v>3</v>
      </c>
      <c r="AN64" s="3">
        <v>1</v>
      </c>
      <c r="AO64" s="3">
        <v>1</v>
      </c>
      <c r="AP64" s="3">
        <v>6</v>
      </c>
      <c r="AQ64" s="3">
        <v>6</v>
      </c>
      <c r="AR64" s="2" t="s">
        <v>5</v>
      </c>
      <c r="AS64" s="2" t="s">
        <v>5</v>
      </c>
      <c r="AU64" s="5" t="str">
        <f>HYPERLINK("https://creighton-primo.hosted.exlibrisgroup.com/primo-explore/search?tab=default_tab&amp;search_scope=EVERYTHING&amp;vid=01CRU&amp;lang=en_US&amp;offset=0&amp;query=any,contains,991002348099702656","Catalog Record")</f>
        <v>Catalog Record</v>
      </c>
      <c r="AV64" s="5" t="str">
        <f>HYPERLINK("http://www.worldcat.org/oclc/30593302","WorldCat Record")</f>
        <v>WorldCat Record</v>
      </c>
      <c r="AW64" s="2" t="s">
        <v>892</v>
      </c>
      <c r="AX64" s="2" t="s">
        <v>893</v>
      </c>
      <c r="AY64" s="2" t="s">
        <v>894</v>
      </c>
      <c r="AZ64" s="2" t="s">
        <v>894</v>
      </c>
      <c r="BA64" s="2" t="s">
        <v>895</v>
      </c>
      <c r="BB64" s="2" t="s">
        <v>21</v>
      </c>
      <c r="BD64" s="2" t="s">
        <v>896</v>
      </c>
      <c r="BE64" s="2" t="s">
        <v>897</v>
      </c>
      <c r="BF64" s="2" t="s">
        <v>898</v>
      </c>
    </row>
    <row r="65" spans="1:58" ht="39.75" customHeight="1" x14ac:dyDescent="0.25">
      <c r="A65" s="1"/>
      <c r="B65" s="1" t="s">
        <v>0</v>
      </c>
      <c r="C65" s="1" t="s">
        <v>1</v>
      </c>
      <c r="D65" s="1" t="s">
        <v>899</v>
      </c>
      <c r="E65" s="1" t="s">
        <v>900</v>
      </c>
      <c r="F65" s="1" t="s">
        <v>901</v>
      </c>
      <c r="H65" s="2" t="s">
        <v>5</v>
      </c>
      <c r="I65" s="2" t="s">
        <v>6</v>
      </c>
      <c r="J65" s="2" t="s">
        <v>5</v>
      </c>
      <c r="K65" s="2" t="s">
        <v>5</v>
      </c>
      <c r="L65" s="2" t="s">
        <v>7</v>
      </c>
      <c r="N65" s="1" t="s">
        <v>902</v>
      </c>
      <c r="O65" s="2" t="s">
        <v>228</v>
      </c>
      <c r="Q65" s="2" t="s">
        <v>11</v>
      </c>
      <c r="R65" s="2" t="s">
        <v>903</v>
      </c>
      <c r="T65" s="2" t="s">
        <v>13</v>
      </c>
      <c r="U65" s="3">
        <v>8</v>
      </c>
      <c r="V65" s="3">
        <v>8</v>
      </c>
      <c r="W65" s="4" t="s">
        <v>904</v>
      </c>
      <c r="X65" s="4" t="s">
        <v>904</v>
      </c>
      <c r="Y65" s="4" t="s">
        <v>905</v>
      </c>
      <c r="Z65" s="4" t="s">
        <v>905</v>
      </c>
      <c r="AA65" s="3">
        <v>101</v>
      </c>
      <c r="AB65" s="3">
        <v>97</v>
      </c>
      <c r="AC65" s="3">
        <v>163</v>
      </c>
      <c r="AD65" s="3">
        <v>2</v>
      </c>
      <c r="AE65" s="7">
        <v>2</v>
      </c>
      <c r="AF65" s="7">
        <v>2</v>
      </c>
      <c r="AG65" s="7">
        <v>3</v>
      </c>
      <c r="AH65" s="3">
        <v>0</v>
      </c>
      <c r="AI65" s="3">
        <v>0</v>
      </c>
      <c r="AJ65" s="3">
        <v>0</v>
      </c>
      <c r="AK65" s="3">
        <v>0</v>
      </c>
      <c r="AL65" s="3">
        <v>0</v>
      </c>
      <c r="AM65" s="3">
        <v>1</v>
      </c>
      <c r="AN65" s="3">
        <v>1</v>
      </c>
      <c r="AO65" s="3">
        <v>1</v>
      </c>
      <c r="AP65" s="3">
        <v>1</v>
      </c>
      <c r="AQ65" s="3">
        <v>1</v>
      </c>
      <c r="AR65" s="2" t="s">
        <v>5</v>
      </c>
      <c r="AS65" s="2" t="s">
        <v>5</v>
      </c>
      <c r="AU65" s="5" t="str">
        <f>HYPERLINK("https://creighton-primo.hosted.exlibrisgroup.com/primo-explore/search?tab=default_tab&amp;search_scope=EVERYTHING&amp;vid=01CRU&amp;lang=en_US&amp;offset=0&amp;query=any,contains,991001501309702656","Catalog Record")</f>
        <v>Catalog Record</v>
      </c>
      <c r="AV65" s="5" t="str">
        <f>HYPERLINK("http://www.worldcat.org/oclc/19806376","WorldCat Record")</f>
        <v>WorldCat Record</v>
      </c>
      <c r="AW65" s="2" t="s">
        <v>906</v>
      </c>
      <c r="AX65" s="2" t="s">
        <v>907</v>
      </c>
      <c r="AY65" s="2" t="s">
        <v>908</v>
      </c>
      <c r="AZ65" s="2" t="s">
        <v>908</v>
      </c>
      <c r="BA65" s="2" t="s">
        <v>909</v>
      </c>
      <c r="BB65" s="2" t="s">
        <v>21</v>
      </c>
      <c r="BD65" s="2" t="s">
        <v>910</v>
      </c>
      <c r="BE65" s="2" t="s">
        <v>911</v>
      </c>
      <c r="BF65" s="2" t="s">
        <v>912</v>
      </c>
    </row>
    <row r="66" spans="1:58" ht="39.75" customHeight="1" x14ac:dyDescent="0.25">
      <c r="A66" s="1"/>
      <c r="B66" s="1" t="s">
        <v>0</v>
      </c>
      <c r="C66" s="1" t="s">
        <v>1</v>
      </c>
      <c r="D66" s="1" t="s">
        <v>913</v>
      </c>
      <c r="E66" s="1" t="s">
        <v>914</v>
      </c>
      <c r="F66" s="1" t="s">
        <v>915</v>
      </c>
      <c r="H66" s="2" t="s">
        <v>5</v>
      </c>
      <c r="I66" s="2" t="s">
        <v>6</v>
      </c>
      <c r="J66" s="2" t="s">
        <v>5</v>
      </c>
      <c r="K66" s="2" t="s">
        <v>16</v>
      </c>
      <c r="L66" s="2" t="s">
        <v>7</v>
      </c>
      <c r="M66" s="1" t="s">
        <v>916</v>
      </c>
      <c r="N66" s="1" t="s">
        <v>917</v>
      </c>
      <c r="O66" s="2" t="s">
        <v>918</v>
      </c>
      <c r="Q66" s="2" t="s">
        <v>919</v>
      </c>
      <c r="R66" s="2" t="s">
        <v>920</v>
      </c>
      <c r="T66" s="2" t="s">
        <v>13</v>
      </c>
      <c r="U66" s="3">
        <v>2</v>
      </c>
      <c r="V66" s="3">
        <v>2</v>
      </c>
      <c r="W66" s="4" t="s">
        <v>921</v>
      </c>
      <c r="X66" s="4" t="s">
        <v>921</v>
      </c>
      <c r="Y66" s="4" t="s">
        <v>922</v>
      </c>
      <c r="Z66" s="4" t="s">
        <v>922</v>
      </c>
      <c r="AA66" s="3">
        <v>21</v>
      </c>
      <c r="AB66" s="3">
        <v>17</v>
      </c>
      <c r="AC66" s="3">
        <v>516</v>
      </c>
      <c r="AD66" s="3">
        <v>1</v>
      </c>
      <c r="AE66" s="7">
        <v>5</v>
      </c>
      <c r="AF66" s="7">
        <v>1</v>
      </c>
      <c r="AG66" s="7">
        <v>26</v>
      </c>
      <c r="AH66" s="3">
        <v>0</v>
      </c>
      <c r="AI66" s="3">
        <v>6</v>
      </c>
      <c r="AJ66" s="3">
        <v>1</v>
      </c>
      <c r="AK66" s="3">
        <v>2</v>
      </c>
      <c r="AL66" s="3">
        <v>0</v>
      </c>
      <c r="AM66" s="3">
        <v>6</v>
      </c>
      <c r="AN66" s="3">
        <v>0</v>
      </c>
      <c r="AO66" s="3">
        <v>2</v>
      </c>
      <c r="AP66" s="3">
        <v>0</v>
      </c>
      <c r="AQ66" s="3">
        <v>14</v>
      </c>
      <c r="AR66" s="2" t="s">
        <v>5</v>
      </c>
      <c r="AS66" s="2" t="s">
        <v>5</v>
      </c>
      <c r="AU66" s="5" t="str">
        <f>HYPERLINK("https://creighton-primo.hosted.exlibrisgroup.com/primo-explore/search?tab=default_tab&amp;search_scope=EVERYTHING&amp;vid=01CRU&amp;lang=en_US&amp;offset=0&amp;query=any,contains,991002696529702656","Catalog Record")</f>
        <v>Catalog Record</v>
      </c>
      <c r="AV66" s="5" t="str">
        <f>HYPERLINK("http://www.worldcat.org/oclc/35203533","WorldCat Record")</f>
        <v>WorldCat Record</v>
      </c>
      <c r="AW66" s="2" t="s">
        <v>923</v>
      </c>
      <c r="AX66" s="2" t="s">
        <v>924</v>
      </c>
      <c r="AY66" s="2" t="s">
        <v>925</v>
      </c>
      <c r="AZ66" s="2" t="s">
        <v>925</v>
      </c>
      <c r="BA66" s="2" t="s">
        <v>926</v>
      </c>
      <c r="BB66" s="2" t="s">
        <v>21</v>
      </c>
      <c r="BD66" s="2" t="s">
        <v>927</v>
      </c>
      <c r="BE66" s="2" t="s">
        <v>928</v>
      </c>
      <c r="BF66" s="2" t="s">
        <v>929</v>
      </c>
    </row>
    <row r="67" spans="1:58" ht="39.75" customHeight="1" x14ac:dyDescent="0.25">
      <c r="A67" s="1"/>
      <c r="B67" s="1" t="s">
        <v>0</v>
      </c>
      <c r="C67" s="1" t="s">
        <v>1</v>
      </c>
      <c r="D67" s="1" t="s">
        <v>930</v>
      </c>
      <c r="E67" s="1" t="s">
        <v>931</v>
      </c>
      <c r="F67" s="1" t="s">
        <v>932</v>
      </c>
      <c r="H67" s="2" t="s">
        <v>5</v>
      </c>
      <c r="I67" s="2" t="s">
        <v>6</v>
      </c>
      <c r="J67" s="2" t="s">
        <v>16</v>
      </c>
      <c r="K67" s="2" t="s">
        <v>5</v>
      </c>
      <c r="L67" s="2" t="s">
        <v>7</v>
      </c>
      <c r="M67" s="1" t="s">
        <v>933</v>
      </c>
      <c r="N67" s="1" t="s">
        <v>934</v>
      </c>
      <c r="O67" s="2" t="s">
        <v>387</v>
      </c>
      <c r="Q67" s="2" t="s">
        <v>11</v>
      </c>
      <c r="R67" s="2" t="s">
        <v>76</v>
      </c>
      <c r="T67" s="2" t="s">
        <v>13</v>
      </c>
      <c r="U67" s="3">
        <v>2</v>
      </c>
      <c r="V67" s="3">
        <v>2</v>
      </c>
      <c r="W67" s="4" t="s">
        <v>935</v>
      </c>
      <c r="X67" s="4" t="s">
        <v>935</v>
      </c>
      <c r="Y67" s="4" t="s">
        <v>15</v>
      </c>
      <c r="Z67" s="4" t="s">
        <v>15</v>
      </c>
      <c r="AA67" s="3">
        <v>965</v>
      </c>
      <c r="AB67" s="3">
        <v>851</v>
      </c>
      <c r="AC67" s="3">
        <v>948</v>
      </c>
      <c r="AD67" s="3">
        <v>7</v>
      </c>
      <c r="AE67" s="7">
        <v>7</v>
      </c>
      <c r="AF67" s="7">
        <v>46</v>
      </c>
      <c r="AG67" s="7">
        <v>49</v>
      </c>
      <c r="AH67" s="3">
        <v>11</v>
      </c>
      <c r="AI67" s="3">
        <v>11</v>
      </c>
      <c r="AJ67" s="3">
        <v>8</v>
      </c>
      <c r="AK67" s="3">
        <v>8</v>
      </c>
      <c r="AL67" s="3">
        <v>19</v>
      </c>
      <c r="AM67" s="3">
        <v>20</v>
      </c>
      <c r="AN67" s="3">
        <v>4</v>
      </c>
      <c r="AO67" s="3">
        <v>4</v>
      </c>
      <c r="AP67" s="3">
        <v>14</v>
      </c>
      <c r="AQ67" s="3">
        <v>16</v>
      </c>
      <c r="AR67" s="2" t="s">
        <v>5</v>
      </c>
      <c r="AS67" s="2" t="s">
        <v>16</v>
      </c>
      <c r="AT67" s="5" t="str">
        <f>HYPERLINK("http://catalog.hathitrust.org/Record/000332268","HathiTrust Record")</f>
        <v>HathiTrust Record</v>
      </c>
      <c r="AU67" s="5" t="str">
        <f>HYPERLINK("https://creighton-primo.hosted.exlibrisgroup.com/primo-explore/search?tab=default_tab&amp;search_scope=EVERYTHING&amp;vid=01CRU&amp;lang=en_US&amp;offset=0&amp;query=any,contains,991001627959702656","Catalog Record")</f>
        <v>Catalog Record</v>
      </c>
      <c r="AV67" s="5" t="str">
        <f>HYPERLINK("http://www.worldcat.org/oclc/10925115","WorldCat Record")</f>
        <v>WorldCat Record</v>
      </c>
      <c r="AW67" s="2" t="s">
        <v>936</v>
      </c>
      <c r="AX67" s="2" t="s">
        <v>937</v>
      </c>
      <c r="AY67" s="2" t="s">
        <v>938</v>
      </c>
      <c r="AZ67" s="2" t="s">
        <v>938</v>
      </c>
      <c r="BA67" s="2" t="s">
        <v>939</v>
      </c>
      <c r="BB67" s="2" t="s">
        <v>21</v>
      </c>
      <c r="BD67" s="2" t="s">
        <v>940</v>
      </c>
      <c r="BE67" s="2" t="s">
        <v>941</v>
      </c>
      <c r="BF67" s="2" t="s">
        <v>942</v>
      </c>
    </row>
    <row r="68" spans="1:58" ht="39.75" customHeight="1" x14ac:dyDescent="0.25">
      <c r="A68" s="1"/>
      <c r="B68" s="1" t="s">
        <v>0</v>
      </c>
      <c r="C68" s="1" t="s">
        <v>1</v>
      </c>
      <c r="D68" s="1" t="s">
        <v>943</v>
      </c>
      <c r="E68" s="1" t="s">
        <v>944</v>
      </c>
      <c r="F68" s="1" t="s">
        <v>945</v>
      </c>
      <c r="H68" s="2" t="s">
        <v>5</v>
      </c>
      <c r="I68" s="2" t="s">
        <v>6</v>
      </c>
      <c r="J68" s="2" t="s">
        <v>5</v>
      </c>
      <c r="K68" s="2" t="s">
        <v>5</v>
      </c>
      <c r="L68" s="2" t="s">
        <v>7</v>
      </c>
      <c r="M68" s="1" t="s">
        <v>946</v>
      </c>
      <c r="N68" s="1" t="s">
        <v>947</v>
      </c>
      <c r="O68" s="2" t="s">
        <v>355</v>
      </c>
      <c r="Q68" s="2" t="s">
        <v>11</v>
      </c>
      <c r="R68" s="2" t="s">
        <v>124</v>
      </c>
      <c r="S68" s="1" t="s">
        <v>948</v>
      </c>
      <c r="T68" s="2" t="s">
        <v>13</v>
      </c>
      <c r="U68" s="3">
        <v>9</v>
      </c>
      <c r="V68" s="3">
        <v>9</v>
      </c>
      <c r="W68" s="4" t="s">
        <v>949</v>
      </c>
      <c r="X68" s="4" t="s">
        <v>949</v>
      </c>
      <c r="Y68" s="4" t="s">
        <v>852</v>
      </c>
      <c r="Z68" s="4" t="s">
        <v>852</v>
      </c>
      <c r="AA68" s="3">
        <v>363</v>
      </c>
      <c r="AB68" s="3">
        <v>329</v>
      </c>
      <c r="AC68" s="3">
        <v>526</v>
      </c>
      <c r="AD68" s="3">
        <v>1</v>
      </c>
      <c r="AE68" s="7">
        <v>1</v>
      </c>
      <c r="AF68" s="7">
        <v>25</v>
      </c>
      <c r="AG68" s="7">
        <v>34</v>
      </c>
      <c r="AH68" s="3">
        <v>7</v>
      </c>
      <c r="AI68" s="3">
        <v>13</v>
      </c>
      <c r="AJ68" s="3">
        <v>6</v>
      </c>
      <c r="AK68" s="3">
        <v>7</v>
      </c>
      <c r="AL68" s="3">
        <v>10</v>
      </c>
      <c r="AM68" s="3">
        <v>15</v>
      </c>
      <c r="AN68" s="3">
        <v>0</v>
      </c>
      <c r="AO68" s="3">
        <v>0</v>
      </c>
      <c r="AP68" s="3">
        <v>8</v>
      </c>
      <c r="AQ68" s="3">
        <v>8</v>
      </c>
      <c r="AR68" s="2" t="s">
        <v>5</v>
      </c>
      <c r="AS68" s="2" t="s">
        <v>16</v>
      </c>
      <c r="AT68" s="5" t="str">
        <f>HYPERLINK("http://catalog.hathitrust.org/Record/004402883","HathiTrust Record")</f>
        <v>HathiTrust Record</v>
      </c>
      <c r="AU68" s="5" t="str">
        <f>HYPERLINK("https://creighton-primo.hosted.exlibrisgroup.com/primo-explore/search?tab=default_tab&amp;search_scope=EVERYTHING&amp;vid=01CRU&amp;lang=en_US&amp;offset=0&amp;query=any,contains,991003521609702656","Catalog Record")</f>
        <v>Catalog Record</v>
      </c>
      <c r="AV68" s="5" t="str">
        <f>HYPERLINK("http://www.worldcat.org/oclc/1083112","WorldCat Record")</f>
        <v>WorldCat Record</v>
      </c>
      <c r="AW68" s="2" t="s">
        <v>950</v>
      </c>
      <c r="AX68" s="2" t="s">
        <v>951</v>
      </c>
      <c r="AY68" s="2" t="s">
        <v>952</v>
      </c>
      <c r="AZ68" s="2" t="s">
        <v>952</v>
      </c>
      <c r="BA68" s="2" t="s">
        <v>953</v>
      </c>
      <c r="BB68" s="2" t="s">
        <v>21</v>
      </c>
      <c r="BD68" s="2" t="s">
        <v>954</v>
      </c>
      <c r="BE68" s="2" t="s">
        <v>955</v>
      </c>
      <c r="BF68" s="2" t="s">
        <v>956</v>
      </c>
    </row>
    <row r="69" spans="1:58" ht="39.75" customHeight="1" x14ac:dyDescent="0.25">
      <c r="A69" s="1"/>
      <c r="B69" s="1" t="s">
        <v>0</v>
      </c>
      <c r="C69" s="1" t="s">
        <v>1</v>
      </c>
      <c r="D69" s="1" t="s">
        <v>957</v>
      </c>
      <c r="E69" s="1" t="s">
        <v>958</v>
      </c>
      <c r="F69" s="1" t="s">
        <v>959</v>
      </c>
      <c r="H69" s="2" t="s">
        <v>5</v>
      </c>
      <c r="I69" s="2" t="s">
        <v>6</v>
      </c>
      <c r="J69" s="2" t="s">
        <v>5</v>
      </c>
      <c r="K69" s="2" t="s">
        <v>16</v>
      </c>
      <c r="L69" s="2" t="s">
        <v>7</v>
      </c>
      <c r="M69" s="1" t="s">
        <v>960</v>
      </c>
      <c r="N69" s="1" t="s">
        <v>961</v>
      </c>
      <c r="O69" s="2" t="s">
        <v>123</v>
      </c>
      <c r="P69" s="1" t="s">
        <v>962</v>
      </c>
      <c r="Q69" s="2" t="s">
        <v>11</v>
      </c>
      <c r="R69" s="2" t="s">
        <v>12</v>
      </c>
      <c r="T69" s="2" t="s">
        <v>13</v>
      </c>
      <c r="U69" s="3">
        <v>7</v>
      </c>
      <c r="V69" s="3">
        <v>7</v>
      </c>
      <c r="W69" s="4" t="s">
        <v>963</v>
      </c>
      <c r="X69" s="4" t="s">
        <v>963</v>
      </c>
      <c r="Y69" s="4" t="s">
        <v>15</v>
      </c>
      <c r="Z69" s="4" t="s">
        <v>15</v>
      </c>
      <c r="AA69" s="3">
        <v>181</v>
      </c>
      <c r="AB69" s="3">
        <v>172</v>
      </c>
      <c r="AC69" s="3">
        <v>316</v>
      </c>
      <c r="AD69" s="3">
        <v>4</v>
      </c>
      <c r="AE69" s="7">
        <v>6</v>
      </c>
      <c r="AF69" s="7">
        <v>25</v>
      </c>
      <c r="AG69" s="7">
        <v>35</v>
      </c>
      <c r="AH69" s="3">
        <v>7</v>
      </c>
      <c r="AI69" s="3">
        <v>10</v>
      </c>
      <c r="AJ69" s="3">
        <v>6</v>
      </c>
      <c r="AK69" s="3">
        <v>8</v>
      </c>
      <c r="AL69" s="3">
        <v>16</v>
      </c>
      <c r="AM69" s="3">
        <v>17</v>
      </c>
      <c r="AN69" s="3">
        <v>0</v>
      </c>
      <c r="AO69" s="3">
        <v>1</v>
      </c>
      <c r="AP69" s="3">
        <v>4</v>
      </c>
      <c r="AQ69" s="3">
        <v>9</v>
      </c>
      <c r="AR69" s="2" t="s">
        <v>5</v>
      </c>
      <c r="AS69" s="2" t="s">
        <v>5</v>
      </c>
      <c r="AU69" s="5" t="str">
        <f>HYPERLINK("https://creighton-primo.hosted.exlibrisgroup.com/primo-explore/search?tab=default_tab&amp;search_scope=EVERYTHING&amp;vid=01CRU&amp;lang=en_US&amp;offset=0&amp;query=any,contains,991003763739702656","Catalog Record")</f>
        <v>Catalog Record</v>
      </c>
      <c r="AV69" s="5" t="str">
        <f>HYPERLINK("http://www.worldcat.org/oclc/1454200","WorldCat Record")</f>
        <v>WorldCat Record</v>
      </c>
      <c r="AW69" s="2" t="s">
        <v>964</v>
      </c>
      <c r="AX69" s="2" t="s">
        <v>965</v>
      </c>
      <c r="AY69" s="2" t="s">
        <v>966</v>
      </c>
      <c r="AZ69" s="2" t="s">
        <v>966</v>
      </c>
      <c r="BA69" s="2" t="s">
        <v>967</v>
      </c>
      <c r="BB69" s="2" t="s">
        <v>21</v>
      </c>
      <c r="BE69" s="2" t="s">
        <v>968</v>
      </c>
      <c r="BF69" s="2" t="s">
        <v>969</v>
      </c>
    </row>
    <row r="70" spans="1:58" ht="39.75" customHeight="1" x14ac:dyDescent="0.25">
      <c r="A70" s="1"/>
      <c r="B70" s="1" t="s">
        <v>0</v>
      </c>
      <c r="C70" s="1" t="s">
        <v>1</v>
      </c>
      <c r="D70" s="1" t="s">
        <v>970</v>
      </c>
      <c r="E70" s="1" t="s">
        <v>971</v>
      </c>
      <c r="F70" s="1" t="s">
        <v>972</v>
      </c>
      <c r="H70" s="2" t="s">
        <v>5</v>
      </c>
      <c r="I70" s="2" t="s">
        <v>6</v>
      </c>
      <c r="J70" s="2" t="s">
        <v>5</v>
      </c>
      <c r="K70" s="2" t="s">
        <v>5</v>
      </c>
      <c r="L70" s="2" t="s">
        <v>7</v>
      </c>
      <c r="M70" s="1" t="s">
        <v>973</v>
      </c>
      <c r="N70" s="1" t="s">
        <v>974</v>
      </c>
      <c r="O70" s="2" t="s">
        <v>486</v>
      </c>
      <c r="P70" s="1" t="s">
        <v>975</v>
      </c>
      <c r="Q70" s="2" t="s">
        <v>11</v>
      </c>
      <c r="R70" s="2" t="s">
        <v>260</v>
      </c>
      <c r="T70" s="2" t="s">
        <v>13</v>
      </c>
      <c r="U70" s="3">
        <v>11</v>
      </c>
      <c r="V70" s="3">
        <v>11</v>
      </c>
      <c r="W70" s="4" t="s">
        <v>976</v>
      </c>
      <c r="X70" s="4" t="s">
        <v>976</v>
      </c>
      <c r="Y70" s="4" t="s">
        <v>388</v>
      </c>
      <c r="Z70" s="4" t="s">
        <v>388</v>
      </c>
      <c r="AA70" s="3">
        <v>142</v>
      </c>
      <c r="AB70" s="3">
        <v>120</v>
      </c>
      <c r="AC70" s="3">
        <v>205</v>
      </c>
      <c r="AD70" s="3">
        <v>2</v>
      </c>
      <c r="AE70" s="7">
        <v>2</v>
      </c>
      <c r="AF70" s="7">
        <v>13</v>
      </c>
      <c r="AG70" s="7">
        <v>24</v>
      </c>
      <c r="AH70" s="3">
        <v>1</v>
      </c>
      <c r="AI70" s="3">
        <v>5</v>
      </c>
      <c r="AJ70" s="3">
        <v>1</v>
      </c>
      <c r="AK70" s="3">
        <v>5</v>
      </c>
      <c r="AL70" s="3">
        <v>5</v>
      </c>
      <c r="AM70" s="3">
        <v>12</v>
      </c>
      <c r="AN70" s="3">
        <v>0</v>
      </c>
      <c r="AO70" s="3">
        <v>0</v>
      </c>
      <c r="AP70" s="3">
        <v>7</v>
      </c>
      <c r="AQ70" s="3">
        <v>7</v>
      </c>
      <c r="AR70" s="2" t="s">
        <v>5</v>
      </c>
      <c r="AS70" s="2" t="s">
        <v>5</v>
      </c>
      <c r="AU70" s="5" t="str">
        <f>HYPERLINK("https://creighton-primo.hosted.exlibrisgroup.com/primo-explore/search?tab=default_tab&amp;search_scope=EVERYTHING&amp;vid=01CRU&amp;lang=en_US&amp;offset=0&amp;query=any,contains,991000267869702656","Catalog Record")</f>
        <v>Catalog Record</v>
      </c>
      <c r="AV70" s="5" t="str">
        <f>HYPERLINK("http://www.worldcat.org/oclc/9845525","WorldCat Record")</f>
        <v>WorldCat Record</v>
      </c>
      <c r="AW70" s="2" t="s">
        <v>977</v>
      </c>
      <c r="AX70" s="2" t="s">
        <v>978</v>
      </c>
      <c r="AY70" s="2" t="s">
        <v>979</v>
      </c>
      <c r="AZ70" s="2" t="s">
        <v>979</v>
      </c>
      <c r="BA70" s="2" t="s">
        <v>980</v>
      </c>
      <c r="BB70" s="2" t="s">
        <v>21</v>
      </c>
      <c r="BD70" s="2" t="s">
        <v>981</v>
      </c>
      <c r="BE70" s="2" t="s">
        <v>982</v>
      </c>
      <c r="BF70" s="2" t="s">
        <v>983</v>
      </c>
    </row>
    <row r="71" spans="1:58" ht="39.75" customHeight="1" x14ac:dyDescent="0.25">
      <c r="A71" s="1"/>
      <c r="B71" s="1" t="s">
        <v>0</v>
      </c>
      <c r="C71" s="1" t="s">
        <v>1</v>
      </c>
      <c r="D71" s="1" t="s">
        <v>984</v>
      </c>
      <c r="E71" s="1" t="s">
        <v>985</v>
      </c>
      <c r="F71" s="1" t="s">
        <v>986</v>
      </c>
      <c r="H71" s="2" t="s">
        <v>5</v>
      </c>
      <c r="I71" s="2" t="s">
        <v>6</v>
      </c>
      <c r="J71" s="2" t="s">
        <v>16</v>
      </c>
      <c r="K71" s="2" t="s">
        <v>5</v>
      </c>
      <c r="L71" s="2" t="s">
        <v>7</v>
      </c>
      <c r="M71" s="1" t="s">
        <v>987</v>
      </c>
      <c r="N71" s="1" t="s">
        <v>988</v>
      </c>
      <c r="O71" s="2" t="s">
        <v>29</v>
      </c>
      <c r="Q71" s="2" t="s">
        <v>11</v>
      </c>
      <c r="R71" s="2" t="s">
        <v>306</v>
      </c>
      <c r="T71" s="2" t="s">
        <v>13</v>
      </c>
      <c r="U71" s="3">
        <v>3</v>
      </c>
      <c r="V71" s="3">
        <v>4</v>
      </c>
      <c r="W71" s="4" t="s">
        <v>989</v>
      </c>
      <c r="X71" s="4" t="s">
        <v>989</v>
      </c>
      <c r="Y71" s="4" t="s">
        <v>32</v>
      </c>
      <c r="Z71" s="4" t="s">
        <v>32</v>
      </c>
      <c r="AA71" s="3">
        <v>490</v>
      </c>
      <c r="AB71" s="3">
        <v>363</v>
      </c>
      <c r="AC71" s="3">
        <v>365</v>
      </c>
      <c r="AD71" s="3">
        <v>5</v>
      </c>
      <c r="AE71" s="7">
        <v>5</v>
      </c>
      <c r="AF71" s="7">
        <v>33</v>
      </c>
      <c r="AG71" s="7">
        <v>33</v>
      </c>
      <c r="AH71" s="3">
        <v>3</v>
      </c>
      <c r="AI71" s="3">
        <v>3</v>
      </c>
      <c r="AJ71" s="3">
        <v>3</v>
      </c>
      <c r="AK71" s="3">
        <v>3</v>
      </c>
      <c r="AL71" s="3">
        <v>8</v>
      </c>
      <c r="AM71" s="3">
        <v>8</v>
      </c>
      <c r="AN71" s="3">
        <v>2</v>
      </c>
      <c r="AO71" s="3">
        <v>2</v>
      </c>
      <c r="AP71" s="3">
        <v>20</v>
      </c>
      <c r="AQ71" s="3">
        <v>20</v>
      </c>
      <c r="AR71" s="2" t="s">
        <v>5</v>
      </c>
      <c r="AS71" s="2" t="s">
        <v>5</v>
      </c>
      <c r="AU71" s="5" t="str">
        <f>HYPERLINK("https://creighton-primo.hosted.exlibrisgroup.com/primo-explore/search?tab=default_tab&amp;search_scope=EVERYTHING&amp;vid=01CRU&amp;lang=en_US&amp;offset=0&amp;query=any,contains,991001616949702656","Catalog Record")</f>
        <v>Catalog Record</v>
      </c>
      <c r="AV71" s="5" t="str">
        <f>HYPERLINK("http://www.worldcat.org/oclc/6486606","WorldCat Record")</f>
        <v>WorldCat Record</v>
      </c>
      <c r="AW71" s="2" t="s">
        <v>990</v>
      </c>
      <c r="AX71" s="2" t="s">
        <v>991</v>
      </c>
      <c r="AY71" s="2" t="s">
        <v>992</v>
      </c>
      <c r="AZ71" s="2" t="s">
        <v>992</v>
      </c>
      <c r="BA71" s="2" t="s">
        <v>993</v>
      </c>
      <c r="BB71" s="2" t="s">
        <v>21</v>
      </c>
      <c r="BD71" s="2" t="s">
        <v>994</v>
      </c>
      <c r="BE71" s="2" t="s">
        <v>995</v>
      </c>
      <c r="BF71" s="2" t="s">
        <v>996</v>
      </c>
    </row>
    <row r="72" spans="1:58" ht="39.75" customHeight="1" x14ac:dyDescent="0.25">
      <c r="A72" s="1"/>
      <c r="B72" s="1" t="s">
        <v>0</v>
      </c>
      <c r="C72" s="1" t="s">
        <v>1</v>
      </c>
      <c r="D72" s="1" t="s">
        <v>997</v>
      </c>
      <c r="E72" s="1" t="s">
        <v>998</v>
      </c>
      <c r="F72" s="1" t="s">
        <v>999</v>
      </c>
      <c r="H72" s="2" t="s">
        <v>5</v>
      </c>
      <c r="I72" s="2" t="s">
        <v>6</v>
      </c>
      <c r="J72" s="2" t="s">
        <v>5</v>
      </c>
      <c r="K72" s="2" t="s">
        <v>5</v>
      </c>
      <c r="L72" s="2" t="s">
        <v>7</v>
      </c>
      <c r="M72" s="1" t="s">
        <v>43</v>
      </c>
      <c r="N72" s="1" t="s">
        <v>1000</v>
      </c>
      <c r="O72" s="2" t="s">
        <v>1001</v>
      </c>
      <c r="Q72" s="2" t="s">
        <v>11</v>
      </c>
      <c r="R72" s="2" t="s">
        <v>153</v>
      </c>
      <c r="T72" s="2" t="s">
        <v>1002</v>
      </c>
      <c r="U72" s="3">
        <v>3</v>
      </c>
      <c r="V72" s="3">
        <v>3</v>
      </c>
      <c r="W72" s="4" t="s">
        <v>1003</v>
      </c>
      <c r="X72" s="4" t="s">
        <v>1003</v>
      </c>
      <c r="Y72" s="4" t="s">
        <v>15</v>
      </c>
      <c r="Z72" s="4" t="s">
        <v>15</v>
      </c>
      <c r="AA72" s="3">
        <v>438</v>
      </c>
      <c r="AB72" s="3">
        <v>315</v>
      </c>
      <c r="AC72" s="3">
        <v>321</v>
      </c>
      <c r="AD72" s="3">
        <v>2</v>
      </c>
      <c r="AE72" s="7">
        <v>2</v>
      </c>
      <c r="AF72" s="7">
        <v>27</v>
      </c>
      <c r="AG72" s="7">
        <v>27</v>
      </c>
      <c r="AH72" s="3">
        <v>4</v>
      </c>
      <c r="AI72" s="3">
        <v>4</v>
      </c>
      <c r="AJ72" s="3">
        <v>6</v>
      </c>
      <c r="AK72" s="3">
        <v>6</v>
      </c>
      <c r="AL72" s="3">
        <v>16</v>
      </c>
      <c r="AM72" s="3">
        <v>16</v>
      </c>
      <c r="AN72" s="3">
        <v>1</v>
      </c>
      <c r="AO72" s="3">
        <v>1</v>
      </c>
      <c r="AP72" s="3">
        <v>7</v>
      </c>
      <c r="AQ72" s="3">
        <v>7</v>
      </c>
      <c r="AR72" s="2" t="s">
        <v>5</v>
      </c>
      <c r="AS72" s="2" t="s">
        <v>5</v>
      </c>
      <c r="AU72" s="5" t="str">
        <f>HYPERLINK("https://creighton-primo.hosted.exlibrisgroup.com/primo-explore/search?tab=default_tab&amp;search_scope=EVERYTHING&amp;vid=01CRU&amp;lang=en_US&amp;offset=0&amp;query=any,contains,991003803279702656","Catalog Record")</f>
        <v>Catalog Record</v>
      </c>
      <c r="AV72" s="5" t="str">
        <f>HYPERLINK("http://www.worldcat.org/oclc/1529169","WorldCat Record")</f>
        <v>WorldCat Record</v>
      </c>
      <c r="AW72" s="2" t="s">
        <v>1004</v>
      </c>
      <c r="AX72" s="2" t="s">
        <v>1005</v>
      </c>
      <c r="AY72" s="2" t="s">
        <v>1006</v>
      </c>
      <c r="AZ72" s="2" t="s">
        <v>1006</v>
      </c>
      <c r="BA72" s="2" t="s">
        <v>1007</v>
      </c>
      <c r="BB72" s="2" t="s">
        <v>21</v>
      </c>
      <c r="BD72" s="2" t="s">
        <v>1008</v>
      </c>
      <c r="BE72" s="2" t="s">
        <v>1009</v>
      </c>
      <c r="BF72" s="2" t="s">
        <v>1010</v>
      </c>
    </row>
    <row r="73" spans="1:58" ht="39.75" customHeight="1" x14ac:dyDescent="0.25">
      <c r="A73" s="1"/>
      <c r="B73" s="1" t="s">
        <v>0</v>
      </c>
      <c r="C73" s="1" t="s">
        <v>1</v>
      </c>
      <c r="D73" s="1" t="s">
        <v>1011</v>
      </c>
      <c r="E73" s="1" t="s">
        <v>1012</v>
      </c>
      <c r="F73" s="1" t="s">
        <v>1013</v>
      </c>
      <c r="H73" s="2" t="s">
        <v>5</v>
      </c>
      <c r="I73" s="2" t="s">
        <v>6</v>
      </c>
      <c r="J73" s="2" t="s">
        <v>5</v>
      </c>
      <c r="K73" s="2" t="s">
        <v>5</v>
      </c>
      <c r="L73" s="2" t="s">
        <v>7</v>
      </c>
      <c r="M73" s="1" t="s">
        <v>1014</v>
      </c>
      <c r="N73" s="1" t="s">
        <v>1015</v>
      </c>
      <c r="O73" s="2" t="s">
        <v>486</v>
      </c>
      <c r="Q73" s="2" t="s">
        <v>11</v>
      </c>
      <c r="R73" s="2" t="s">
        <v>76</v>
      </c>
      <c r="T73" s="2" t="s">
        <v>1002</v>
      </c>
      <c r="U73" s="3">
        <v>1</v>
      </c>
      <c r="V73" s="3">
        <v>1</v>
      </c>
      <c r="W73" s="4" t="s">
        <v>1016</v>
      </c>
      <c r="X73" s="4" t="s">
        <v>1016</v>
      </c>
      <c r="Y73" s="4" t="s">
        <v>503</v>
      </c>
      <c r="Z73" s="4" t="s">
        <v>503</v>
      </c>
      <c r="AA73" s="3">
        <v>130</v>
      </c>
      <c r="AB73" s="3">
        <v>108</v>
      </c>
      <c r="AC73" s="3">
        <v>113</v>
      </c>
      <c r="AD73" s="3">
        <v>2</v>
      </c>
      <c r="AE73" s="7">
        <v>2</v>
      </c>
      <c r="AF73" s="7">
        <v>13</v>
      </c>
      <c r="AG73" s="7">
        <v>13</v>
      </c>
      <c r="AH73" s="3">
        <v>2</v>
      </c>
      <c r="AI73" s="3">
        <v>2</v>
      </c>
      <c r="AJ73" s="3">
        <v>3</v>
      </c>
      <c r="AK73" s="3">
        <v>3</v>
      </c>
      <c r="AL73" s="3">
        <v>8</v>
      </c>
      <c r="AM73" s="3">
        <v>8</v>
      </c>
      <c r="AN73" s="3">
        <v>0</v>
      </c>
      <c r="AO73" s="3">
        <v>0</v>
      </c>
      <c r="AP73" s="3">
        <v>2</v>
      </c>
      <c r="AQ73" s="3">
        <v>2</v>
      </c>
      <c r="AR73" s="2" t="s">
        <v>5</v>
      </c>
      <c r="AS73" s="2" t="s">
        <v>5</v>
      </c>
      <c r="AU73" s="5" t="str">
        <f>HYPERLINK("https://creighton-primo.hosted.exlibrisgroup.com/primo-explore/search?tab=default_tab&amp;search_scope=EVERYTHING&amp;vid=01CRU&amp;lang=en_US&amp;offset=0&amp;query=any,contains,991000274059702656","Catalog Record")</f>
        <v>Catalog Record</v>
      </c>
      <c r="AV73" s="5" t="str">
        <f>HYPERLINK("http://www.worldcat.org/oclc/9893689","WorldCat Record")</f>
        <v>WorldCat Record</v>
      </c>
      <c r="AW73" s="2" t="s">
        <v>1017</v>
      </c>
      <c r="AX73" s="2" t="s">
        <v>1018</v>
      </c>
      <c r="AY73" s="2" t="s">
        <v>1019</v>
      </c>
      <c r="AZ73" s="2" t="s">
        <v>1019</v>
      </c>
      <c r="BA73" s="2" t="s">
        <v>1020</v>
      </c>
      <c r="BB73" s="2" t="s">
        <v>21</v>
      </c>
      <c r="BD73" s="2" t="s">
        <v>1021</v>
      </c>
      <c r="BE73" s="2" t="s">
        <v>1022</v>
      </c>
      <c r="BF73" s="2" t="s">
        <v>1023</v>
      </c>
    </row>
    <row r="74" spans="1:58" ht="39.75" customHeight="1" x14ac:dyDescent="0.25">
      <c r="A74" s="1"/>
      <c r="B74" s="1" t="s">
        <v>0</v>
      </c>
      <c r="C74" s="1" t="s">
        <v>1</v>
      </c>
      <c r="D74" s="1" t="s">
        <v>1024</v>
      </c>
      <c r="E74" s="1" t="s">
        <v>1025</v>
      </c>
      <c r="F74" s="1" t="s">
        <v>1026</v>
      </c>
      <c r="H74" s="2" t="s">
        <v>5</v>
      </c>
      <c r="I74" s="2" t="s">
        <v>6</v>
      </c>
      <c r="J74" s="2" t="s">
        <v>5</v>
      </c>
      <c r="K74" s="2" t="s">
        <v>5</v>
      </c>
      <c r="L74" s="2" t="s">
        <v>7</v>
      </c>
      <c r="M74" s="1" t="s">
        <v>1027</v>
      </c>
      <c r="N74" s="1" t="s">
        <v>1028</v>
      </c>
      <c r="O74" s="2" t="s">
        <v>275</v>
      </c>
      <c r="Q74" s="2" t="s">
        <v>11</v>
      </c>
      <c r="R74" s="2" t="s">
        <v>124</v>
      </c>
      <c r="S74" s="1" t="s">
        <v>1029</v>
      </c>
      <c r="T74" s="2" t="s">
        <v>1002</v>
      </c>
      <c r="U74" s="3">
        <v>0</v>
      </c>
      <c r="V74" s="3">
        <v>0</v>
      </c>
      <c r="W74" s="4" t="s">
        <v>1030</v>
      </c>
      <c r="X74" s="4" t="s">
        <v>1030</v>
      </c>
      <c r="Y74" s="4" t="s">
        <v>15</v>
      </c>
      <c r="Z74" s="4" t="s">
        <v>15</v>
      </c>
      <c r="AA74" s="3">
        <v>634</v>
      </c>
      <c r="AB74" s="3">
        <v>534</v>
      </c>
      <c r="AC74" s="3">
        <v>719</v>
      </c>
      <c r="AD74" s="3">
        <v>4</v>
      </c>
      <c r="AE74" s="7">
        <v>4</v>
      </c>
      <c r="AF74" s="7">
        <v>40</v>
      </c>
      <c r="AG74" s="7">
        <v>46</v>
      </c>
      <c r="AH74" s="3">
        <v>11</v>
      </c>
      <c r="AI74" s="3">
        <v>15</v>
      </c>
      <c r="AJ74" s="3">
        <v>8</v>
      </c>
      <c r="AK74" s="3">
        <v>10</v>
      </c>
      <c r="AL74" s="3">
        <v>19</v>
      </c>
      <c r="AM74" s="3">
        <v>21</v>
      </c>
      <c r="AN74" s="3">
        <v>2</v>
      </c>
      <c r="AO74" s="3">
        <v>2</v>
      </c>
      <c r="AP74" s="3">
        <v>10</v>
      </c>
      <c r="AQ74" s="3">
        <v>10</v>
      </c>
      <c r="AR74" s="2" t="s">
        <v>5</v>
      </c>
      <c r="AS74" s="2" t="s">
        <v>16</v>
      </c>
      <c r="AT74" s="5" t="str">
        <f>HYPERLINK("http://catalog.hathitrust.org/Record/000684957","HathiTrust Record")</f>
        <v>HathiTrust Record</v>
      </c>
      <c r="AU74" s="5" t="str">
        <f>HYPERLINK("https://creighton-primo.hosted.exlibrisgroup.com/primo-explore/search?tab=default_tab&amp;search_scope=EVERYTHING&amp;vid=01CRU&amp;lang=en_US&amp;offset=0&amp;query=any,contains,991004809239702656","Catalog Record")</f>
        <v>Catalog Record</v>
      </c>
      <c r="AV74" s="5" t="str">
        <f>HYPERLINK("http://www.worldcat.org/oclc/5264834","WorldCat Record")</f>
        <v>WorldCat Record</v>
      </c>
      <c r="AW74" s="2" t="s">
        <v>1031</v>
      </c>
      <c r="AX74" s="2" t="s">
        <v>1032</v>
      </c>
      <c r="AY74" s="2" t="s">
        <v>1033</v>
      </c>
      <c r="AZ74" s="2" t="s">
        <v>1033</v>
      </c>
      <c r="BA74" s="2" t="s">
        <v>1034</v>
      </c>
      <c r="BB74" s="2" t="s">
        <v>21</v>
      </c>
      <c r="BD74" s="2" t="s">
        <v>1035</v>
      </c>
      <c r="BE74" s="2" t="s">
        <v>1036</v>
      </c>
      <c r="BF74" s="2" t="s">
        <v>1037</v>
      </c>
    </row>
    <row r="75" spans="1:58" ht="39.75" customHeight="1" x14ac:dyDescent="0.25">
      <c r="A75" s="1"/>
      <c r="B75" s="1" t="s">
        <v>0</v>
      </c>
      <c r="C75" s="1" t="s">
        <v>1</v>
      </c>
      <c r="D75" s="1" t="s">
        <v>1038</v>
      </c>
      <c r="E75" s="1" t="s">
        <v>1039</v>
      </c>
      <c r="F75" s="1" t="s">
        <v>1040</v>
      </c>
      <c r="H75" s="2" t="s">
        <v>5</v>
      </c>
      <c r="I75" s="2" t="s">
        <v>6</v>
      </c>
      <c r="J75" s="2" t="s">
        <v>5</v>
      </c>
      <c r="K75" s="2" t="s">
        <v>5</v>
      </c>
      <c r="L75" s="2" t="s">
        <v>7</v>
      </c>
      <c r="M75" s="1" t="s">
        <v>1041</v>
      </c>
      <c r="N75" s="1" t="s">
        <v>1042</v>
      </c>
      <c r="O75" s="2" t="s">
        <v>75</v>
      </c>
      <c r="Q75" s="2" t="s">
        <v>11</v>
      </c>
      <c r="R75" s="2" t="s">
        <v>809</v>
      </c>
      <c r="S75" s="1" t="s">
        <v>1043</v>
      </c>
      <c r="T75" s="2" t="s">
        <v>1002</v>
      </c>
      <c r="U75" s="3">
        <v>4</v>
      </c>
      <c r="V75" s="3">
        <v>4</v>
      </c>
      <c r="W75" s="4" t="s">
        <v>1044</v>
      </c>
      <c r="X75" s="4" t="s">
        <v>1044</v>
      </c>
      <c r="Y75" s="4" t="s">
        <v>15</v>
      </c>
      <c r="Z75" s="4" t="s">
        <v>15</v>
      </c>
      <c r="AA75" s="3">
        <v>267</v>
      </c>
      <c r="AB75" s="3">
        <v>193</v>
      </c>
      <c r="AC75" s="3">
        <v>195</v>
      </c>
      <c r="AD75" s="3">
        <v>2</v>
      </c>
      <c r="AE75" s="7">
        <v>2</v>
      </c>
      <c r="AF75" s="7">
        <v>23</v>
      </c>
      <c r="AG75" s="7">
        <v>23</v>
      </c>
      <c r="AH75" s="3">
        <v>5</v>
      </c>
      <c r="AI75" s="3">
        <v>5</v>
      </c>
      <c r="AJ75" s="3">
        <v>7</v>
      </c>
      <c r="AK75" s="3">
        <v>7</v>
      </c>
      <c r="AL75" s="3">
        <v>16</v>
      </c>
      <c r="AM75" s="3">
        <v>16</v>
      </c>
      <c r="AN75" s="3">
        <v>1</v>
      </c>
      <c r="AO75" s="3">
        <v>1</v>
      </c>
      <c r="AP75" s="3">
        <v>0</v>
      </c>
      <c r="AQ75" s="3">
        <v>0</v>
      </c>
      <c r="AR75" s="2" t="s">
        <v>5</v>
      </c>
      <c r="AS75" s="2" t="s">
        <v>5</v>
      </c>
      <c r="AU75" s="5" t="str">
        <f>HYPERLINK("https://creighton-primo.hosted.exlibrisgroup.com/primo-explore/search?tab=default_tab&amp;search_scope=EVERYTHING&amp;vid=01CRU&amp;lang=en_US&amp;offset=0&amp;query=any,contains,991002971089702656","Catalog Record")</f>
        <v>Catalog Record</v>
      </c>
      <c r="AV75" s="5" t="str">
        <f>HYPERLINK("http://www.worldcat.org/oclc/549008","WorldCat Record")</f>
        <v>WorldCat Record</v>
      </c>
      <c r="AW75" s="2" t="s">
        <v>1045</v>
      </c>
      <c r="AX75" s="2" t="s">
        <v>1046</v>
      </c>
      <c r="AY75" s="2" t="s">
        <v>1047</v>
      </c>
      <c r="AZ75" s="2" t="s">
        <v>1047</v>
      </c>
      <c r="BA75" s="2" t="s">
        <v>1048</v>
      </c>
      <c r="BB75" s="2" t="s">
        <v>21</v>
      </c>
      <c r="BD75" s="2" t="s">
        <v>1049</v>
      </c>
      <c r="BE75" s="2" t="s">
        <v>1050</v>
      </c>
      <c r="BF75" s="2" t="s">
        <v>1051</v>
      </c>
    </row>
    <row r="76" spans="1:58" ht="39.75" customHeight="1" x14ac:dyDescent="0.25">
      <c r="A76" s="1"/>
      <c r="B76" s="1" t="s">
        <v>0</v>
      </c>
      <c r="C76" s="1" t="s">
        <v>1</v>
      </c>
      <c r="D76" s="1" t="s">
        <v>1052</v>
      </c>
      <c r="E76" s="1" t="s">
        <v>1053</v>
      </c>
      <c r="F76" s="1" t="s">
        <v>1054</v>
      </c>
      <c r="H76" s="2" t="s">
        <v>5</v>
      </c>
      <c r="I76" s="2" t="s">
        <v>6</v>
      </c>
      <c r="J76" s="2" t="s">
        <v>5</v>
      </c>
      <c r="K76" s="2" t="s">
        <v>5</v>
      </c>
      <c r="L76" s="2" t="s">
        <v>7</v>
      </c>
      <c r="M76" s="1" t="s">
        <v>1055</v>
      </c>
      <c r="N76" s="1" t="s">
        <v>1056</v>
      </c>
      <c r="O76" s="2" t="s">
        <v>1001</v>
      </c>
      <c r="Q76" s="2" t="s">
        <v>11</v>
      </c>
      <c r="R76" s="2" t="s">
        <v>306</v>
      </c>
      <c r="T76" s="2" t="s">
        <v>1002</v>
      </c>
      <c r="U76" s="3">
        <v>6</v>
      </c>
      <c r="V76" s="3">
        <v>6</v>
      </c>
      <c r="W76" s="4" t="s">
        <v>1057</v>
      </c>
      <c r="X76" s="4" t="s">
        <v>1057</v>
      </c>
      <c r="Y76" s="4" t="s">
        <v>1058</v>
      </c>
      <c r="Z76" s="4" t="s">
        <v>1058</v>
      </c>
      <c r="AA76" s="3">
        <v>183</v>
      </c>
      <c r="AB76" s="3">
        <v>147</v>
      </c>
      <c r="AC76" s="3">
        <v>686</v>
      </c>
      <c r="AD76" s="3">
        <v>2</v>
      </c>
      <c r="AE76" s="7">
        <v>7</v>
      </c>
      <c r="AF76" s="7">
        <v>11</v>
      </c>
      <c r="AG76" s="7">
        <v>53</v>
      </c>
      <c r="AH76" s="3">
        <v>1</v>
      </c>
      <c r="AI76" s="3">
        <v>11</v>
      </c>
      <c r="AJ76" s="3">
        <v>1</v>
      </c>
      <c r="AK76" s="3">
        <v>10</v>
      </c>
      <c r="AL76" s="3">
        <v>2</v>
      </c>
      <c r="AM76" s="3">
        <v>17</v>
      </c>
      <c r="AN76" s="3">
        <v>1</v>
      </c>
      <c r="AO76" s="3">
        <v>5</v>
      </c>
      <c r="AP76" s="3">
        <v>7</v>
      </c>
      <c r="AQ76" s="3">
        <v>19</v>
      </c>
      <c r="AR76" s="2" t="s">
        <v>5</v>
      </c>
      <c r="AS76" s="2" t="s">
        <v>16</v>
      </c>
      <c r="AT76" s="5" t="str">
        <f>HYPERLINK("http://catalog.hathitrust.org/Record/004423043","HathiTrust Record")</f>
        <v>HathiTrust Record</v>
      </c>
      <c r="AU76" s="5" t="str">
        <f>HYPERLINK("https://creighton-primo.hosted.exlibrisgroup.com/primo-explore/search?tab=default_tab&amp;search_scope=EVERYTHING&amp;vid=01CRU&amp;lang=en_US&amp;offset=0&amp;query=any,contains,991003884279702656","Catalog Record")</f>
        <v>Catalog Record</v>
      </c>
      <c r="AV76" s="5" t="str">
        <f>HYPERLINK("http://www.worldcat.org/oclc/1733598","WorldCat Record")</f>
        <v>WorldCat Record</v>
      </c>
      <c r="AW76" s="2" t="s">
        <v>1059</v>
      </c>
      <c r="AX76" s="2" t="s">
        <v>1060</v>
      </c>
      <c r="AY76" s="2" t="s">
        <v>1061</v>
      </c>
      <c r="AZ76" s="2" t="s">
        <v>1061</v>
      </c>
      <c r="BA76" s="2" t="s">
        <v>1062</v>
      </c>
      <c r="BB76" s="2" t="s">
        <v>21</v>
      </c>
      <c r="BD76" s="2" t="s">
        <v>1063</v>
      </c>
      <c r="BE76" s="2" t="s">
        <v>1064</v>
      </c>
      <c r="BF76" s="2" t="s">
        <v>1065</v>
      </c>
    </row>
    <row r="77" spans="1:58" ht="39.75" customHeight="1" x14ac:dyDescent="0.25">
      <c r="A77" s="1"/>
      <c r="B77" s="1" t="s">
        <v>0</v>
      </c>
      <c r="C77" s="1" t="s">
        <v>1</v>
      </c>
      <c r="D77" s="1" t="s">
        <v>1066</v>
      </c>
      <c r="E77" s="1" t="s">
        <v>1067</v>
      </c>
      <c r="F77" s="1" t="s">
        <v>1068</v>
      </c>
      <c r="H77" s="2" t="s">
        <v>5</v>
      </c>
      <c r="I77" s="2" t="s">
        <v>6</v>
      </c>
      <c r="J77" s="2" t="s">
        <v>5</v>
      </c>
      <c r="K77" s="2" t="s">
        <v>5</v>
      </c>
      <c r="L77" s="2" t="s">
        <v>7</v>
      </c>
      <c r="M77" s="1" t="s">
        <v>1069</v>
      </c>
      <c r="N77" s="1" t="s">
        <v>1070</v>
      </c>
      <c r="O77" s="2" t="s">
        <v>1071</v>
      </c>
      <c r="Q77" s="2" t="s">
        <v>11</v>
      </c>
      <c r="R77" s="2" t="s">
        <v>30</v>
      </c>
      <c r="T77" s="2" t="s">
        <v>1002</v>
      </c>
      <c r="U77" s="3">
        <v>8</v>
      </c>
      <c r="V77" s="3">
        <v>8</v>
      </c>
      <c r="W77" s="4" t="s">
        <v>1072</v>
      </c>
      <c r="X77" s="4" t="s">
        <v>1072</v>
      </c>
      <c r="Y77" s="4" t="s">
        <v>1073</v>
      </c>
      <c r="Z77" s="4" t="s">
        <v>1073</v>
      </c>
      <c r="AA77" s="3">
        <v>732</v>
      </c>
      <c r="AB77" s="3">
        <v>545</v>
      </c>
      <c r="AC77" s="3">
        <v>790</v>
      </c>
      <c r="AD77" s="3">
        <v>3</v>
      </c>
      <c r="AE77" s="7">
        <v>5</v>
      </c>
      <c r="AF77" s="7">
        <v>30</v>
      </c>
      <c r="AG77" s="7">
        <v>55</v>
      </c>
      <c r="AH77" s="3">
        <v>9</v>
      </c>
      <c r="AI77" s="3">
        <v>15</v>
      </c>
      <c r="AJ77" s="3">
        <v>4</v>
      </c>
      <c r="AK77" s="3">
        <v>7</v>
      </c>
      <c r="AL77" s="3">
        <v>15</v>
      </c>
      <c r="AM77" s="3">
        <v>24</v>
      </c>
      <c r="AN77" s="3">
        <v>2</v>
      </c>
      <c r="AO77" s="3">
        <v>3</v>
      </c>
      <c r="AP77" s="3">
        <v>8</v>
      </c>
      <c r="AQ77" s="3">
        <v>18</v>
      </c>
      <c r="AR77" s="2" t="s">
        <v>5</v>
      </c>
      <c r="AS77" s="2" t="s">
        <v>16</v>
      </c>
      <c r="AT77" s="5" t="str">
        <f>HYPERLINK("http://catalog.hathitrust.org/Record/001958072","HathiTrust Record")</f>
        <v>HathiTrust Record</v>
      </c>
      <c r="AU77" s="5" t="str">
        <f>HYPERLINK("https://creighton-primo.hosted.exlibrisgroup.com/primo-explore/search?tab=default_tab&amp;search_scope=EVERYTHING&amp;vid=01CRU&amp;lang=en_US&amp;offset=0&amp;query=any,contains,991002707819702656","Catalog Record")</f>
        <v>Catalog Record</v>
      </c>
      <c r="AV77" s="5" t="str">
        <f>HYPERLINK("http://www.worldcat.org/oclc/407814","WorldCat Record")</f>
        <v>WorldCat Record</v>
      </c>
      <c r="AW77" s="2" t="s">
        <v>1074</v>
      </c>
      <c r="AX77" s="2" t="s">
        <v>1075</v>
      </c>
      <c r="AY77" s="2" t="s">
        <v>1076</v>
      </c>
      <c r="AZ77" s="2" t="s">
        <v>1076</v>
      </c>
      <c r="BA77" s="2" t="s">
        <v>1077</v>
      </c>
      <c r="BB77" s="2" t="s">
        <v>21</v>
      </c>
      <c r="BE77" s="2" t="s">
        <v>1078</v>
      </c>
      <c r="BF77" s="2" t="s">
        <v>1079</v>
      </c>
    </row>
    <row r="78" spans="1:58" ht="39.75" customHeight="1" x14ac:dyDescent="0.25">
      <c r="A78" s="1"/>
      <c r="B78" s="1" t="s">
        <v>0</v>
      </c>
      <c r="C78" s="1" t="s">
        <v>1</v>
      </c>
      <c r="D78" s="1" t="s">
        <v>1080</v>
      </c>
      <c r="E78" s="1" t="s">
        <v>1081</v>
      </c>
      <c r="F78" s="1" t="s">
        <v>1082</v>
      </c>
      <c r="H78" s="2" t="s">
        <v>5</v>
      </c>
      <c r="I78" s="2" t="s">
        <v>6</v>
      </c>
      <c r="J78" s="2" t="s">
        <v>5</v>
      </c>
      <c r="K78" s="2" t="s">
        <v>5</v>
      </c>
      <c r="L78" s="2" t="s">
        <v>7</v>
      </c>
      <c r="M78" s="1" t="s">
        <v>1083</v>
      </c>
      <c r="N78" s="1" t="s">
        <v>1084</v>
      </c>
      <c r="O78" s="2" t="s">
        <v>401</v>
      </c>
      <c r="Q78" s="2" t="s">
        <v>11</v>
      </c>
      <c r="R78" s="2" t="s">
        <v>76</v>
      </c>
      <c r="T78" s="2" t="s">
        <v>1085</v>
      </c>
      <c r="U78" s="3">
        <v>4</v>
      </c>
      <c r="V78" s="3">
        <v>4</v>
      </c>
      <c r="W78" s="4" t="s">
        <v>1086</v>
      </c>
      <c r="X78" s="4" t="s">
        <v>1086</v>
      </c>
      <c r="Y78" s="4" t="s">
        <v>1087</v>
      </c>
      <c r="Z78" s="4" t="s">
        <v>1087</v>
      </c>
      <c r="AA78" s="3">
        <v>167</v>
      </c>
      <c r="AB78" s="3">
        <v>143</v>
      </c>
      <c r="AC78" s="3">
        <v>550</v>
      </c>
      <c r="AD78" s="3">
        <v>1</v>
      </c>
      <c r="AE78" s="7">
        <v>7</v>
      </c>
      <c r="AF78" s="7">
        <v>11</v>
      </c>
      <c r="AG78" s="7">
        <v>41</v>
      </c>
      <c r="AH78" s="3">
        <v>0</v>
      </c>
      <c r="AI78" s="3">
        <v>7</v>
      </c>
      <c r="AJ78" s="3">
        <v>2</v>
      </c>
      <c r="AK78" s="3">
        <v>4</v>
      </c>
      <c r="AL78" s="3">
        <v>2</v>
      </c>
      <c r="AM78" s="3">
        <v>9</v>
      </c>
      <c r="AN78" s="3">
        <v>0</v>
      </c>
      <c r="AO78" s="3">
        <v>4</v>
      </c>
      <c r="AP78" s="3">
        <v>8</v>
      </c>
      <c r="AQ78" s="3">
        <v>21</v>
      </c>
      <c r="AR78" s="2" t="s">
        <v>5</v>
      </c>
      <c r="AS78" s="2" t="s">
        <v>5</v>
      </c>
      <c r="AU78" s="5" t="str">
        <f>HYPERLINK("https://creighton-primo.hosted.exlibrisgroup.com/primo-explore/search?tab=default_tab&amp;search_scope=EVERYTHING&amp;vid=01CRU&amp;lang=en_US&amp;offset=0&amp;query=any,contains,991002790059702656","Catalog Record")</f>
        <v>Catalog Record</v>
      </c>
      <c r="AV78" s="5" t="str">
        <f>HYPERLINK("http://www.worldcat.org/oclc/442953","WorldCat Record")</f>
        <v>WorldCat Record</v>
      </c>
      <c r="AW78" s="2" t="s">
        <v>1088</v>
      </c>
      <c r="AX78" s="2" t="s">
        <v>1089</v>
      </c>
      <c r="AY78" s="2" t="s">
        <v>1090</v>
      </c>
      <c r="AZ78" s="2" t="s">
        <v>1090</v>
      </c>
      <c r="BA78" s="2" t="s">
        <v>1091</v>
      </c>
      <c r="BB78" s="2" t="s">
        <v>21</v>
      </c>
      <c r="BE78" s="2" t="s">
        <v>1092</v>
      </c>
      <c r="BF78" s="2" t="s">
        <v>1093</v>
      </c>
    </row>
    <row r="79" spans="1:58" ht="39.75" customHeight="1" x14ac:dyDescent="0.25">
      <c r="A79" s="1"/>
      <c r="B79" s="1" t="s">
        <v>0</v>
      </c>
      <c r="C79" s="1" t="s">
        <v>1</v>
      </c>
      <c r="D79" s="1" t="s">
        <v>1094</v>
      </c>
      <c r="E79" s="1" t="s">
        <v>1095</v>
      </c>
      <c r="F79" s="1" t="s">
        <v>1096</v>
      </c>
      <c r="G79" s="2" t="s">
        <v>1097</v>
      </c>
      <c r="H79" s="2" t="s">
        <v>5</v>
      </c>
      <c r="I79" s="2" t="s">
        <v>6</v>
      </c>
      <c r="J79" s="2" t="s">
        <v>5</v>
      </c>
      <c r="K79" s="2" t="s">
        <v>5</v>
      </c>
      <c r="L79" s="2" t="s">
        <v>7</v>
      </c>
      <c r="M79" s="1" t="s">
        <v>1098</v>
      </c>
      <c r="N79" s="1" t="s">
        <v>1099</v>
      </c>
      <c r="O79" s="2" t="s">
        <v>836</v>
      </c>
      <c r="Q79" s="2" t="s">
        <v>11</v>
      </c>
      <c r="R79" s="2" t="s">
        <v>1100</v>
      </c>
      <c r="S79" s="1" t="s">
        <v>1101</v>
      </c>
      <c r="T79" s="2" t="s">
        <v>1102</v>
      </c>
      <c r="U79" s="3">
        <v>6</v>
      </c>
      <c r="V79" s="3">
        <v>6</v>
      </c>
      <c r="W79" s="4" t="s">
        <v>1103</v>
      </c>
      <c r="X79" s="4" t="s">
        <v>1103</v>
      </c>
      <c r="Y79" s="4" t="s">
        <v>1104</v>
      </c>
      <c r="Z79" s="4" t="s">
        <v>1104</v>
      </c>
      <c r="AA79" s="3">
        <v>129</v>
      </c>
      <c r="AB79" s="3">
        <v>105</v>
      </c>
      <c r="AC79" s="3">
        <v>105</v>
      </c>
      <c r="AD79" s="3">
        <v>1</v>
      </c>
      <c r="AE79" s="7">
        <v>1</v>
      </c>
      <c r="AF79" s="7">
        <v>8</v>
      </c>
      <c r="AG79" s="7">
        <v>8</v>
      </c>
      <c r="AH79" s="3">
        <v>0</v>
      </c>
      <c r="AI79" s="3">
        <v>0</v>
      </c>
      <c r="AJ79" s="3">
        <v>2</v>
      </c>
      <c r="AK79" s="3">
        <v>2</v>
      </c>
      <c r="AL79" s="3">
        <v>6</v>
      </c>
      <c r="AM79" s="3">
        <v>6</v>
      </c>
      <c r="AN79" s="3">
        <v>0</v>
      </c>
      <c r="AO79" s="3">
        <v>0</v>
      </c>
      <c r="AP79" s="3">
        <v>0</v>
      </c>
      <c r="AQ79" s="3">
        <v>0</v>
      </c>
      <c r="AR79" s="2" t="s">
        <v>5</v>
      </c>
      <c r="AS79" s="2" t="s">
        <v>5</v>
      </c>
      <c r="AU79" s="5" t="str">
        <f>HYPERLINK("https://creighton-primo.hosted.exlibrisgroup.com/primo-explore/search?tab=default_tab&amp;search_scope=EVERYTHING&amp;vid=01CRU&amp;lang=en_US&amp;offset=0&amp;query=any,contains,991004303139702656","Catalog Record")</f>
        <v>Catalog Record</v>
      </c>
      <c r="AV79" s="5" t="str">
        <f>HYPERLINK("http://www.worldcat.org/oclc/2973823","WorldCat Record")</f>
        <v>WorldCat Record</v>
      </c>
      <c r="AW79" s="2" t="s">
        <v>1105</v>
      </c>
      <c r="AX79" s="2" t="s">
        <v>1106</v>
      </c>
      <c r="AY79" s="2" t="s">
        <v>1107</v>
      </c>
      <c r="AZ79" s="2" t="s">
        <v>1107</v>
      </c>
      <c r="BA79" s="2" t="s">
        <v>1108</v>
      </c>
      <c r="BB79" s="2" t="s">
        <v>21</v>
      </c>
      <c r="BE79" s="2" t="s">
        <v>1109</v>
      </c>
      <c r="BF79" s="2" t="s">
        <v>1110</v>
      </c>
    </row>
    <row r="80" spans="1:58" ht="39.75" customHeight="1" x14ac:dyDescent="0.25">
      <c r="A80" s="1"/>
      <c r="B80" s="1" t="s">
        <v>0</v>
      </c>
      <c r="C80" s="1" t="s">
        <v>1</v>
      </c>
      <c r="D80" s="1" t="s">
        <v>1111</v>
      </c>
      <c r="E80" s="1" t="s">
        <v>1112</v>
      </c>
      <c r="F80" s="1" t="s">
        <v>1113</v>
      </c>
      <c r="H80" s="2" t="s">
        <v>5</v>
      </c>
      <c r="I80" s="2" t="s">
        <v>6</v>
      </c>
      <c r="J80" s="2" t="s">
        <v>5</v>
      </c>
      <c r="K80" s="2" t="s">
        <v>5</v>
      </c>
      <c r="L80" s="2" t="s">
        <v>7</v>
      </c>
      <c r="M80" s="1" t="s">
        <v>1114</v>
      </c>
      <c r="N80" s="1" t="s">
        <v>1115</v>
      </c>
      <c r="O80" s="2" t="s">
        <v>401</v>
      </c>
      <c r="Q80" s="2" t="s">
        <v>11</v>
      </c>
      <c r="R80" s="2" t="s">
        <v>1116</v>
      </c>
      <c r="T80" s="2" t="s">
        <v>1117</v>
      </c>
      <c r="U80" s="3">
        <v>8</v>
      </c>
      <c r="V80" s="3">
        <v>8</v>
      </c>
      <c r="W80" s="4" t="s">
        <v>1118</v>
      </c>
      <c r="X80" s="4" t="s">
        <v>1118</v>
      </c>
      <c r="Y80" s="4" t="s">
        <v>1119</v>
      </c>
      <c r="Z80" s="4" t="s">
        <v>1119</v>
      </c>
      <c r="AA80" s="3">
        <v>601</v>
      </c>
      <c r="AB80" s="3">
        <v>499</v>
      </c>
      <c r="AC80" s="3">
        <v>1133</v>
      </c>
      <c r="AD80" s="3">
        <v>3</v>
      </c>
      <c r="AE80" s="7">
        <v>6</v>
      </c>
      <c r="AF80" s="7">
        <v>30</v>
      </c>
      <c r="AG80" s="7">
        <v>45</v>
      </c>
      <c r="AH80" s="3">
        <v>5</v>
      </c>
      <c r="AI80" s="3">
        <v>15</v>
      </c>
      <c r="AJ80" s="3">
        <v>1</v>
      </c>
      <c r="AK80" s="3">
        <v>3</v>
      </c>
      <c r="AL80" s="3">
        <v>7</v>
      </c>
      <c r="AM80" s="3">
        <v>12</v>
      </c>
      <c r="AN80" s="3">
        <v>1</v>
      </c>
      <c r="AO80" s="3">
        <v>4</v>
      </c>
      <c r="AP80" s="3">
        <v>16</v>
      </c>
      <c r="AQ80" s="3">
        <v>16</v>
      </c>
      <c r="AR80" s="2" t="s">
        <v>5</v>
      </c>
      <c r="AS80" s="2" t="s">
        <v>5</v>
      </c>
      <c r="AU80" s="5" t="str">
        <f>HYPERLINK("https://creighton-primo.hosted.exlibrisgroup.com/primo-explore/search?tab=default_tab&amp;search_scope=EVERYTHING&amp;vid=01CRU&amp;lang=en_US&amp;offset=0&amp;query=any,contains,991002788239702656","Catalog Record")</f>
        <v>Catalog Record</v>
      </c>
      <c r="AV80" s="5" t="str">
        <f>HYPERLINK("http://www.worldcat.org/oclc/442447","WorldCat Record")</f>
        <v>WorldCat Record</v>
      </c>
      <c r="AW80" s="2" t="s">
        <v>1120</v>
      </c>
      <c r="AX80" s="2" t="s">
        <v>1121</v>
      </c>
      <c r="AY80" s="2" t="s">
        <v>1122</v>
      </c>
      <c r="AZ80" s="2" t="s">
        <v>1122</v>
      </c>
      <c r="BA80" s="2" t="s">
        <v>1123</v>
      </c>
      <c r="BB80" s="2" t="s">
        <v>21</v>
      </c>
      <c r="BE80" s="2" t="s">
        <v>1124</v>
      </c>
      <c r="BF80" s="2" t="s">
        <v>1125</v>
      </c>
    </row>
    <row r="81" spans="1:58" ht="39.75" customHeight="1" x14ac:dyDescent="0.25">
      <c r="A81" s="1"/>
      <c r="B81" s="1" t="s">
        <v>0</v>
      </c>
      <c r="C81" s="1" t="s">
        <v>1</v>
      </c>
      <c r="D81" s="1" t="s">
        <v>1126</v>
      </c>
      <c r="E81" s="1" t="s">
        <v>1127</v>
      </c>
      <c r="F81" s="1" t="s">
        <v>1128</v>
      </c>
      <c r="H81" s="2" t="s">
        <v>5</v>
      </c>
      <c r="I81" s="2" t="s">
        <v>6</v>
      </c>
      <c r="J81" s="2" t="s">
        <v>5</v>
      </c>
      <c r="K81" s="2" t="s">
        <v>5</v>
      </c>
      <c r="L81" s="2" t="s">
        <v>7</v>
      </c>
      <c r="M81" s="1" t="s">
        <v>1129</v>
      </c>
      <c r="N81" s="1" t="s">
        <v>1130</v>
      </c>
      <c r="O81" s="2" t="s">
        <v>137</v>
      </c>
      <c r="Q81" s="2" t="s">
        <v>11</v>
      </c>
      <c r="R81" s="2" t="s">
        <v>30</v>
      </c>
      <c r="T81" s="2" t="s">
        <v>1117</v>
      </c>
      <c r="U81" s="3">
        <v>1</v>
      </c>
      <c r="V81" s="3">
        <v>1</v>
      </c>
      <c r="W81" s="4" t="s">
        <v>1118</v>
      </c>
      <c r="X81" s="4" t="s">
        <v>1118</v>
      </c>
      <c r="Y81" s="4" t="s">
        <v>1119</v>
      </c>
      <c r="Z81" s="4" t="s">
        <v>1119</v>
      </c>
      <c r="AA81" s="3">
        <v>208</v>
      </c>
      <c r="AB81" s="3">
        <v>89</v>
      </c>
      <c r="AC81" s="3">
        <v>140</v>
      </c>
      <c r="AD81" s="3">
        <v>3</v>
      </c>
      <c r="AE81" s="7">
        <v>3</v>
      </c>
      <c r="AF81" s="7">
        <v>5</v>
      </c>
      <c r="AG81" s="7">
        <v>8</v>
      </c>
      <c r="AH81" s="3">
        <v>0</v>
      </c>
      <c r="AI81" s="3">
        <v>0</v>
      </c>
      <c r="AJ81" s="3">
        <v>0</v>
      </c>
      <c r="AK81" s="3">
        <v>1</v>
      </c>
      <c r="AL81" s="3">
        <v>0</v>
      </c>
      <c r="AM81" s="3">
        <v>0</v>
      </c>
      <c r="AN81" s="3">
        <v>1</v>
      </c>
      <c r="AO81" s="3">
        <v>1</v>
      </c>
      <c r="AP81" s="3">
        <v>4</v>
      </c>
      <c r="AQ81" s="3">
        <v>6</v>
      </c>
      <c r="AR81" s="2" t="s">
        <v>5</v>
      </c>
      <c r="AS81" s="2" t="s">
        <v>16</v>
      </c>
      <c r="AT81" s="5" t="str">
        <f>HYPERLINK("http://catalog.hathitrust.org/Record/001162203","HathiTrust Record")</f>
        <v>HathiTrust Record</v>
      </c>
      <c r="AU81" s="5" t="str">
        <f>HYPERLINK("https://creighton-primo.hosted.exlibrisgroup.com/primo-explore/search?tab=default_tab&amp;search_scope=EVERYTHING&amp;vid=01CRU&amp;lang=en_US&amp;offset=0&amp;query=any,contains,991003445609702656","Catalog Record")</f>
        <v>Catalog Record</v>
      </c>
      <c r="AV81" s="5" t="str">
        <f>HYPERLINK("http://www.worldcat.org/oclc/980828","WorldCat Record")</f>
        <v>WorldCat Record</v>
      </c>
      <c r="AW81" s="2" t="s">
        <v>1131</v>
      </c>
      <c r="AX81" s="2" t="s">
        <v>1132</v>
      </c>
      <c r="AY81" s="2" t="s">
        <v>1133</v>
      </c>
      <c r="AZ81" s="2" t="s">
        <v>1133</v>
      </c>
      <c r="BA81" s="2" t="s">
        <v>1134</v>
      </c>
      <c r="BB81" s="2" t="s">
        <v>21</v>
      </c>
      <c r="BD81" s="2" t="s">
        <v>1135</v>
      </c>
      <c r="BE81" s="2" t="s">
        <v>1136</v>
      </c>
      <c r="BF81" s="2" t="s">
        <v>1137</v>
      </c>
    </row>
    <row r="82" spans="1:58" ht="39.75" customHeight="1" x14ac:dyDescent="0.25">
      <c r="A82" s="1"/>
      <c r="B82" s="1" t="s">
        <v>0</v>
      </c>
      <c r="C82" s="1" t="s">
        <v>1</v>
      </c>
      <c r="D82" s="1" t="s">
        <v>1138</v>
      </c>
      <c r="E82" s="1" t="s">
        <v>1139</v>
      </c>
      <c r="F82" s="1" t="s">
        <v>1140</v>
      </c>
      <c r="H82" s="2" t="s">
        <v>5</v>
      </c>
      <c r="I82" s="2" t="s">
        <v>6</v>
      </c>
      <c r="J82" s="2" t="s">
        <v>5</v>
      </c>
      <c r="K82" s="2" t="s">
        <v>5</v>
      </c>
      <c r="L82" s="2" t="s">
        <v>7</v>
      </c>
      <c r="M82" s="1" t="s">
        <v>1141</v>
      </c>
      <c r="N82" s="1" t="s">
        <v>1142</v>
      </c>
      <c r="O82" s="2" t="s">
        <v>387</v>
      </c>
      <c r="Q82" s="2" t="s">
        <v>11</v>
      </c>
      <c r="R82" s="2" t="s">
        <v>30</v>
      </c>
      <c r="T82" s="2" t="s">
        <v>1117</v>
      </c>
      <c r="U82" s="3">
        <v>5</v>
      </c>
      <c r="V82" s="3">
        <v>5</v>
      </c>
      <c r="W82" s="4" t="s">
        <v>1143</v>
      </c>
      <c r="X82" s="4" t="s">
        <v>1143</v>
      </c>
      <c r="Y82" s="4" t="s">
        <v>1144</v>
      </c>
      <c r="Z82" s="4" t="s">
        <v>1144</v>
      </c>
      <c r="AA82" s="3">
        <v>458</v>
      </c>
      <c r="AB82" s="3">
        <v>288</v>
      </c>
      <c r="AC82" s="3">
        <v>300</v>
      </c>
      <c r="AD82" s="3">
        <v>4</v>
      </c>
      <c r="AE82" s="7">
        <v>4</v>
      </c>
      <c r="AF82" s="7">
        <v>22</v>
      </c>
      <c r="AG82" s="7">
        <v>22</v>
      </c>
      <c r="AH82" s="3">
        <v>0</v>
      </c>
      <c r="AI82" s="3">
        <v>0</v>
      </c>
      <c r="AJ82" s="3">
        <v>2</v>
      </c>
      <c r="AK82" s="3">
        <v>2</v>
      </c>
      <c r="AL82" s="3">
        <v>5</v>
      </c>
      <c r="AM82" s="3">
        <v>5</v>
      </c>
      <c r="AN82" s="3">
        <v>1</v>
      </c>
      <c r="AO82" s="3">
        <v>1</v>
      </c>
      <c r="AP82" s="3">
        <v>16</v>
      </c>
      <c r="AQ82" s="3">
        <v>16</v>
      </c>
      <c r="AR82" s="2" t="s">
        <v>5</v>
      </c>
      <c r="AS82" s="2" t="s">
        <v>16</v>
      </c>
      <c r="AT82" s="5" t="str">
        <f>HYPERLINK("http://catalog.hathitrust.org/Record/000458078","HathiTrust Record")</f>
        <v>HathiTrust Record</v>
      </c>
      <c r="AU82" s="5" t="str">
        <f>HYPERLINK("https://creighton-primo.hosted.exlibrisgroup.com/primo-explore/search?tab=default_tab&amp;search_scope=EVERYTHING&amp;vid=01CRU&amp;lang=en_US&amp;offset=0&amp;query=any,contains,991000456459702656","Catalog Record")</f>
        <v>Catalog Record</v>
      </c>
      <c r="AV82" s="5" t="str">
        <f>HYPERLINK("http://www.worldcat.org/oclc/10914039","WorldCat Record")</f>
        <v>WorldCat Record</v>
      </c>
      <c r="AW82" s="2" t="s">
        <v>1145</v>
      </c>
      <c r="AX82" s="2" t="s">
        <v>1146</v>
      </c>
      <c r="AY82" s="2" t="s">
        <v>1147</v>
      </c>
      <c r="AZ82" s="2" t="s">
        <v>1147</v>
      </c>
      <c r="BA82" s="2" t="s">
        <v>1148</v>
      </c>
      <c r="BB82" s="2" t="s">
        <v>21</v>
      </c>
      <c r="BD82" s="2" t="s">
        <v>1149</v>
      </c>
      <c r="BE82" s="2" t="s">
        <v>1150</v>
      </c>
      <c r="BF82" s="2" t="s">
        <v>1151</v>
      </c>
    </row>
    <row r="83" spans="1:58" ht="39.75" customHeight="1" x14ac:dyDescent="0.25">
      <c r="A83" s="1"/>
      <c r="B83" s="1" t="s">
        <v>0</v>
      </c>
      <c r="C83" s="1" t="s">
        <v>1</v>
      </c>
      <c r="D83" s="1" t="s">
        <v>1152</v>
      </c>
      <c r="E83" s="1" t="s">
        <v>1153</v>
      </c>
      <c r="F83" s="1" t="s">
        <v>1154</v>
      </c>
      <c r="H83" s="2" t="s">
        <v>5</v>
      </c>
      <c r="I83" s="2" t="s">
        <v>6</v>
      </c>
      <c r="J83" s="2" t="s">
        <v>5</v>
      </c>
      <c r="K83" s="2" t="s">
        <v>16</v>
      </c>
      <c r="L83" s="2" t="s">
        <v>7</v>
      </c>
      <c r="M83" s="1" t="s">
        <v>1155</v>
      </c>
      <c r="N83" s="1" t="s">
        <v>1156</v>
      </c>
      <c r="O83" s="2" t="s">
        <v>1157</v>
      </c>
      <c r="Q83" s="2" t="s">
        <v>11</v>
      </c>
      <c r="R83" s="2" t="s">
        <v>62</v>
      </c>
      <c r="S83" s="1" t="s">
        <v>1158</v>
      </c>
      <c r="T83" s="2" t="s">
        <v>1117</v>
      </c>
      <c r="U83" s="3">
        <v>2</v>
      </c>
      <c r="V83" s="3">
        <v>2</v>
      </c>
      <c r="W83" s="4" t="s">
        <v>1159</v>
      </c>
      <c r="X83" s="4" t="s">
        <v>1159</v>
      </c>
      <c r="Y83" s="4" t="s">
        <v>359</v>
      </c>
      <c r="Z83" s="4" t="s">
        <v>359</v>
      </c>
      <c r="AA83" s="3">
        <v>512</v>
      </c>
      <c r="AB83" s="3">
        <v>468</v>
      </c>
      <c r="AC83" s="3">
        <v>744</v>
      </c>
      <c r="AD83" s="3">
        <v>2</v>
      </c>
      <c r="AE83" s="7">
        <v>7</v>
      </c>
      <c r="AF83" s="7">
        <v>29</v>
      </c>
      <c r="AG83" s="7">
        <v>45</v>
      </c>
      <c r="AH83" s="3">
        <v>7</v>
      </c>
      <c r="AI83" s="3">
        <v>8</v>
      </c>
      <c r="AJ83" s="3">
        <v>4</v>
      </c>
      <c r="AK83" s="3">
        <v>5</v>
      </c>
      <c r="AL83" s="3">
        <v>10</v>
      </c>
      <c r="AM83" s="3">
        <v>14</v>
      </c>
      <c r="AN83" s="3">
        <v>1</v>
      </c>
      <c r="AO83" s="3">
        <v>3</v>
      </c>
      <c r="AP83" s="3">
        <v>12</v>
      </c>
      <c r="AQ83" s="3">
        <v>20</v>
      </c>
      <c r="AR83" s="2" t="s">
        <v>5</v>
      </c>
      <c r="AS83" s="2" t="s">
        <v>16</v>
      </c>
      <c r="AT83" s="5" t="str">
        <f>HYPERLINK("http://catalog.hathitrust.org/Record/002029653","HathiTrust Record")</f>
        <v>HathiTrust Record</v>
      </c>
      <c r="AU83" s="5" t="str">
        <f>HYPERLINK("https://creighton-primo.hosted.exlibrisgroup.com/primo-explore/search?tab=default_tab&amp;search_scope=EVERYTHING&amp;vid=01CRU&amp;lang=en_US&amp;offset=0&amp;query=any,contains,991002869339702656","Catalog Record")</f>
        <v>Catalog Record</v>
      </c>
      <c r="AV83" s="5" t="str">
        <f>HYPERLINK("http://www.worldcat.org/oclc/407818","WorldCat Record")</f>
        <v>WorldCat Record</v>
      </c>
      <c r="AW83" s="2" t="s">
        <v>1160</v>
      </c>
      <c r="AX83" s="2" t="s">
        <v>1161</v>
      </c>
      <c r="AY83" s="2" t="s">
        <v>1162</v>
      </c>
      <c r="AZ83" s="2" t="s">
        <v>1162</v>
      </c>
      <c r="BA83" s="2" t="s">
        <v>1163</v>
      </c>
      <c r="BB83" s="2" t="s">
        <v>21</v>
      </c>
      <c r="BE83" s="2" t="s">
        <v>1164</v>
      </c>
      <c r="BF83" s="2" t="s">
        <v>1165</v>
      </c>
    </row>
    <row r="84" spans="1:58" ht="39.75" customHeight="1" x14ac:dyDescent="0.25">
      <c r="A84" s="1"/>
      <c r="B84" s="1" t="s">
        <v>0</v>
      </c>
      <c r="C84" s="1" t="s">
        <v>1</v>
      </c>
      <c r="D84" s="1" t="s">
        <v>1166</v>
      </c>
      <c r="E84" s="1" t="s">
        <v>1167</v>
      </c>
      <c r="F84" s="1" t="s">
        <v>1168</v>
      </c>
      <c r="H84" s="2" t="s">
        <v>5</v>
      </c>
      <c r="I84" s="2" t="s">
        <v>6</v>
      </c>
      <c r="J84" s="2" t="s">
        <v>5</v>
      </c>
      <c r="K84" s="2" t="s">
        <v>5</v>
      </c>
      <c r="L84" s="2" t="s">
        <v>7</v>
      </c>
      <c r="M84" s="1" t="s">
        <v>1169</v>
      </c>
      <c r="N84" s="1" t="s">
        <v>1170</v>
      </c>
      <c r="O84" s="2" t="s">
        <v>137</v>
      </c>
      <c r="Q84" s="2" t="s">
        <v>11</v>
      </c>
      <c r="R84" s="2" t="s">
        <v>76</v>
      </c>
      <c r="T84" s="2" t="s">
        <v>1117</v>
      </c>
      <c r="U84" s="3">
        <v>7</v>
      </c>
      <c r="V84" s="3">
        <v>7</v>
      </c>
      <c r="W84" s="4" t="s">
        <v>1171</v>
      </c>
      <c r="X84" s="4" t="s">
        <v>1171</v>
      </c>
      <c r="Y84" s="4" t="s">
        <v>1172</v>
      </c>
      <c r="Z84" s="4" t="s">
        <v>1172</v>
      </c>
      <c r="AA84" s="3">
        <v>198</v>
      </c>
      <c r="AB84" s="3">
        <v>187</v>
      </c>
      <c r="AC84" s="3">
        <v>344</v>
      </c>
      <c r="AD84" s="3">
        <v>1</v>
      </c>
      <c r="AE84" s="7">
        <v>3</v>
      </c>
      <c r="AF84" s="7">
        <v>2</v>
      </c>
      <c r="AG84" s="7">
        <v>11</v>
      </c>
      <c r="AH84" s="3">
        <v>0</v>
      </c>
      <c r="AI84" s="3">
        <v>0</v>
      </c>
      <c r="AJ84" s="3">
        <v>0</v>
      </c>
      <c r="AK84" s="3">
        <v>3</v>
      </c>
      <c r="AL84" s="3">
        <v>1</v>
      </c>
      <c r="AM84" s="3">
        <v>5</v>
      </c>
      <c r="AN84" s="3">
        <v>0</v>
      </c>
      <c r="AO84" s="3">
        <v>2</v>
      </c>
      <c r="AP84" s="3">
        <v>1</v>
      </c>
      <c r="AQ84" s="3">
        <v>3</v>
      </c>
      <c r="AR84" s="2" t="s">
        <v>5</v>
      </c>
      <c r="AS84" s="2" t="s">
        <v>5</v>
      </c>
      <c r="AU84" s="5" t="str">
        <f>HYPERLINK("https://creighton-primo.hosted.exlibrisgroup.com/primo-explore/search?tab=default_tab&amp;search_scope=EVERYTHING&amp;vid=01CRU&amp;lang=en_US&amp;offset=0&amp;query=any,contains,991003751719702656","Catalog Record")</f>
        <v>Catalog Record</v>
      </c>
      <c r="AV84" s="5" t="str">
        <f>HYPERLINK("http://www.worldcat.org/oclc/1429154","WorldCat Record")</f>
        <v>WorldCat Record</v>
      </c>
      <c r="AW84" s="2" t="s">
        <v>1173</v>
      </c>
      <c r="AX84" s="2" t="s">
        <v>1174</v>
      </c>
      <c r="AY84" s="2" t="s">
        <v>1175</v>
      </c>
      <c r="AZ84" s="2" t="s">
        <v>1175</v>
      </c>
      <c r="BA84" s="2" t="s">
        <v>1176</v>
      </c>
      <c r="BB84" s="2" t="s">
        <v>21</v>
      </c>
      <c r="BE84" s="2" t="s">
        <v>1177</v>
      </c>
      <c r="BF84" s="2" t="s">
        <v>1178</v>
      </c>
    </row>
    <row r="85" spans="1:58" ht="39.75" customHeight="1" x14ac:dyDescent="0.25">
      <c r="A85" s="1"/>
      <c r="B85" s="1" t="s">
        <v>0</v>
      </c>
      <c r="C85" s="1" t="s">
        <v>1</v>
      </c>
      <c r="D85" s="1" t="s">
        <v>1179</v>
      </c>
      <c r="E85" s="1" t="s">
        <v>1180</v>
      </c>
      <c r="F85" s="1" t="s">
        <v>1181</v>
      </c>
      <c r="H85" s="2" t="s">
        <v>5</v>
      </c>
      <c r="I85" s="2" t="s">
        <v>6</v>
      </c>
      <c r="J85" s="2" t="s">
        <v>5</v>
      </c>
      <c r="K85" s="2" t="s">
        <v>5</v>
      </c>
      <c r="L85" s="2" t="s">
        <v>7</v>
      </c>
      <c r="M85" s="1" t="s">
        <v>1182</v>
      </c>
      <c r="N85" s="1" t="s">
        <v>1183</v>
      </c>
      <c r="O85" s="2" t="s">
        <v>1184</v>
      </c>
      <c r="Q85" s="2" t="s">
        <v>11</v>
      </c>
      <c r="R85" s="2" t="s">
        <v>76</v>
      </c>
      <c r="T85" s="2" t="s">
        <v>1117</v>
      </c>
      <c r="U85" s="3">
        <v>1</v>
      </c>
      <c r="V85" s="3">
        <v>1</v>
      </c>
      <c r="W85" s="4" t="s">
        <v>1185</v>
      </c>
      <c r="X85" s="4" t="s">
        <v>1185</v>
      </c>
      <c r="Y85" s="4" t="s">
        <v>1119</v>
      </c>
      <c r="Z85" s="4" t="s">
        <v>1119</v>
      </c>
      <c r="AA85" s="3">
        <v>493</v>
      </c>
      <c r="AB85" s="3">
        <v>458</v>
      </c>
      <c r="AC85" s="3">
        <v>526</v>
      </c>
      <c r="AD85" s="3">
        <v>4</v>
      </c>
      <c r="AE85" s="7">
        <v>4</v>
      </c>
      <c r="AF85" s="7">
        <v>25</v>
      </c>
      <c r="AG85" s="7">
        <v>27</v>
      </c>
      <c r="AH85" s="3">
        <v>3</v>
      </c>
      <c r="AI85" s="3">
        <v>3</v>
      </c>
      <c r="AJ85" s="3">
        <v>2</v>
      </c>
      <c r="AK85" s="3">
        <v>3</v>
      </c>
      <c r="AL85" s="3">
        <v>11</v>
      </c>
      <c r="AM85" s="3">
        <v>12</v>
      </c>
      <c r="AN85" s="3">
        <v>2</v>
      </c>
      <c r="AO85" s="3">
        <v>2</v>
      </c>
      <c r="AP85" s="3">
        <v>11</v>
      </c>
      <c r="AQ85" s="3">
        <v>12</v>
      </c>
      <c r="AR85" s="2" t="s">
        <v>5</v>
      </c>
      <c r="AS85" s="2" t="s">
        <v>5</v>
      </c>
      <c r="AU85" s="5" t="str">
        <f>HYPERLINK("https://creighton-primo.hosted.exlibrisgroup.com/primo-explore/search?tab=default_tab&amp;search_scope=EVERYTHING&amp;vid=01CRU&amp;lang=en_US&amp;offset=0&amp;query=any,contains,991000071289702656","Catalog Record")</f>
        <v>Catalog Record</v>
      </c>
      <c r="AV85" s="5" t="str">
        <f>HYPERLINK("http://www.worldcat.org/oclc/28313","WorldCat Record")</f>
        <v>WorldCat Record</v>
      </c>
      <c r="AW85" s="2" t="s">
        <v>1186</v>
      </c>
      <c r="AX85" s="2" t="s">
        <v>1187</v>
      </c>
      <c r="AY85" s="2" t="s">
        <v>1188</v>
      </c>
      <c r="AZ85" s="2" t="s">
        <v>1188</v>
      </c>
      <c r="BA85" s="2" t="s">
        <v>1189</v>
      </c>
      <c r="BB85" s="2" t="s">
        <v>21</v>
      </c>
      <c r="BE85" s="2" t="s">
        <v>1190</v>
      </c>
      <c r="BF85" s="2" t="s">
        <v>1191</v>
      </c>
    </row>
    <row r="86" spans="1:58" ht="39.75" customHeight="1" x14ac:dyDescent="0.25">
      <c r="A86" s="1"/>
      <c r="B86" s="1" t="s">
        <v>0</v>
      </c>
      <c r="C86" s="1" t="s">
        <v>1</v>
      </c>
      <c r="D86" s="1" t="s">
        <v>1192</v>
      </c>
      <c r="E86" s="1" t="s">
        <v>1193</v>
      </c>
      <c r="F86" s="1" t="s">
        <v>1194</v>
      </c>
      <c r="H86" s="2" t="s">
        <v>5</v>
      </c>
      <c r="I86" s="2" t="s">
        <v>6</v>
      </c>
      <c r="J86" s="2" t="s">
        <v>5</v>
      </c>
      <c r="K86" s="2" t="s">
        <v>5</v>
      </c>
      <c r="L86" s="2" t="s">
        <v>7</v>
      </c>
      <c r="M86" s="1" t="s">
        <v>1195</v>
      </c>
      <c r="N86" s="1" t="s">
        <v>1196</v>
      </c>
      <c r="O86" s="2" t="s">
        <v>530</v>
      </c>
      <c r="Q86" s="2" t="s">
        <v>11</v>
      </c>
      <c r="R86" s="2" t="s">
        <v>30</v>
      </c>
      <c r="T86" s="2" t="s">
        <v>1117</v>
      </c>
      <c r="U86" s="3">
        <v>1</v>
      </c>
      <c r="V86" s="3">
        <v>1</v>
      </c>
      <c r="W86" s="4" t="s">
        <v>1197</v>
      </c>
      <c r="X86" s="4" t="s">
        <v>1197</v>
      </c>
      <c r="Y86" s="4" t="s">
        <v>1198</v>
      </c>
      <c r="Z86" s="4" t="s">
        <v>1198</v>
      </c>
      <c r="AA86" s="3">
        <v>670</v>
      </c>
      <c r="AB86" s="3">
        <v>498</v>
      </c>
      <c r="AC86" s="3">
        <v>529</v>
      </c>
      <c r="AD86" s="3">
        <v>4</v>
      </c>
      <c r="AE86" s="7">
        <v>4</v>
      </c>
      <c r="AF86" s="7">
        <v>31</v>
      </c>
      <c r="AG86" s="7">
        <v>33</v>
      </c>
      <c r="AH86" s="3">
        <v>9</v>
      </c>
      <c r="AI86" s="3">
        <v>9</v>
      </c>
      <c r="AJ86" s="3">
        <v>7</v>
      </c>
      <c r="AK86" s="3">
        <v>7</v>
      </c>
      <c r="AL86" s="3">
        <v>17</v>
      </c>
      <c r="AM86" s="3">
        <v>19</v>
      </c>
      <c r="AN86" s="3">
        <v>3</v>
      </c>
      <c r="AO86" s="3">
        <v>3</v>
      </c>
      <c r="AP86" s="3">
        <v>5</v>
      </c>
      <c r="AQ86" s="3">
        <v>5</v>
      </c>
      <c r="AR86" s="2" t="s">
        <v>5</v>
      </c>
      <c r="AS86" s="2" t="s">
        <v>5</v>
      </c>
      <c r="AU86" s="5" t="str">
        <f>HYPERLINK("https://creighton-primo.hosted.exlibrisgroup.com/primo-explore/search?tab=default_tab&amp;search_scope=EVERYTHING&amp;vid=01CRU&amp;lang=en_US&amp;offset=0&amp;query=any,contains,991000849689702656","Catalog Record")</f>
        <v>Catalog Record</v>
      </c>
      <c r="AV86" s="5" t="str">
        <f>HYPERLINK("http://www.worldcat.org/oclc/13581597","WorldCat Record")</f>
        <v>WorldCat Record</v>
      </c>
      <c r="AW86" s="2" t="s">
        <v>1199</v>
      </c>
      <c r="AX86" s="2" t="s">
        <v>1200</v>
      </c>
      <c r="AY86" s="2" t="s">
        <v>1201</v>
      </c>
      <c r="AZ86" s="2" t="s">
        <v>1201</v>
      </c>
      <c r="BA86" s="2" t="s">
        <v>1202</v>
      </c>
      <c r="BB86" s="2" t="s">
        <v>21</v>
      </c>
      <c r="BD86" s="2" t="s">
        <v>1203</v>
      </c>
      <c r="BE86" s="2" t="s">
        <v>1204</v>
      </c>
      <c r="BF86" s="2" t="s">
        <v>1205</v>
      </c>
    </row>
    <row r="87" spans="1:58" ht="39.75" customHeight="1" x14ac:dyDescent="0.25">
      <c r="A87" s="1"/>
      <c r="B87" s="1" t="s">
        <v>0</v>
      </c>
      <c r="C87" s="1" t="s">
        <v>1</v>
      </c>
      <c r="D87" s="1" t="s">
        <v>1206</v>
      </c>
      <c r="E87" s="1" t="s">
        <v>1207</v>
      </c>
      <c r="F87" s="1" t="s">
        <v>1208</v>
      </c>
      <c r="H87" s="2" t="s">
        <v>5</v>
      </c>
      <c r="I87" s="2" t="s">
        <v>6</v>
      </c>
      <c r="J87" s="2" t="s">
        <v>16</v>
      </c>
      <c r="K87" s="2" t="s">
        <v>16</v>
      </c>
      <c r="L87" s="2" t="s">
        <v>7</v>
      </c>
      <c r="M87" s="1" t="s">
        <v>1209</v>
      </c>
      <c r="N87" s="1" t="s">
        <v>1210</v>
      </c>
      <c r="O87" s="2" t="s">
        <v>500</v>
      </c>
      <c r="Q87" s="2" t="s">
        <v>11</v>
      </c>
      <c r="R87" s="2" t="s">
        <v>76</v>
      </c>
      <c r="T87" s="2" t="s">
        <v>1117</v>
      </c>
      <c r="U87" s="3">
        <v>1</v>
      </c>
      <c r="V87" s="3">
        <v>2</v>
      </c>
      <c r="W87" s="4" t="s">
        <v>1211</v>
      </c>
      <c r="X87" s="4" t="s">
        <v>1211</v>
      </c>
      <c r="Y87" s="4" t="s">
        <v>1119</v>
      </c>
      <c r="Z87" s="4" t="s">
        <v>1119</v>
      </c>
      <c r="AA87" s="3">
        <v>132</v>
      </c>
      <c r="AB87" s="3">
        <v>110</v>
      </c>
      <c r="AC87" s="3">
        <v>651</v>
      </c>
      <c r="AD87" s="3">
        <v>2</v>
      </c>
      <c r="AE87" s="7">
        <v>5</v>
      </c>
      <c r="AF87" s="7">
        <v>5</v>
      </c>
      <c r="AG87" s="7">
        <v>48</v>
      </c>
      <c r="AH87" s="3">
        <v>2</v>
      </c>
      <c r="AI87" s="3">
        <v>9</v>
      </c>
      <c r="AJ87" s="3">
        <v>0</v>
      </c>
      <c r="AK87" s="3">
        <v>7</v>
      </c>
      <c r="AL87" s="3">
        <v>2</v>
      </c>
      <c r="AM87" s="3">
        <v>11</v>
      </c>
      <c r="AN87" s="3">
        <v>0</v>
      </c>
      <c r="AO87" s="3">
        <v>2</v>
      </c>
      <c r="AP87" s="3">
        <v>1</v>
      </c>
      <c r="AQ87" s="3">
        <v>24</v>
      </c>
      <c r="AR87" s="2" t="s">
        <v>5</v>
      </c>
      <c r="AS87" s="2" t="s">
        <v>5</v>
      </c>
      <c r="AU87" s="5" t="str">
        <f>HYPERLINK("https://creighton-primo.hosted.exlibrisgroup.com/primo-explore/search?tab=default_tab&amp;search_scope=EVERYTHING&amp;vid=01CRU&amp;lang=en_US&amp;offset=0&amp;query=any,contains,991001779299702656","Catalog Record")</f>
        <v>Catalog Record</v>
      </c>
      <c r="AV87" s="5" t="str">
        <f>HYPERLINK("http://www.worldcat.org/oclc/3120526","WorldCat Record")</f>
        <v>WorldCat Record</v>
      </c>
      <c r="AW87" s="2" t="s">
        <v>1212</v>
      </c>
      <c r="AX87" s="2" t="s">
        <v>1213</v>
      </c>
      <c r="AY87" s="2" t="s">
        <v>1214</v>
      </c>
      <c r="AZ87" s="2" t="s">
        <v>1214</v>
      </c>
      <c r="BA87" s="2" t="s">
        <v>1215</v>
      </c>
      <c r="BB87" s="2" t="s">
        <v>21</v>
      </c>
      <c r="BD87" s="2" t="s">
        <v>1216</v>
      </c>
      <c r="BE87" s="2" t="s">
        <v>1217</v>
      </c>
      <c r="BF87" s="2" t="s">
        <v>1218</v>
      </c>
    </row>
    <row r="88" spans="1:58" ht="39.75" customHeight="1" x14ac:dyDescent="0.25">
      <c r="A88" s="1"/>
      <c r="B88" s="1" t="s">
        <v>0</v>
      </c>
      <c r="C88" s="1" t="s">
        <v>1</v>
      </c>
      <c r="D88" s="1" t="s">
        <v>1219</v>
      </c>
      <c r="E88" s="1" t="s">
        <v>1220</v>
      </c>
      <c r="F88" s="1" t="s">
        <v>1221</v>
      </c>
      <c r="H88" s="2" t="s">
        <v>5</v>
      </c>
      <c r="I88" s="2" t="s">
        <v>6</v>
      </c>
      <c r="J88" s="2" t="s">
        <v>5</v>
      </c>
      <c r="K88" s="2" t="s">
        <v>5</v>
      </c>
      <c r="L88" s="2" t="s">
        <v>7</v>
      </c>
      <c r="M88" s="1" t="s">
        <v>1222</v>
      </c>
      <c r="N88" s="1" t="s">
        <v>1223</v>
      </c>
      <c r="O88" s="2" t="s">
        <v>107</v>
      </c>
      <c r="Q88" s="2" t="s">
        <v>11</v>
      </c>
      <c r="R88" s="2" t="s">
        <v>30</v>
      </c>
      <c r="T88" s="2" t="s">
        <v>1117</v>
      </c>
      <c r="U88" s="3">
        <v>0</v>
      </c>
      <c r="V88" s="3">
        <v>0</v>
      </c>
      <c r="W88" s="4" t="s">
        <v>1224</v>
      </c>
      <c r="X88" s="4" t="s">
        <v>1224</v>
      </c>
      <c r="Y88" s="4" t="s">
        <v>1119</v>
      </c>
      <c r="Z88" s="4" t="s">
        <v>1119</v>
      </c>
      <c r="AA88" s="3">
        <v>87</v>
      </c>
      <c r="AB88" s="3">
        <v>47</v>
      </c>
      <c r="AC88" s="3">
        <v>237</v>
      </c>
      <c r="AD88" s="3">
        <v>1</v>
      </c>
      <c r="AE88" s="7">
        <v>3</v>
      </c>
      <c r="AF88" s="7">
        <v>3</v>
      </c>
      <c r="AG88" s="7">
        <v>17</v>
      </c>
      <c r="AH88" s="3">
        <v>0</v>
      </c>
      <c r="AI88" s="3">
        <v>4</v>
      </c>
      <c r="AJ88" s="3">
        <v>2</v>
      </c>
      <c r="AK88" s="3">
        <v>4</v>
      </c>
      <c r="AL88" s="3">
        <v>2</v>
      </c>
      <c r="AM88" s="3">
        <v>2</v>
      </c>
      <c r="AN88" s="3">
        <v>0</v>
      </c>
      <c r="AO88" s="3">
        <v>1</v>
      </c>
      <c r="AP88" s="3">
        <v>1</v>
      </c>
      <c r="AQ88" s="3">
        <v>9</v>
      </c>
      <c r="AR88" s="2" t="s">
        <v>5</v>
      </c>
      <c r="AS88" s="2" t="s">
        <v>16</v>
      </c>
      <c r="AT88" s="5" t="str">
        <f>HYPERLINK("http://catalog.hathitrust.org/Record/100001365","HathiTrust Record")</f>
        <v>HathiTrust Record</v>
      </c>
      <c r="AU88" s="5" t="str">
        <f>HYPERLINK("https://creighton-primo.hosted.exlibrisgroup.com/primo-explore/search?tab=default_tab&amp;search_scope=EVERYTHING&amp;vid=01CRU&amp;lang=en_US&amp;offset=0&amp;query=any,contains,991003267939702656","Catalog Record")</f>
        <v>Catalog Record</v>
      </c>
      <c r="AV88" s="5" t="str">
        <f>HYPERLINK("http://www.worldcat.org/oclc/793938","WorldCat Record")</f>
        <v>WorldCat Record</v>
      </c>
      <c r="AW88" s="2" t="s">
        <v>1225</v>
      </c>
      <c r="AX88" s="2" t="s">
        <v>1226</v>
      </c>
      <c r="AY88" s="2" t="s">
        <v>1227</v>
      </c>
      <c r="AZ88" s="2" t="s">
        <v>1227</v>
      </c>
      <c r="BA88" s="2" t="s">
        <v>1228</v>
      </c>
      <c r="BB88" s="2" t="s">
        <v>21</v>
      </c>
      <c r="BD88" s="2" t="s">
        <v>1229</v>
      </c>
      <c r="BE88" s="2" t="s">
        <v>1230</v>
      </c>
      <c r="BF88" s="2" t="s">
        <v>1231</v>
      </c>
    </row>
    <row r="89" spans="1:58" ht="39.75" customHeight="1" x14ac:dyDescent="0.25">
      <c r="A89" s="1"/>
      <c r="B89" s="1" t="s">
        <v>0</v>
      </c>
      <c r="C89" s="1" t="s">
        <v>1</v>
      </c>
      <c r="D89" s="1" t="s">
        <v>1232</v>
      </c>
      <c r="E89" s="1" t="s">
        <v>1233</v>
      </c>
      <c r="F89" s="1" t="s">
        <v>1234</v>
      </c>
      <c r="H89" s="2" t="s">
        <v>5</v>
      </c>
      <c r="I89" s="2" t="s">
        <v>6</v>
      </c>
      <c r="J89" s="2" t="s">
        <v>16</v>
      </c>
      <c r="K89" s="2" t="s">
        <v>5</v>
      </c>
      <c r="L89" s="2" t="s">
        <v>7</v>
      </c>
      <c r="M89" s="1" t="s">
        <v>1235</v>
      </c>
      <c r="N89" s="1" t="s">
        <v>1236</v>
      </c>
      <c r="O89" s="2" t="s">
        <v>107</v>
      </c>
      <c r="Q89" s="2" t="s">
        <v>11</v>
      </c>
      <c r="R89" s="2" t="s">
        <v>306</v>
      </c>
      <c r="T89" s="2" t="s">
        <v>1117</v>
      </c>
      <c r="U89" s="3">
        <v>1</v>
      </c>
      <c r="V89" s="3">
        <v>2</v>
      </c>
      <c r="W89" s="4" t="s">
        <v>1237</v>
      </c>
      <c r="X89" s="4" t="s">
        <v>1237</v>
      </c>
      <c r="Y89" s="4" t="s">
        <v>15</v>
      </c>
      <c r="Z89" s="4" t="s">
        <v>1238</v>
      </c>
      <c r="AA89" s="3">
        <v>153</v>
      </c>
      <c r="AB89" s="3">
        <v>134</v>
      </c>
      <c r="AC89" s="3">
        <v>278</v>
      </c>
      <c r="AD89" s="3">
        <v>2</v>
      </c>
      <c r="AE89" s="7">
        <v>3</v>
      </c>
      <c r="AF89" s="7">
        <v>11</v>
      </c>
      <c r="AG89" s="7">
        <v>19</v>
      </c>
      <c r="AH89" s="3">
        <v>0</v>
      </c>
      <c r="AI89" s="3">
        <v>1</v>
      </c>
      <c r="AJ89" s="3">
        <v>2</v>
      </c>
      <c r="AK89" s="3">
        <v>2</v>
      </c>
      <c r="AL89" s="3">
        <v>2</v>
      </c>
      <c r="AM89" s="3">
        <v>3</v>
      </c>
      <c r="AN89" s="3">
        <v>0</v>
      </c>
      <c r="AO89" s="3">
        <v>1</v>
      </c>
      <c r="AP89" s="3">
        <v>8</v>
      </c>
      <c r="AQ89" s="3">
        <v>14</v>
      </c>
      <c r="AR89" s="2" t="s">
        <v>5</v>
      </c>
      <c r="AS89" s="2" t="s">
        <v>5</v>
      </c>
      <c r="AU89" s="5" t="str">
        <f>HYPERLINK("https://creighton-primo.hosted.exlibrisgroup.com/primo-explore/search?tab=default_tab&amp;search_scope=EVERYTHING&amp;vid=01CRU&amp;lang=en_US&amp;offset=0&amp;query=any,contains,991001687949702656","Catalog Record")</f>
        <v>Catalog Record</v>
      </c>
      <c r="AV89" s="5" t="str">
        <f>HYPERLINK("http://www.worldcat.org/oclc/79251","WorldCat Record")</f>
        <v>WorldCat Record</v>
      </c>
      <c r="AW89" s="2" t="s">
        <v>1239</v>
      </c>
      <c r="AX89" s="2" t="s">
        <v>1240</v>
      </c>
      <c r="AY89" s="2" t="s">
        <v>1241</v>
      </c>
      <c r="AZ89" s="2" t="s">
        <v>1241</v>
      </c>
      <c r="BA89" s="2" t="s">
        <v>1242</v>
      </c>
      <c r="BB89" s="2" t="s">
        <v>21</v>
      </c>
      <c r="BD89" s="2" t="s">
        <v>1243</v>
      </c>
      <c r="BE89" s="2" t="s">
        <v>1244</v>
      </c>
      <c r="BF89" s="2" t="s">
        <v>1245</v>
      </c>
    </row>
    <row r="90" spans="1:58" ht="39.75" customHeight="1" x14ac:dyDescent="0.25">
      <c r="A90" s="1"/>
      <c r="B90" s="1" t="s">
        <v>0</v>
      </c>
      <c r="C90" s="1" t="s">
        <v>1</v>
      </c>
      <c r="D90" s="1" t="s">
        <v>1246</v>
      </c>
      <c r="E90" s="1" t="s">
        <v>1247</v>
      </c>
      <c r="F90" s="1" t="s">
        <v>1248</v>
      </c>
      <c r="H90" s="2" t="s">
        <v>5</v>
      </c>
      <c r="I90" s="2" t="s">
        <v>6</v>
      </c>
      <c r="J90" s="2" t="s">
        <v>5</v>
      </c>
      <c r="K90" s="2" t="s">
        <v>5</v>
      </c>
      <c r="L90" s="2" t="s">
        <v>7</v>
      </c>
      <c r="M90" s="1" t="s">
        <v>1249</v>
      </c>
      <c r="N90" s="1" t="s">
        <v>1250</v>
      </c>
      <c r="O90" s="2" t="s">
        <v>530</v>
      </c>
      <c r="Q90" s="2" t="s">
        <v>11</v>
      </c>
      <c r="R90" s="2" t="s">
        <v>153</v>
      </c>
      <c r="T90" s="2" t="s">
        <v>1117</v>
      </c>
      <c r="U90" s="3">
        <v>3</v>
      </c>
      <c r="V90" s="3">
        <v>3</v>
      </c>
      <c r="W90" s="4" t="s">
        <v>1251</v>
      </c>
      <c r="X90" s="4" t="s">
        <v>1251</v>
      </c>
      <c r="Y90" s="4" t="s">
        <v>1252</v>
      </c>
      <c r="Z90" s="4" t="s">
        <v>1252</v>
      </c>
      <c r="AA90" s="3">
        <v>522</v>
      </c>
      <c r="AB90" s="3">
        <v>422</v>
      </c>
      <c r="AC90" s="3">
        <v>634</v>
      </c>
      <c r="AD90" s="3">
        <v>2</v>
      </c>
      <c r="AE90" s="7">
        <v>4</v>
      </c>
      <c r="AF90" s="7">
        <v>27</v>
      </c>
      <c r="AG90" s="7">
        <v>42</v>
      </c>
      <c r="AH90" s="3">
        <v>6</v>
      </c>
      <c r="AI90" s="3">
        <v>11</v>
      </c>
      <c r="AJ90" s="3">
        <v>5</v>
      </c>
      <c r="AK90" s="3">
        <v>10</v>
      </c>
      <c r="AL90" s="3">
        <v>8</v>
      </c>
      <c r="AM90" s="3">
        <v>16</v>
      </c>
      <c r="AN90" s="3">
        <v>1</v>
      </c>
      <c r="AO90" s="3">
        <v>3</v>
      </c>
      <c r="AP90" s="3">
        <v>12</v>
      </c>
      <c r="AQ90" s="3">
        <v>12</v>
      </c>
      <c r="AR90" s="2" t="s">
        <v>5</v>
      </c>
      <c r="AS90" s="2" t="s">
        <v>5</v>
      </c>
      <c r="AU90" s="5" t="str">
        <f>HYPERLINK("https://creighton-primo.hosted.exlibrisgroup.com/primo-explore/search?tab=default_tab&amp;search_scope=EVERYTHING&amp;vid=01CRU&amp;lang=en_US&amp;offset=0&amp;query=any,contains,991004930149702656","Catalog Record")</f>
        <v>Catalog Record</v>
      </c>
      <c r="AV90" s="5" t="str">
        <f>HYPERLINK("http://www.worldcat.org/oclc/12133492","WorldCat Record")</f>
        <v>WorldCat Record</v>
      </c>
      <c r="AW90" s="2" t="s">
        <v>1253</v>
      </c>
      <c r="AX90" s="2" t="s">
        <v>1254</v>
      </c>
      <c r="AY90" s="2" t="s">
        <v>1255</v>
      </c>
      <c r="AZ90" s="2" t="s">
        <v>1255</v>
      </c>
      <c r="BA90" s="2" t="s">
        <v>1256</v>
      </c>
      <c r="BB90" s="2" t="s">
        <v>21</v>
      </c>
      <c r="BD90" s="2" t="s">
        <v>1257</v>
      </c>
      <c r="BE90" s="2" t="s">
        <v>1258</v>
      </c>
      <c r="BF90" s="2" t="s">
        <v>1259</v>
      </c>
    </row>
    <row r="91" spans="1:58" ht="39.75" customHeight="1" x14ac:dyDescent="0.25">
      <c r="A91" s="1"/>
      <c r="B91" s="1" t="s">
        <v>0</v>
      </c>
      <c r="C91" s="1" t="s">
        <v>1</v>
      </c>
      <c r="D91" s="1" t="s">
        <v>1260</v>
      </c>
      <c r="E91" s="1" t="s">
        <v>1261</v>
      </c>
      <c r="F91" s="1" t="s">
        <v>1262</v>
      </c>
      <c r="H91" s="2" t="s">
        <v>5</v>
      </c>
      <c r="I91" s="2" t="s">
        <v>6</v>
      </c>
      <c r="J91" s="2" t="s">
        <v>5</v>
      </c>
      <c r="K91" s="2" t="s">
        <v>16</v>
      </c>
      <c r="L91" s="2" t="s">
        <v>7</v>
      </c>
      <c r="M91" s="1" t="s">
        <v>1263</v>
      </c>
      <c r="N91" s="1" t="s">
        <v>1264</v>
      </c>
      <c r="O91" s="2" t="s">
        <v>1265</v>
      </c>
      <c r="Q91" s="2" t="s">
        <v>11</v>
      </c>
      <c r="R91" s="2" t="s">
        <v>30</v>
      </c>
      <c r="T91" s="2" t="s">
        <v>1117</v>
      </c>
      <c r="U91" s="3">
        <v>2</v>
      </c>
      <c r="V91" s="3">
        <v>2</v>
      </c>
      <c r="W91" s="4" t="s">
        <v>1266</v>
      </c>
      <c r="X91" s="4" t="s">
        <v>1266</v>
      </c>
      <c r="Y91" s="4" t="s">
        <v>1073</v>
      </c>
      <c r="Z91" s="4" t="s">
        <v>1073</v>
      </c>
      <c r="AA91" s="3">
        <v>369</v>
      </c>
      <c r="AB91" s="3">
        <v>260</v>
      </c>
      <c r="AC91" s="3">
        <v>402</v>
      </c>
      <c r="AD91" s="3">
        <v>4</v>
      </c>
      <c r="AE91" s="7">
        <v>5</v>
      </c>
      <c r="AF91" s="7">
        <v>25</v>
      </c>
      <c r="AG91" s="7">
        <v>39</v>
      </c>
      <c r="AH91" s="3">
        <v>3</v>
      </c>
      <c r="AI91" s="3">
        <v>6</v>
      </c>
      <c r="AJ91" s="3">
        <v>4</v>
      </c>
      <c r="AK91" s="3">
        <v>5</v>
      </c>
      <c r="AL91" s="3">
        <v>11</v>
      </c>
      <c r="AM91" s="3">
        <v>15</v>
      </c>
      <c r="AN91" s="3">
        <v>2</v>
      </c>
      <c r="AO91" s="3">
        <v>2</v>
      </c>
      <c r="AP91" s="3">
        <v>9</v>
      </c>
      <c r="AQ91" s="3">
        <v>17</v>
      </c>
      <c r="AR91" s="2" t="s">
        <v>5</v>
      </c>
      <c r="AS91" s="2" t="s">
        <v>5</v>
      </c>
      <c r="AU91" s="5" t="str">
        <f>HYPERLINK("https://creighton-primo.hosted.exlibrisgroup.com/primo-explore/search?tab=default_tab&amp;search_scope=EVERYTHING&amp;vid=01CRU&amp;lang=en_US&amp;offset=0&amp;query=any,contains,991003664409702656","Catalog Record")</f>
        <v>Catalog Record</v>
      </c>
      <c r="AV91" s="5" t="str">
        <f>HYPERLINK("http://www.worldcat.org/oclc/1277082","WorldCat Record")</f>
        <v>WorldCat Record</v>
      </c>
      <c r="AW91" s="2" t="s">
        <v>1267</v>
      </c>
      <c r="AX91" s="2" t="s">
        <v>1268</v>
      </c>
      <c r="AY91" s="2" t="s">
        <v>1269</v>
      </c>
      <c r="AZ91" s="2" t="s">
        <v>1269</v>
      </c>
      <c r="BA91" s="2" t="s">
        <v>1270</v>
      </c>
      <c r="BB91" s="2" t="s">
        <v>21</v>
      </c>
      <c r="BE91" s="2" t="s">
        <v>1271</v>
      </c>
      <c r="BF91" s="2" t="s">
        <v>1272</v>
      </c>
    </row>
    <row r="92" spans="1:58" ht="39.75" customHeight="1" x14ac:dyDescent="0.25">
      <c r="A92" s="1"/>
      <c r="B92" s="1" t="s">
        <v>0</v>
      </c>
      <c r="C92" s="1" t="s">
        <v>1</v>
      </c>
      <c r="D92" s="1" t="s">
        <v>1273</v>
      </c>
      <c r="E92" s="1" t="s">
        <v>1274</v>
      </c>
      <c r="F92" s="1" t="s">
        <v>1275</v>
      </c>
      <c r="H92" s="2" t="s">
        <v>5</v>
      </c>
      <c r="I92" s="2" t="s">
        <v>6</v>
      </c>
      <c r="J92" s="2" t="s">
        <v>5</v>
      </c>
      <c r="K92" s="2" t="s">
        <v>5</v>
      </c>
      <c r="L92" s="2" t="s">
        <v>7</v>
      </c>
      <c r="M92" s="1" t="s">
        <v>1276</v>
      </c>
      <c r="N92" s="1" t="s">
        <v>1277</v>
      </c>
      <c r="O92" s="2" t="s">
        <v>184</v>
      </c>
      <c r="Q92" s="2" t="s">
        <v>11</v>
      </c>
      <c r="R92" s="2" t="s">
        <v>306</v>
      </c>
      <c r="S92" s="1" t="s">
        <v>1278</v>
      </c>
      <c r="T92" s="2" t="s">
        <v>1117</v>
      </c>
      <c r="U92" s="3">
        <v>3</v>
      </c>
      <c r="V92" s="3">
        <v>3</v>
      </c>
      <c r="W92" s="4" t="s">
        <v>1279</v>
      </c>
      <c r="X92" s="4" t="s">
        <v>1279</v>
      </c>
      <c r="Y92" s="4" t="s">
        <v>359</v>
      </c>
      <c r="Z92" s="4" t="s">
        <v>359</v>
      </c>
      <c r="AA92" s="3">
        <v>552</v>
      </c>
      <c r="AB92" s="3">
        <v>462</v>
      </c>
      <c r="AC92" s="3">
        <v>467</v>
      </c>
      <c r="AD92" s="3">
        <v>1</v>
      </c>
      <c r="AE92" s="7">
        <v>1</v>
      </c>
      <c r="AF92" s="7">
        <v>30</v>
      </c>
      <c r="AG92" s="7">
        <v>30</v>
      </c>
      <c r="AH92" s="3">
        <v>9</v>
      </c>
      <c r="AI92" s="3">
        <v>9</v>
      </c>
      <c r="AJ92" s="3">
        <v>5</v>
      </c>
      <c r="AK92" s="3">
        <v>5</v>
      </c>
      <c r="AL92" s="3">
        <v>8</v>
      </c>
      <c r="AM92" s="3">
        <v>8</v>
      </c>
      <c r="AN92" s="3">
        <v>0</v>
      </c>
      <c r="AO92" s="3">
        <v>0</v>
      </c>
      <c r="AP92" s="3">
        <v>15</v>
      </c>
      <c r="AQ92" s="3">
        <v>15</v>
      </c>
      <c r="AR92" s="2" t="s">
        <v>5</v>
      </c>
      <c r="AS92" s="2" t="s">
        <v>16</v>
      </c>
      <c r="AT92" s="5" t="str">
        <f>HYPERLINK("http://catalog.hathitrust.org/Record/000106716","HathiTrust Record")</f>
        <v>HathiTrust Record</v>
      </c>
      <c r="AU92" s="5" t="str">
        <f>HYPERLINK("https://creighton-primo.hosted.exlibrisgroup.com/primo-explore/search?tab=default_tab&amp;search_scope=EVERYTHING&amp;vid=01CRU&amp;lang=en_US&amp;offset=0&amp;query=any,contains,991005043189702656","Catalog Record")</f>
        <v>Catalog Record</v>
      </c>
      <c r="AV92" s="5" t="str">
        <f>HYPERLINK("http://www.worldcat.org/oclc/6813384","WorldCat Record")</f>
        <v>WorldCat Record</v>
      </c>
      <c r="AW92" s="2" t="s">
        <v>1280</v>
      </c>
      <c r="AX92" s="2" t="s">
        <v>1281</v>
      </c>
      <c r="AY92" s="2" t="s">
        <v>1282</v>
      </c>
      <c r="AZ92" s="2" t="s">
        <v>1282</v>
      </c>
      <c r="BA92" s="2" t="s">
        <v>1283</v>
      </c>
      <c r="BB92" s="2" t="s">
        <v>21</v>
      </c>
      <c r="BD92" s="2" t="s">
        <v>1284</v>
      </c>
      <c r="BE92" s="2" t="s">
        <v>1285</v>
      </c>
      <c r="BF92" s="2" t="s">
        <v>1286</v>
      </c>
    </row>
    <row r="93" spans="1:58" ht="39.75" customHeight="1" x14ac:dyDescent="0.25">
      <c r="A93" s="1"/>
      <c r="B93" s="1" t="s">
        <v>0</v>
      </c>
      <c r="C93" s="1" t="s">
        <v>1</v>
      </c>
      <c r="D93" s="1" t="s">
        <v>1287</v>
      </c>
      <c r="E93" s="1" t="s">
        <v>1288</v>
      </c>
      <c r="F93" s="1" t="s">
        <v>1289</v>
      </c>
      <c r="H93" s="2" t="s">
        <v>5</v>
      </c>
      <c r="I93" s="2" t="s">
        <v>6</v>
      </c>
      <c r="J93" s="2" t="s">
        <v>5</v>
      </c>
      <c r="K93" s="2" t="s">
        <v>5</v>
      </c>
      <c r="L93" s="2" t="s">
        <v>7</v>
      </c>
      <c r="M93" s="1" t="s">
        <v>1290</v>
      </c>
      <c r="N93" s="1" t="s">
        <v>1291</v>
      </c>
      <c r="O93" s="2" t="s">
        <v>107</v>
      </c>
      <c r="Q93" s="2" t="s">
        <v>11</v>
      </c>
      <c r="R93" s="2" t="s">
        <v>76</v>
      </c>
      <c r="S93" s="1" t="s">
        <v>1292</v>
      </c>
      <c r="T93" s="2" t="s">
        <v>1293</v>
      </c>
      <c r="U93" s="3">
        <v>0</v>
      </c>
      <c r="V93" s="3">
        <v>0</v>
      </c>
      <c r="W93" s="4" t="s">
        <v>1294</v>
      </c>
      <c r="X93" s="4" t="s">
        <v>1294</v>
      </c>
      <c r="Y93" s="4" t="s">
        <v>1295</v>
      </c>
      <c r="Z93" s="4" t="s">
        <v>1295</v>
      </c>
      <c r="AA93" s="3">
        <v>166</v>
      </c>
      <c r="AB93" s="3">
        <v>146</v>
      </c>
      <c r="AC93" s="3">
        <v>335</v>
      </c>
      <c r="AD93" s="3">
        <v>1</v>
      </c>
      <c r="AE93" s="7">
        <v>2</v>
      </c>
      <c r="AF93" s="7">
        <v>14</v>
      </c>
      <c r="AG93" s="7">
        <v>32</v>
      </c>
      <c r="AH93" s="3">
        <v>2</v>
      </c>
      <c r="AI93" s="3">
        <v>6</v>
      </c>
      <c r="AJ93" s="3">
        <v>3</v>
      </c>
      <c r="AK93" s="3">
        <v>5</v>
      </c>
      <c r="AL93" s="3">
        <v>3</v>
      </c>
      <c r="AM93" s="3">
        <v>14</v>
      </c>
      <c r="AN93" s="3">
        <v>0</v>
      </c>
      <c r="AO93" s="3">
        <v>0</v>
      </c>
      <c r="AP93" s="3">
        <v>9</v>
      </c>
      <c r="AQ93" s="3">
        <v>14</v>
      </c>
      <c r="AR93" s="2" t="s">
        <v>5</v>
      </c>
      <c r="AS93" s="2" t="s">
        <v>5</v>
      </c>
      <c r="AU93" s="5" t="str">
        <f>HYPERLINK("https://creighton-primo.hosted.exlibrisgroup.com/primo-explore/search?tab=default_tab&amp;search_scope=EVERYTHING&amp;vid=01CRU&amp;lang=en_US&amp;offset=0&amp;query=any,contains,991000120199702656","Catalog Record")</f>
        <v>Catalog Record</v>
      </c>
      <c r="AV93" s="5" t="str">
        <f>HYPERLINK("http://www.worldcat.org/oclc/49959","WorldCat Record")</f>
        <v>WorldCat Record</v>
      </c>
      <c r="AW93" s="2" t="s">
        <v>1296</v>
      </c>
      <c r="AX93" s="2" t="s">
        <v>1297</v>
      </c>
      <c r="AY93" s="2" t="s">
        <v>1298</v>
      </c>
      <c r="AZ93" s="2" t="s">
        <v>1298</v>
      </c>
      <c r="BA93" s="2" t="s">
        <v>1299</v>
      </c>
      <c r="BB93" s="2" t="s">
        <v>21</v>
      </c>
      <c r="BD93" s="2" t="s">
        <v>1300</v>
      </c>
      <c r="BE93" s="2" t="s">
        <v>1301</v>
      </c>
      <c r="BF93" s="2" t="s">
        <v>1302</v>
      </c>
    </row>
    <row r="94" spans="1:58" ht="39.75" customHeight="1" x14ac:dyDescent="0.25">
      <c r="A94" s="1"/>
      <c r="B94" s="1" t="s">
        <v>0</v>
      </c>
      <c r="C94" s="1" t="s">
        <v>1</v>
      </c>
      <c r="D94" s="1" t="s">
        <v>1303</v>
      </c>
      <c r="E94" s="1" t="s">
        <v>1304</v>
      </c>
      <c r="F94" s="1" t="s">
        <v>1305</v>
      </c>
      <c r="H94" s="2" t="s">
        <v>5</v>
      </c>
      <c r="I94" s="2" t="s">
        <v>6</v>
      </c>
      <c r="J94" s="2" t="s">
        <v>5</v>
      </c>
      <c r="K94" s="2" t="s">
        <v>5</v>
      </c>
      <c r="L94" s="2" t="s">
        <v>7</v>
      </c>
      <c r="N94" s="1" t="s">
        <v>1306</v>
      </c>
      <c r="O94" s="2" t="s">
        <v>228</v>
      </c>
      <c r="Q94" s="2" t="s">
        <v>11</v>
      </c>
      <c r="R94" s="2" t="s">
        <v>260</v>
      </c>
      <c r="S94" s="1" t="s">
        <v>1307</v>
      </c>
      <c r="T94" s="2" t="s">
        <v>1308</v>
      </c>
      <c r="U94" s="3">
        <v>4</v>
      </c>
      <c r="V94" s="3">
        <v>4</v>
      </c>
      <c r="W94" s="4" t="s">
        <v>1309</v>
      </c>
      <c r="X94" s="4" t="s">
        <v>1309</v>
      </c>
      <c r="Y94" s="4" t="s">
        <v>1310</v>
      </c>
      <c r="Z94" s="4" t="s">
        <v>1310</v>
      </c>
      <c r="AA94" s="3">
        <v>230</v>
      </c>
      <c r="AB94" s="3">
        <v>182</v>
      </c>
      <c r="AC94" s="3">
        <v>182</v>
      </c>
      <c r="AD94" s="3">
        <v>2</v>
      </c>
      <c r="AE94" s="7">
        <v>2</v>
      </c>
      <c r="AF94" s="7">
        <v>12</v>
      </c>
      <c r="AG94" s="7">
        <v>12</v>
      </c>
      <c r="AH94" s="3">
        <v>0</v>
      </c>
      <c r="AI94" s="3">
        <v>0</v>
      </c>
      <c r="AJ94" s="3">
        <v>2</v>
      </c>
      <c r="AK94" s="3">
        <v>2</v>
      </c>
      <c r="AL94" s="3">
        <v>1</v>
      </c>
      <c r="AM94" s="3">
        <v>1</v>
      </c>
      <c r="AN94" s="3">
        <v>1</v>
      </c>
      <c r="AO94" s="3">
        <v>1</v>
      </c>
      <c r="AP94" s="3">
        <v>8</v>
      </c>
      <c r="AQ94" s="3">
        <v>8</v>
      </c>
      <c r="AR94" s="2" t="s">
        <v>5</v>
      </c>
      <c r="AS94" s="2" t="s">
        <v>5</v>
      </c>
      <c r="AU94" s="5" t="str">
        <f>HYPERLINK("https://creighton-primo.hosted.exlibrisgroup.com/primo-explore/search?tab=default_tab&amp;search_scope=EVERYTHING&amp;vid=01CRU&amp;lang=en_US&amp;offset=0&amp;query=any,contains,991001615909702656","Catalog Record")</f>
        <v>Catalog Record</v>
      </c>
      <c r="AV94" s="5" t="str">
        <f>HYPERLINK("http://www.worldcat.org/oclc/20771510","WorldCat Record")</f>
        <v>WorldCat Record</v>
      </c>
      <c r="AW94" s="2" t="s">
        <v>1311</v>
      </c>
      <c r="AX94" s="2" t="s">
        <v>1312</v>
      </c>
      <c r="AY94" s="2" t="s">
        <v>1313</v>
      </c>
      <c r="AZ94" s="2" t="s">
        <v>1313</v>
      </c>
      <c r="BA94" s="2" t="s">
        <v>1314</v>
      </c>
      <c r="BB94" s="2" t="s">
        <v>21</v>
      </c>
      <c r="BD94" s="2" t="s">
        <v>1315</v>
      </c>
      <c r="BE94" s="2" t="s">
        <v>1316</v>
      </c>
      <c r="BF94" s="2" t="s">
        <v>1317</v>
      </c>
    </row>
    <row r="95" spans="1:58" ht="39.75" customHeight="1" x14ac:dyDescent="0.25">
      <c r="A95" s="1"/>
      <c r="B95" s="1" t="s">
        <v>0</v>
      </c>
      <c r="C95" s="1" t="s">
        <v>1</v>
      </c>
      <c r="D95" s="1" t="s">
        <v>1318</v>
      </c>
      <c r="E95" s="1" t="s">
        <v>1319</v>
      </c>
      <c r="F95" s="1" t="s">
        <v>1320</v>
      </c>
      <c r="H95" s="2" t="s">
        <v>5</v>
      </c>
      <c r="I95" s="2" t="s">
        <v>6</v>
      </c>
      <c r="J95" s="2" t="s">
        <v>5</v>
      </c>
      <c r="K95" s="2" t="s">
        <v>5</v>
      </c>
      <c r="L95" s="2" t="s">
        <v>7</v>
      </c>
      <c r="M95" s="1" t="s">
        <v>1321</v>
      </c>
      <c r="N95" s="1" t="s">
        <v>1322</v>
      </c>
      <c r="O95" s="2" t="s">
        <v>275</v>
      </c>
      <c r="Q95" s="2" t="s">
        <v>11</v>
      </c>
      <c r="R95" s="2" t="s">
        <v>1323</v>
      </c>
      <c r="T95" s="2" t="s">
        <v>1324</v>
      </c>
      <c r="U95" s="3">
        <v>2</v>
      </c>
      <c r="V95" s="3">
        <v>2</v>
      </c>
      <c r="W95" s="4" t="s">
        <v>1294</v>
      </c>
      <c r="X95" s="4" t="s">
        <v>1294</v>
      </c>
      <c r="Y95" s="4" t="s">
        <v>1294</v>
      </c>
      <c r="Z95" s="4" t="s">
        <v>1294</v>
      </c>
      <c r="AA95" s="3">
        <v>135</v>
      </c>
      <c r="AB95" s="3">
        <v>64</v>
      </c>
      <c r="AC95" s="3">
        <v>75</v>
      </c>
      <c r="AD95" s="3">
        <v>2</v>
      </c>
      <c r="AE95" s="7">
        <v>2</v>
      </c>
      <c r="AF95" s="7">
        <v>3</v>
      </c>
      <c r="AG95" s="7">
        <v>4</v>
      </c>
      <c r="AH95" s="3">
        <v>0</v>
      </c>
      <c r="AI95" s="3">
        <v>0</v>
      </c>
      <c r="AJ95" s="3">
        <v>0</v>
      </c>
      <c r="AK95" s="3">
        <v>0</v>
      </c>
      <c r="AL95" s="3">
        <v>0</v>
      </c>
      <c r="AM95" s="3">
        <v>0</v>
      </c>
      <c r="AN95" s="3">
        <v>0</v>
      </c>
      <c r="AO95" s="3">
        <v>0</v>
      </c>
      <c r="AP95" s="3">
        <v>3</v>
      </c>
      <c r="AQ95" s="3">
        <v>4</v>
      </c>
      <c r="AR95" s="2" t="s">
        <v>5</v>
      </c>
      <c r="AS95" s="2" t="s">
        <v>5</v>
      </c>
      <c r="AU95" s="5" t="str">
        <f>HYPERLINK("https://creighton-primo.hosted.exlibrisgroup.com/primo-explore/search?tab=default_tab&amp;search_scope=EVERYTHING&amp;vid=01CRU&amp;lang=en_US&amp;offset=0&amp;query=any,contains,991004556109702656","Catalog Record")</f>
        <v>Catalog Record</v>
      </c>
      <c r="AV95" s="5" t="str">
        <f>HYPERLINK("http://www.worldcat.org/oclc/5976384","WorldCat Record")</f>
        <v>WorldCat Record</v>
      </c>
      <c r="AW95" s="2" t="s">
        <v>1325</v>
      </c>
      <c r="AX95" s="2" t="s">
        <v>1326</v>
      </c>
      <c r="AY95" s="2" t="s">
        <v>1327</v>
      </c>
      <c r="AZ95" s="2" t="s">
        <v>1327</v>
      </c>
      <c r="BA95" s="2" t="s">
        <v>1328</v>
      </c>
      <c r="BB95" s="2" t="s">
        <v>21</v>
      </c>
      <c r="BD95" s="2" t="s">
        <v>1329</v>
      </c>
      <c r="BE95" s="2" t="s">
        <v>1330</v>
      </c>
      <c r="BF95" s="2" t="s">
        <v>1331</v>
      </c>
    </row>
    <row r="96" spans="1:58" ht="39.75" customHeight="1" x14ac:dyDescent="0.25">
      <c r="A96" s="1"/>
      <c r="B96" s="1" t="s">
        <v>0</v>
      </c>
      <c r="C96" s="1" t="s">
        <v>1</v>
      </c>
      <c r="D96" s="1" t="s">
        <v>1332</v>
      </c>
      <c r="E96" s="1" t="s">
        <v>1333</v>
      </c>
      <c r="F96" s="1" t="s">
        <v>1334</v>
      </c>
      <c r="H96" s="2" t="s">
        <v>5</v>
      </c>
      <c r="I96" s="2" t="s">
        <v>6</v>
      </c>
      <c r="J96" s="2" t="s">
        <v>5</v>
      </c>
      <c r="K96" s="2" t="s">
        <v>5</v>
      </c>
      <c r="L96" s="2" t="s">
        <v>7</v>
      </c>
      <c r="M96" s="1" t="s">
        <v>1335</v>
      </c>
      <c r="N96" s="1" t="s">
        <v>1336</v>
      </c>
      <c r="O96" s="2" t="s">
        <v>169</v>
      </c>
      <c r="Q96" s="2" t="s">
        <v>11</v>
      </c>
      <c r="R96" s="2" t="s">
        <v>30</v>
      </c>
      <c r="T96" s="2" t="s">
        <v>1324</v>
      </c>
      <c r="U96" s="3">
        <v>2</v>
      </c>
      <c r="V96" s="3">
        <v>2</v>
      </c>
      <c r="W96" s="4" t="s">
        <v>1337</v>
      </c>
      <c r="X96" s="4" t="s">
        <v>1337</v>
      </c>
      <c r="Y96" s="4" t="s">
        <v>1338</v>
      </c>
      <c r="Z96" s="4" t="s">
        <v>1338</v>
      </c>
      <c r="AA96" s="3">
        <v>313</v>
      </c>
      <c r="AB96" s="3">
        <v>164</v>
      </c>
      <c r="AC96" s="3">
        <v>169</v>
      </c>
      <c r="AD96" s="3">
        <v>1</v>
      </c>
      <c r="AE96" s="7">
        <v>1</v>
      </c>
      <c r="AF96" s="7">
        <v>14</v>
      </c>
      <c r="AG96" s="7">
        <v>14</v>
      </c>
      <c r="AH96" s="3">
        <v>2</v>
      </c>
      <c r="AI96" s="3">
        <v>2</v>
      </c>
      <c r="AJ96" s="3">
        <v>4</v>
      </c>
      <c r="AK96" s="3">
        <v>4</v>
      </c>
      <c r="AL96" s="3">
        <v>3</v>
      </c>
      <c r="AM96" s="3">
        <v>3</v>
      </c>
      <c r="AN96" s="3">
        <v>0</v>
      </c>
      <c r="AO96" s="3">
        <v>0</v>
      </c>
      <c r="AP96" s="3">
        <v>8</v>
      </c>
      <c r="AQ96" s="3">
        <v>8</v>
      </c>
      <c r="AR96" s="2" t="s">
        <v>5</v>
      </c>
      <c r="AS96" s="2" t="s">
        <v>16</v>
      </c>
      <c r="AT96" s="5" t="str">
        <f>HYPERLINK("http://catalog.hathitrust.org/Record/002471544","HathiTrust Record")</f>
        <v>HathiTrust Record</v>
      </c>
      <c r="AU96" s="5" t="str">
        <f>HYPERLINK("https://creighton-primo.hosted.exlibrisgroup.com/primo-explore/search?tab=default_tab&amp;search_scope=EVERYTHING&amp;vid=01CRU&amp;lang=en_US&amp;offset=0&amp;query=any,contains,991001957609702656","Catalog Record")</f>
        <v>Catalog Record</v>
      </c>
      <c r="AV96" s="5" t="str">
        <f>HYPERLINK("http://www.worldcat.org/oclc/24794332","WorldCat Record")</f>
        <v>WorldCat Record</v>
      </c>
      <c r="AW96" s="2" t="s">
        <v>1339</v>
      </c>
      <c r="AX96" s="2" t="s">
        <v>1340</v>
      </c>
      <c r="AY96" s="2" t="s">
        <v>1341</v>
      </c>
      <c r="AZ96" s="2" t="s">
        <v>1341</v>
      </c>
      <c r="BA96" s="2" t="s">
        <v>1342</v>
      </c>
      <c r="BB96" s="2" t="s">
        <v>21</v>
      </c>
      <c r="BD96" s="2" t="s">
        <v>1343</v>
      </c>
      <c r="BE96" s="2" t="s">
        <v>1344</v>
      </c>
      <c r="BF96" s="2" t="s">
        <v>1345</v>
      </c>
    </row>
    <row r="97" spans="1:58" ht="39.75" customHeight="1" x14ac:dyDescent="0.25">
      <c r="A97" s="1"/>
      <c r="B97" s="1" t="s">
        <v>0</v>
      </c>
      <c r="C97" s="1" t="s">
        <v>1</v>
      </c>
      <c r="D97" s="1" t="s">
        <v>1346</v>
      </c>
      <c r="E97" s="1" t="s">
        <v>1347</v>
      </c>
      <c r="F97" s="1" t="s">
        <v>1348</v>
      </c>
      <c r="H97" s="2" t="s">
        <v>5</v>
      </c>
      <c r="I97" s="2" t="s">
        <v>6</v>
      </c>
      <c r="J97" s="2" t="s">
        <v>5</v>
      </c>
      <c r="K97" s="2" t="s">
        <v>5</v>
      </c>
      <c r="L97" s="2" t="s">
        <v>7</v>
      </c>
      <c r="M97" s="1" t="s">
        <v>1349</v>
      </c>
      <c r="N97" s="1" t="s">
        <v>1350</v>
      </c>
      <c r="O97" s="2" t="s">
        <v>918</v>
      </c>
      <c r="Q97" s="2" t="s">
        <v>11</v>
      </c>
      <c r="R97" s="2" t="s">
        <v>1351</v>
      </c>
      <c r="T97" s="2" t="s">
        <v>1324</v>
      </c>
      <c r="U97" s="3">
        <v>11</v>
      </c>
      <c r="V97" s="3">
        <v>11</v>
      </c>
      <c r="W97" s="4" t="s">
        <v>838</v>
      </c>
      <c r="X97" s="4" t="s">
        <v>838</v>
      </c>
      <c r="Y97" s="4" t="s">
        <v>1352</v>
      </c>
      <c r="Z97" s="4" t="s">
        <v>1352</v>
      </c>
      <c r="AA97" s="3">
        <v>182</v>
      </c>
      <c r="AB97" s="3">
        <v>164</v>
      </c>
      <c r="AC97" s="3">
        <v>223</v>
      </c>
      <c r="AD97" s="3">
        <v>1</v>
      </c>
      <c r="AE97" s="7">
        <v>1</v>
      </c>
      <c r="AF97" s="7">
        <v>6</v>
      </c>
      <c r="AG97" s="7">
        <v>7</v>
      </c>
      <c r="AH97" s="3">
        <v>3</v>
      </c>
      <c r="AI97" s="3">
        <v>3</v>
      </c>
      <c r="AJ97" s="3">
        <v>1</v>
      </c>
      <c r="AK97" s="3">
        <v>1</v>
      </c>
      <c r="AL97" s="3">
        <v>2</v>
      </c>
      <c r="AM97" s="3">
        <v>2</v>
      </c>
      <c r="AN97" s="3">
        <v>0</v>
      </c>
      <c r="AO97" s="3">
        <v>0</v>
      </c>
      <c r="AP97" s="3">
        <v>1</v>
      </c>
      <c r="AQ97" s="3">
        <v>2</v>
      </c>
      <c r="AR97" s="2" t="s">
        <v>5</v>
      </c>
      <c r="AS97" s="2" t="s">
        <v>5</v>
      </c>
      <c r="AU97" s="5" t="str">
        <f>HYPERLINK("https://creighton-primo.hosted.exlibrisgroup.com/primo-explore/search?tab=default_tab&amp;search_scope=EVERYTHING&amp;vid=01CRU&amp;lang=en_US&amp;offset=0&amp;query=any,contains,991002871779702656","Catalog Record")</f>
        <v>Catalog Record</v>
      </c>
      <c r="AV97" s="5" t="str">
        <f>HYPERLINK("http://www.worldcat.org/oclc/37861796","WorldCat Record")</f>
        <v>WorldCat Record</v>
      </c>
      <c r="AW97" s="2" t="s">
        <v>1353</v>
      </c>
      <c r="AX97" s="2" t="s">
        <v>1354</v>
      </c>
      <c r="AY97" s="2" t="s">
        <v>1355</v>
      </c>
      <c r="AZ97" s="2" t="s">
        <v>1355</v>
      </c>
      <c r="BA97" s="2" t="s">
        <v>1356</v>
      </c>
      <c r="BB97" s="2" t="s">
        <v>21</v>
      </c>
      <c r="BD97" s="2" t="s">
        <v>1357</v>
      </c>
      <c r="BE97" s="2" t="s">
        <v>1358</v>
      </c>
      <c r="BF97" s="2" t="s">
        <v>1359</v>
      </c>
    </row>
    <row r="98" spans="1:58" ht="39.75" customHeight="1" x14ac:dyDescent="0.25">
      <c r="A98" s="1"/>
      <c r="B98" s="1" t="s">
        <v>0</v>
      </c>
      <c r="C98" s="1" t="s">
        <v>1</v>
      </c>
      <c r="D98" s="1" t="s">
        <v>1360</v>
      </c>
      <c r="E98" s="1" t="s">
        <v>1361</v>
      </c>
      <c r="F98" s="1" t="s">
        <v>1362</v>
      </c>
      <c r="H98" s="2" t="s">
        <v>5</v>
      </c>
      <c r="I98" s="2" t="s">
        <v>6</v>
      </c>
      <c r="J98" s="2" t="s">
        <v>5</v>
      </c>
      <c r="K98" s="2" t="s">
        <v>5</v>
      </c>
      <c r="L98" s="2" t="s">
        <v>7</v>
      </c>
      <c r="M98" s="1" t="s">
        <v>1363</v>
      </c>
      <c r="N98" s="1" t="s">
        <v>1364</v>
      </c>
      <c r="O98" s="2" t="s">
        <v>259</v>
      </c>
      <c r="P98" s="1" t="s">
        <v>340</v>
      </c>
      <c r="Q98" s="2" t="s">
        <v>11</v>
      </c>
      <c r="R98" s="2" t="s">
        <v>1365</v>
      </c>
      <c r="S98" s="1" t="s">
        <v>1366</v>
      </c>
      <c r="T98" s="2" t="s">
        <v>1367</v>
      </c>
      <c r="U98" s="3">
        <v>2</v>
      </c>
      <c r="V98" s="3">
        <v>2</v>
      </c>
      <c r="W98" s="4" t="s">
        <v>1368</v>
      </c>
      <c r="X98" s="4" t="s">
        <v>1368</v>
      </c>
      <c r="Y98" s="4" t="s">
        <v>1369</v>
      </c>
      <c r="Z98" s="4" t="s">
        <v>1369</v>
      </c>
      <c r="AA98" s="3">
        <v>586</v>
      </c>
      <c r="AB98" s="3">
        <v>564</v>
      </c>
      <c r="AC98" s="3">
        <v>574</v>
      </c>
      <c r="AD98" s="3">
        <v>5</v>
      </c>
      <c r="AE98" s="7">
        <v>5</v>
      </c>
      <c r="AF98" s="7">
        <v>18</v>
      </c>
      <c r="AG98" s="7">
        <v>18</v>
      </c>
      <c r="AH98" s="3">
        <v>5</v>
      </c>
      <c r="AI98" s="3">
        <v>5</v>
      </c>
      <c r="AJ98" s="3">
        <v>0</v>
      </c>
      <c r="AK98" s="3">
        <v>0</v>
      </c>
      <c r="AL98" s="3">
        <v>6</v>
      </c>
      <c r="AM98" s="3">
        <v>6</v>
      </c>
      <c r="AN98" s="3">
        <v>2</v>
      </c>
      <c r="AO98" s="3">
        <v>2</v>
      </c>
      <c r="AP98" s="3">
        <v>7</v>
      </c>
      <c r="AQ98" s="3">
        <v>7</v>
      </c>
      <c r="AR98" s="2" t="s">
        <v>5</v>
      </c>
      <c r="AS98" s="2" t="s">
        <v>16</v>
      </c>
      <c r="AT98" s="5" t="str">
        <f>HYPERLINK("http://catalog.hathitrust.org/Record/001303736","HathiTrust Record")</f>
        <v>HathiTrust Record</v>
      </c>
      <c r="AU98" s="5" t="str">
        <f>HYPERLINK("https://creighton-primo.hosted.exlibrisgroup.com/primo-explore/search?tab=default_tab&amp;search_scope=EVERYTHING&amp;vid=01CRU&amp;lang=en_US&amp;offset=0&amp;query=any,contains,991005309189702656","Catalog Record")</f>
        <v>Catalog Record</v>
      </c>
      <c r="AV98" s="5" t="str">
        <f>HYPERLINK("http://www.worldcat.org/oclc/16716819","WorldCat Record")</f>
        <v>WorldCat Record</v>
      </c>
      <c r="AW98" s="2" t="s">
        <v>1370</v>
      </c>
      <c r="AX98" s="2" t="s">
        <v>1371</v>
      </c>
      <c r="AY98" s="2" t="s">
        <v>1372</v>
      </c>
      <c r="AZ98" s="2" t="s">
        <v>1372</v>
      </c>
      <c r="BA98" s="2" t="s">
        <v>1373</v>
      </c>
      <c r="BB98" s="2" t="s">
        <v>21</v>
      </c>
      <c r="BD98" s="2" t="s">
        <v>1374</v>
      </c>
      <c r="BE98" s="2" t="s">
        <v>1375</v>
      </c>
      <c r="BF98" s="2" t="s">
        <v>1376</v>
      </c>
    </row>
    <row r="99" spans="1:58" ht="39.75" customHeight="1" x14ac:dyDescent="0.25">
      <c r="A99" s="1"/>
      <c r="B99" s="1" t="s">
        <v>0</v>
      </c>
      <c r="C99" s="1" t="s">
        <v>1</v>
      </c>
      <c r="D99" s="1" t="s">
        <v>1377</v>
      </c>
      <c r="E99" s="1" t="s">
        <v>1378</v>
      </c>
      <c r="F99" s="1" t="s">
        <v>1379</v>
      </c>
      <c r="H99" s="2" t="s">
        <v>5</v>
      </c>
      <c r="I99" s="2" t="s">
        <v>6</v>
      </c>
      <c r="J99" s="2" t="s">
        <v>5</v>
      </c>
      <c r="K99" s="2" t="s">
        <v>5</v>
      </c>
      <c r="L99" s="2" t="s">
        <v>7</v>
      </c>
      <c r="M99" s="1" t="s">
        <v>1380</v>
      </c>
      <c r="N99" s="1" t="s">
        <v>1381</v>
      </c>
      <c r="O99" s="2" t="s">
        <v>372</v>
      </c>
      <c r="Q99" s="2" t="s">
        <v>11</v>
      </c>
      <c r="R99" s="2" t="s">
        <v>1382</v>
      </c>
      <c r="T99" s="2" t="s">
        <v>1367</v>
      </c>
      <c r="U99" s="3">
        <v>1</v>
      </c>
      <c r="V99" s="3">
        <v>1</v>
      </c>
      <c r="W99" s="4" t="s">
        <v>1383</v>
      </c>
      <c r="X99" s="4" t="s">
        <v>1383</v>
      </c>
      <c r="Y99" s="4" t="s">
        <v>1383</v>
      </c>
      <c r="Z99" s="4" t="s">
        <v>1383</v>
      </c>
      <c r="AA99" s="3">
        <v>78</v>
      </c>
      <c r="AB99" s="3">
        <v>78</v>
      </c>
      <c r="AC99" s="3">
        <v>94</v>
      </c>
      <c r="AD99" s="3">
        <v>1</v>
      </c>
      <c r="AE99" s="7">
        <v>1</v>
      </c>
      <c r="AF99" s="7">
        <v>1</v>
      </c>
      <c r="AG99" s="7">
        <v>1</v>
      </c>
      <c r="AH99" s="3">
        <v>0</v>
      </c>
      <c r="AI99" s="3">
        <v>0</v>
      </c>
      <c r="AJ99" s="3">
        <v>0</v>
      </c>
      <c r="AK99" s="3">
        <v>0</v>
      </c>
      <c r="AL99" s="3">
        <v>0</v>
      </c>
      <c r="AM99" s="3">
        <v>0</v>
      </c>
      <c r="AN99" s="3">
        <v>0</v>
      </c>
      <c r="AO99" s="3">
        <v>0</v>
      </c>
      <c r="AP99" s="3">
        <v>1</v>
      </c>
      <c r="AQ99" s="3">
        <v>1</v>
      </c>
      <c r="AR99" s="2" t="s">
        <v>5</v>
      </c>
      <c r="AS99" s="2" t="s">
        <v>5</v>
      </c>
      <c r="AU99" s="5" t="str">
        <f>HYPERLINK("https://creighton-primo.hosted.exlibrisgroup.com/primo-explore/search?tab=default_tab&amp;search_scope=EVERYTHING&amp;vid=01CRU&amp;lang=en_US&amp;offset=0&amp;query=any,contains,991005280019702656","Catalog Record")</f>
        <v>Catalog Record</v>
      </c>
      <c r="AV99" s="5" t="str">
        <f>HYPERLINK("http://www.worldcat.org/oclc/31495986","WorldCat Record")</f>
        <v>WorldCat Record</v>
      </c>
      <c r="AW99" s="2" t="s">
        <v>1384</v>
      </c>
      <c r="AX99" s="2" t="s">
        <v>1385</v>
      </c>
      <c r="AY99" s="2" t="s">
        <v>1386</v>
      </c>
      <c r="AZ99" s="2" t="s">
        <v>1386</v>
      </c>
      <c r="BA99" s="2" t="s">
        <v>1387</v>
      </c>
      <c r="BB99" s="2" t="s">
        <v>21</v>
      </c>
      <c r="BD99" s="2" t="s">
        <v>1388</v>
      </c>
      <c r="BE99" s="2" t="s">
        <v>1389</v>
      </c>
      <c r="BF99" s="2" t="s">
        <v>1390</v>
      </c>
    </row>
    <row r="100" spans="1:58" ht="39.75" customHeight="1" x14ac:dyDescent="0.25">
      <c r="A100" s="1"/>
      <c r="B100" s="1" t="s">
        <v>0</v>
      </c>
      <c r="C100" s="1" t="s">
        <v>1</v>
      </c>
      <c r="D100" s="1" t="s">
        <v>1391</v>
      </c>
      <c r="E100" s="1" t="s">
        <v>1392</v>
      </c>
      <c r="F100" s="1" t="s">
        <v>1393</v>
      </c>
      <c r="H100" s="2" t="s">
        <v>5</v>
      </c>
      <c r="I100" s="2" t="s">
        <v>6</v>
      </c>
      <c r="J100" s="2" t="s">
        <v>16</v>
      </c>
      <c r="K100" s="2" t="s">
        <v>5</v>
      </c>
      <c r="L100" s="2" t="s">
        <v>7</v>
      </c>
      <c r="M100" s="1" t="s">
        <v>1394</v>
      </c>
      <c r="N100" s="1" t="s">
        <v>1395</v>
      </c>
      <c r="O100" s="2" t="s">
        <v>1396</v>
      </c>
      <c r="Q100" s="2" t="s">
        <v>11</v>
      </c>
      <c r="R100" s="2" t="s">
        <v>260</v>
      </c>
      <c r="T100" s="2" t="s">
        <v>1367</v>
      </c>
      <c r="U100" s="3">
        <v>2</v>
      </c>
      <c r="V100" s="3">
        <v>4</v>
      </c>
      <c r="W100" s="4" t="s">
        <v>1397</v>
      </c>
      <c r="X100" s="4" t="s">
        <v>1397</v>
      </c>
      <c r="Y100" s="4" t="s">
        <v>1398</v>
      </c>
      <c r="Z100" s="4" t="s">
        <v>1399</v>
      </c>
      <c r="AA100" s="3">
        <v>137</v>
      </c>
      <c r="AB100" s="3">
        <v>112</v>
      </c>
      <c r="AC100" s="3">
        <v>114</v>
      </c>
      <c r="AD100" s="3">
        <v>2</v>
      </c>
      <c r="AE100" s="7">
        <v>2</v>
      </c>
      <c r="AF100" s="7">
        <v>5</v>
      </c>
      <c r="AG100" s="7">
        <v>5</v>
      </c>
      <c r="AH100" s="3">
        <v>0</v>
      </c>
      <c r="AI100" s="3">
        <v>0</v>
      </c>
      <c r="AJ100" s="3">
        <v>0</v>
      </c>
      <c r="AK100" s="3">
        <v>0</v>
      </c>
      <c r="AL100" s="3">
        <v>0</v>
      </c>
      <c r="AM100" s="3">
        <v>0</v>
      </c>
      <c r="AN100" s="3">
        <v>0</v>
      </c>
      <c r="AO100" s="3">
        <v>0</v>
      </c>
      <c r="AP100" s="3">
        <v>5</v>
      </c>
      <c r="AQ100" s="3">
        <v>5</v>
      </c>
      <c r="AR100" s="2" t="s">
        <v>5</v>
      </c>
      <c r="AS100" s="2" t="s">
        <v>5</v>
      </c>
      <c r="AU100" s="5" t="str">
        <f>HYPERLINK("https://creighton-primo.hosted.exlibrisgroup.com/primo-explore/search?tab=default_tab&amp;search_scope=EVERYTHING&amp;vid=01CRU&amp;lang=en_US&amp;offset=0&amp;query=any,contains,991001693439702656","Catalog Record")</f>
        <v>Catalog Record</v>
      </c>
      <c r="AV100" s="5" t="str">
        <f>HYPERLINK("http://www.worldcat.org/oclc/39287751","WorldCat Record")</f>
        <v>WorldCat Record</v>
      </c>
      <c r="AW100" s="2" t="s">
        <v>1400</v>
      </c>
      <c r="AX100" s="2" t="s">
        <v>1401</v>
      </c>
      <c r="AY100" s="2" t="s">
        <v>1402</v>
      </c>
      <c r="AZ100" s="2" t="s">
        <v>1402</v>
      </c>
      <c r="BA100" s="2" t="s">
        <v>1403</v>
      </c>
      <c r="BB100" s="2" t="s">
        <v>21</v>
      </c>
      <c r="BD100" s="2" t="s">
        <v>1404</v>
      </c>
      <c r="BE100" s="2" t="s">
        <v>1405</v>
      </c>
      <c r="BF100" s="2" t="s">
        <v>1406</v>
      </c>
    </row>
    <row r="101" spans="1:58" ht="39.75" customHeight="1" x14ac:dyDescent="0.25">
      <c r="A101" s="1"/>
      <c r="B101" s="1" t="s">
        <v>0</v>
      </c>
      <c r="C101" s="1" t="s">
        <v>1</v>
      </c>
      <c r="D101" s="1" t="s">
        <v>1407</v>
      </c>
      <c r="E101" s="1" t="s">
        <v>1408</v>
      </c>
      <c r="F101" s="1" t="s">
        <v>1409</v>
      </c>
      <c r="H101" s="2" t="s">
        <v>5</v>
      </c>
      <c r="I101" s="2" t="s">
        <v>6</v>
      </c>
      <c r="J101" s="2" t="s">
        <v>5</v>
      </c>
      <c r="K101" s="2" t="s">
        <v>5</v>
      </c>
      <c r="L101" s="2" t="s">
        <v>7</v>
      </c>
      <c r="N101" s="1" t="s">
        <v>1410</v>
      </c>
      <c r="O101" s="2" t="s">
        <v>45</v>
      </c>
      <c r="Q101" s="2" t="s">
        <v>11</v>
      </c>
      <c r="R101" s="2" t="s">
        <v>260</v>
      </c>
      <c r="S101" s="1" t="s">
        <v>1411</v>
      </c>
      <c r="T101" s="2" t="s">
        <v>1367</v>
      </c>
      <c r="U101" s="3">
        <v>1</v>
      </c>
      <c r="V101" s="3">
        <v>1</v>
      </c>
      <c r="W101" s="4" t="s">
        <v>1412</v>
      </c>
      <c r="X101" s="4" t="s">
        <v>1412</v>
      </c>
      <c r="Y101" s="4" t="s">
        <v>1412</v>
      </c>
      <c r="Z101" s="4" t="s">
        <v>1412</v>
      </c>
      <c r="AA101" s="3">
        <v>191</v>
      </c>
      <c r="AB101" s="3">
        <v>156</v>
      </c>
      <c r="AC101" s="3">
        <v>156</v>
      </c>
      <c r="AD101" s="3">
        <v>2</v>
      </c>
      <c r="AE101" s="7">
        <v>2</v>
      </c>
      <c r="AF101" s="7">
        <v>6</v>
      </c>
      <c r="AG101" s="7">
        <v>6</v>
      </c>
      <c r="AH101" s="3">
        <v>0</v>
      </c>
      <c r="AI101" s="3">
        <v>0</v>
      </c>
      <c r="AJ101" s="3">
        <v>1</v>
      </c>
      <c r="AK101" s="3">
        <v>1</v>
      </c>
      <c r="AL101" s="3">
        <v>3</v>
      </c>
      <c r="AM101" s="3">
        <v>3</v>
      </c>
      <c r="AN101" s="3">
        <v>1</v>
      </c>
      <c r="AO101" s="3">
        <v>1</v>
      </c>
      <c r="AP101" s="3">
        <v>1</v>
      </c>
      <c r="AQ101" s="3">
        <v>1</v>
      </c>
      <c r="AR101" s="2" t="s">
        <v>5</v>
      </c>
      <c r="AS101" s="2" t="s">
        <v>5</v>
      </c>
      <c r="AU101" s="5" t="str">
        <f>HYPERLINK("https://creighton-primo.hosted.exlibrisgroup.com/primo-explore/search?tab=default_tab&amp;search_scope=EVERYTHING&amp;vid=01CRU&amp;lang=en_US&amp;offset=0&amp;query=any,contains,991005232239702656","Catalog Record")</f>
        <v>Catalog Record</v>
      </c>
      <c r="AV101" s="5" t="str">
        <f>HYPERLINK("http://www.worldcat.org/oclc/13500652","WorldCat Record")</f>
        <v>WorldCat Record</v>
      </c>
      <c r="AW101" s="2" t="s">
        <v>1413</v>
      </c>
      <c r="AX101" s="2" t="s">
        <v>1414</v>
      </c>
      <c r="AY101" s="2" t="s">
        <v>1415</v>
      </c>
      <c r="AZ101" s="2" t="s">
        <v>1415</v>
      </c>
      <c r="BA101" s="2" t="s">
        <v>1416</v>
      </c>
      <c r="BB101" s="2" t="s">
        <v>21</v>
      </c>
      <c r="BD101" s="2" t="s">
        <v>1417</v>
      </c>
      <c r="BE101" s="2" t="s">
        <v>1418</v>
      </c>
      <c r="BF101" s="2" t="s">
        <v>1419</v>
      </c>
    </row>
    <row r="102" spans="1:58" ht="39.75" customHeight="1" x14ac:dyDescent="0.25">
      <c r="A102" s="1"/>
      <c r="B102" s="1" t="s">
        <v>0</v>
      </c>
      <c r="C102" s="1" t="s">
        <v>1</v>
      </c>
      <c r="D102" s="1" t="s">
        <v>1420</v>
      </c>
      <c r="E102" s="1" t="s">
        <v>1421</v>
      </c>
      <c r="F102" s="1" t="s">
        <v>1422</v>
      </c>
      <c r="H102" s="2" t="s">
        <v>5</v>
      </c>
      <c r="I102" s="2" t="s">
        <v>6</v>
      </c>
      <c r="J102" s="2" t="s">
        <v>5</v>
      </c>
      <c r="K102" s="2" t="s">
        <v>16</v>
      </c>
      <c r="L102" s="2" t="s">
        <v>7</v>
      </c>
      <c r="M102" s="1" t="s">
        <v>1423</v>
      </c>
      <c r="N102" s="1" t="s">
        <v>1424</v>
      </c>
      <c r="O102" s="2" t="s">
        <v>259</v>
      </c>
      <c r="Q102" s="2" t="s">
        <v>11</v>
      </c>
      <c r="R102" s="2" t="s">
        <v>76</v>
      </c>
      <c r="T102" s="2" t="s">
        <v>1367</v>
      </c>
      <c r="U102" s="3">
        <v>11</v>
      </c>
      <c r="V102" s="3">
        <v>11</v>
      </c>
      <c r="W102" s="4" t="s">
        <v>1425</v>
      </c>
      <c r="X102" s="4" t="s">
        <v>1425</v>
      </c>
      <c r="Y102" s="4" t="s">
        <v>1426</v>
      </c>
      <c r="Z102" s="4" t="s">
        <v>1426</v>
      </c>
      <c r="AA102" s="3">
        <v>877</v>
      </c>
      <c r="AB102" s="3">
        <v>796</v>
      </c>
      <c r="AC102" s="3">
        <v>834</v>
      </c>
      <c r="AD102" s="3">
        <v>3</v>
      </c>
      <c r="AE102" s="7">
        <v>4</v>
      </c>
      <c r="AF102" s="7">
        <v>38</v>
      </c>
      <c r="AG102" s="7">
        <v>40</v>
      </c>
      <c r="AH102" s="3">
        <v>5</v>
      </c>
      <c r="AI102" s="3">
        <v>5</v>
      </c>
      <c r="AJ102" s="3">
        <v>5</v>
      </c>
      <c r="AK102" s="3">
        <v>5</v>
      </c>
      <c r="AL102" s="3">
        <v>9</v>
      </c>
      <c r="AM102" s="3">
        <v>9</v>
      </c>
      <c r="AN102" s="3">
        <v>1</v>
      </c>
      <c r="AO102" s="3">
        <v>1</v>
      </c>
      <c r="AP102" s="3">
        <v>20</v>
      </c>
      <c r="AQ102" s="3">
        <v>22</v>
      </c>
      <c r="AR102" s="2" t="s">
        <v>5</v>
      </c>
      <c r="AS102" s="2" t="s">
        <v>16</v>
      </c>
      <c r="AT102" s="5" t="str">
        <f>HYPERLINK("http://catalog.hathitrust.org/Record/001527943","HathiTrust Record")</f>
        <v>HathiTrust Record</v>
      </c>
      <c r="AU102" s="5" t="str">
        <f>HYPERLINK("https://creighton-primo.hosted.exlibrisgroup.com/primo-explore/search?tab=default_tab&amp;search_scope=EVERYTHING&amp;vid=01CRU&amp;lang=en_US&amp;offset=0&amp;query=any,contains,991001297289702656","Catalog Record")</f>
        <v>Catalog Record</v>
      </c>
      <c r="AV102" s="5" t="str">
        <f>HYPERLINK("http://www.worldcat.org/oclc/18049940","WorldCat Record")</f>
        <v>WorldCat Record</v>
      </c>
      <c r="AW102" s="2" t="s">
        <v>1427</v>
      </c>
      <c r="AX102" s="2" t="s">
        <v>1428</v>
      </c>
      <c r="AY102" s="2" t="s">
        <v>1429</v>
      </c>
      <c r="AZ102" s="2" t="s">
        <v>1429</v>
      </c>
      <c r="BA102" s="2" t="s">
        <v>1430</v>
      </c>
      <c r="BB102" s="2" t="s">
        <v>21</v>
      </c>
      <c r="BD102" s="2" t="s">
        <v>1431</v>
      </c>
      <c r="BE102" s="2" t="s">
        <v>1432</v>
      </c>
      <c r="BF102" s="2" t="s">
        <v>1433</v>
      </c>
    </row>
    <row r="103" spans="1:58" ht="39.75" customHeight="1" x14ac:dyDescent="0.25">
      <c r="A103" s="1"/>
      <c r="B103" s="1" t="s">
        <v>0</v>
      </c>
      <c r="C103" s="1" t="s">
        <v>1</v>
      </c>
      <c r="D103" s="1" t="s">
        <v>1434</v>
      </c>
      <c r="E103" s="1" t="s">
        <v>1435</v>
      </c>
      <c r="F103" s="1" t="s">
        <v>1436</v>
      </c>
      <c r="H103" s="2" t="s">
        <v>5</v>
      </c>
      <c r="I103" s="2" t="s">
        <v>6</v>
      </c>
      <c r="J103" s="2" t="s">
        <v>5</v>
      </c>
      <c r="K103" s="2" t="s">
        <v>5</v>
      </c>
      <c r="L103" s="2" t="s">
        <v>7</v>
      </c>
      <c r="M103" s="1" t="s">
        <v>1437</v>
      </c>
      <c r="N103" s="1" t="s">
        <v>1438</v>
      </c>
      <c r="O103" s="2" t="s">
        <v>275</v>
      </c>
      <c r="Q103" s="2" t="s">
        <v>11</v>
      </c>
      <c r="R103" s="2" t="s">
        <v>76</v>
      </c>
      <c r="T103" s="2" t="s">
        <v>1367</v>
      </c>
      <c r="U103" s="3">
        <v>6</v>
      </c>
      <c r="V103" s="3">
        <v>6</v>
      </c>
      <c r="W103" s="4" t="s">
        <v>1439</v>
      </c>
      <c r="X103" s="4" t="s">
        <v>1439</v>
      </c>
      <c r="Y103" s="4" t="s">
        <v>1440</v>
      </c>
      <c r="Z103" s="4" t="s">
        <v>1440</v>
      </c>
      <c r="AA103" s="3">
        <v>702</v>
      </c>
      <c r="AB103" s="3">
        <v>646</v>
      </c>
      <c r="AC103" s="3">
        <v>651</v>
      </c>
      <c r="AD103" s="3">
        <v>4</v>
      </c>
      <c r="AE103" s="7">
        <v>4</v>
      </c>
      <c r="AF103" s="7">
        <v>42</v>
      </c>
      <c r="AG103" s="7">
        <v>42</v>
      </c>
      <c r="AH103" s="3">
        <v>10</v>
      </c>
      <c r="AI103" s="3">
        <v>10</v>
      </c>
      <c r="AJ103" s="3">
        <v>6</v>
      </c>
      <c r="AK103" s="3">
        <v>6</v>
      </c>
      <c r="AL103" s="3">
        <v>14</v>
      </c>
      <c r="AM103" s="3">
        <v>14</v>
      </c>
      <c r="AN103" s="3">
        <v>3</v>
      </c>
      <c r="AO103" s="3">
        <v>3</v>
      </c>
      <c r="AP103" s="3">
        <v>16</v>
      </c>
      <c r="AQ103" s="3">
        <v>16</v>
      </c>
      <c r="AR103" s="2" t="s">
        <v>5</v>
      </c>
      <c r="AS103" s="2" t="s">
        <v>16</v>
      </c>
      <c r="AT103" s="5" t="str">
        <f>HYPERLINK("http://catalog.hathitrust.org/Record/000300390","HathiTrust Record")</f>
        <v>HathiTrust Record</v>
      </c>
      <c r="AU103" s="5" t="str">
        <f>HYPERLINK("https://creighton-primo.hosted.exlibrisgroup.com/primo-explore/search?tab=default_tab&amp;search_scope=EVERYTHING&amp;vid=01CRU&amp;lang=en_US&amp;offset=0&amp;query=any,contains,991004745649702656","Catalog Record")</f>
        <v>Catalog Record</v>
      </c>
      <c r="AV103" s="5" t="str">
        <f>HYPERLINK("http://www.worldcat.org/oclc/4907939","WorldCat Record")</f>
        <v>WorldCat Record</v>
      </c>
      <c r="AW103" s="2" t="s">
        <v>1441</v>
      </c>
      <c r="AX103" s="2" t="s">
        <v>1442</v>
      </c>
      <c r="AY103" s="2" t="s">
        <v>1443</v>
      </c>
      <c r="AZ103" s="2" t="s">
        <v>1443</v>
      </c>
      <c r="BA103" s="2" t="s">
        <v>1444</v>
      </c>
      <c r="BB103" s="2" t="s">
        <v>21</v>
      </c>
      <c r="BD103" s="2" t="s">
        <v>1445</v>
      </c>
      <c r="BE103" s="2" t="s">
        <v>1446</v>
      </c>
      <c r="BF103" s="2" t="s">
        <v>1447</v>
      </c>
    </row>
    <row r="104" spans="1:58" ht="39.75" customHeight="1" x14ac:dyDescent="0.25">
      <c r="A104" s="1"/>
      <c r="B104" s="1" t="s">
        <v>0</v>
      </c>
      <c r="C104" s="1" t="s">
        <v>1</v>
      </c>
      <c r="D104" s="1" t="s">
        <v>1448</v>
      </c>
      <c r="E104" s="1" t="s">
        <v>1449</v>
      </c>
      <c r="F104" s="1" t="s">
        <v>1450</v>
      </c>
      <c r="H104" s="2" t="s">
        <v>5</v>
      </c>
      <c r="I104" s="2" t="s">
        <v>6</v>
      </c>
      <c r="J104" s="2" t="s">
        <v>16</v>
      </c>
      <c r="K104" s="2" t="s">
        <v>5</v>
      </c>
      <c r="L104" s="2" t="s">
        <v>7</v>
      </c>
      <c r="M104" s="1" t="s">
        <v>1451</v>
      </c>
      <c r="N104" s="1" t="s">
        <v>1452</v>
      </c>
      <c r="O104" s="2" t="s">
        <v>458</v>
      </c>
      <c r="Q104" s="2" t="s">
        <v>11</v>
      </c>
      <c r="R104" s="2" t="s">
        <v>1365</v>
      </c>
      <c r="T104" s="2" t="s">
        <v>1367</v>
      </c>
      <c r="U104" s="3">
        <v>11</v>
      </c>
      <c r="V104" s="3">
        <v>12</v>
      </c>
      <c r="W104" s="4" t="s">
        <v>1453</v>
      </c>
      <c r="X104" s="4" t="s">
        <v>1454</v>
      </c>
      <c r="Y104" s="4" t="s">
        <v>1455</v>
      </c>
      <c r="Z104" s="4" t="s">
        <v>1456</v>
      </c>
      <c r="AA104" s="3">
        <v>992</v>
      </c>
      <c r="AB104" s="3">
        <v>882</v>
      </c>
      <c r="AC104" s="3">
        <v>898</v>
      </c>
      <c r="AD104" s="3">
        <v>5</v>
      </c>
      <c r="AE104" s="7">
        <v>6</v>
      </c>
      <c r="AF104" s="7">
        <v>49</v>
      </c>
      <c r="AG104" s="7">
        <v>52</v>
      </c>
      <c r="AH104" s="3">
        <v>15</v>
      </c>
      <c r="AI104" s="3">
        <v>15</v>
      </c>
      <c r="AJ104" s="3">
        <v>6</v>
      </c>
      <c r="AK104" s="3">
        <v>6</v>
      </c>
      <c r="AL104" s="3">
        <v>16</v>
      </c>
      <c r="AM104" s="3">
        <v>17</v>
      </c>
      <c r="AN104" s="3">
        <v>3</v>
      </c>
      <c r="AO104" s="3">
        <v>4</v>
      </c>
      <c r="AP104" s="3">
        <v>18</v>
      </c>
      <c r="AQ104" s="3">
        <v>19</v>
      </c>
      <c r="AR104" s="2" t="s">
        <v>5</v>
      </c>
      <c r="AS104" s="2" t="s">
        <v>5</v>
      </c>
      <c r="AU104" s="5" t="str">
        <f>HYPERLINK("https://creighton-primo.hosted.exlibrisgroup.com/primo-explore/search?tab=default_tab&amp;search_scope=EVERYTHING&amp;vid=01CRU&amp;lang=en_US&amp;offset=0&amp;query=any,contains,991001784369702656","Catalog Record")</f>
        <v>Catalog Record</v>
      </c>
      <c r="AV104" s="5" t="str">
        <f>HYPERLINK("http://www.worldcat.org/oclc/195546","WorldCat Record")</f>
        <v>WorldCat Record</v>
      </c>
      <c r="AW104" s="2" t="s">
        <v>1457</v>
      </c>
      <c r="AX104" s="2" t="s">
        <v>1458</v>
      </c>
      <c r="AY104" s="2" t="s">
        <v>1459</v>
      </c>
      <c r="AZ104" s="2" t="s">
        <v>1459</v>
      </c>
      <c r="BA104" s="2" t="s">
        <v>1460</v>
      </c>
      <c r="BB104" s="2" t="s">
        <v>21</v>
      </c>
      <c r="BD104" s="2" t="s">
        <v>1461</v>
      </c>
      <c r="BE104" s="2" t="s">
        <v>1462</v>
      </c>
      <c r="BF104" s="2" t="s">
        <v>1463</v>
      </c>
    </row>
    <row r="105" spans="1:58" ht="39.75" customHeight="1" x14ac:dyDescent="0.25">
      <c r="A105" s="1"/>
      <c r="B105" s="1" t="s">
        <v>0</v>
      </c>
      <c r="C105" s="1" t="s">
        <v>1</v>
      </c>
      <c r="D105" s="1" t="s">
        <v>1464</v>
      </c>
      <c r="E105" s="1" t="s">
        <v>1465</v>
      </c>
      <c r="F105" s="1" t="s">
        <v>1466</v>
      </c>
      <c r="H105" s="2" t="s">
        <v>5</v>
      </c>
      <c r="I105" s="2" t="s">
        <v>6</v>
      </c>
      <c r="J105" s="2" t="s">
        <v>16</v>
      </c>
      <c r="K105" s="2" t="s">
        <v>5</v>
      </c>
      <c r="L105" s="2" t="s">
        <v>7</v>
      </c>
      <c r="M105" s="1" t="s">
        <v>1467</v>
      </c>
      <c r="N105" s="1" t="s">
        <v>1468</v>
      </c>
      <c r="O105" s="2" t="s">
        <v>1469</v>
      </c>
      <c r="P105" s="1" t="s">
        <v>229</v>
      </c>
      <c r="Q105" s="2" t="s">
        <v>11</v>
      </c>
      <c r="R105" s="2" t="s">
        <v>76</v>
      </c>
      <c r="T105" s="2" t="s">
        <v>1367</v>
      </c>
      <c r="U105" s="3">
        <v>2</v>
      </c>
      <c r="V105" s="3">
        <v>2</v>
      </c>
      <c r="W105" s="4" t="s">
        <v>1470</v>
      </c>
      <c r="X105" s="4" t="s">
        <v>1470</v>
      </c>
      <c r="Y105" s="4" t="s">
        <v>1471</v>
      </c>
      <c r="Z105" s="4" t="s">
        <v>1472</v>
      </c>
      <c r="AA105" s="3">
        <v>1295</v>
      </c>
      <c r="AB105" s="3">
        <v>1173</v>
      </c>
      <c r="AC105" s="3">
        <v>1253</v>
      </c>
      <c r="AD105" s="3">
        <v>9</v>
      </c>
      <c r="AE105" s="7">
        <v>10</v>
      </c>
      <c r="AF105" s="7">
        <v>60</v>
      </c>
      <c r="AG105" s="7">
        <v>66</v>
      </c>
      <c r="AH105" s="3">
        <v>16</v>
      </c>
      <c r="AI105" s="3">
        <v>18</v>
      </c>
      <c r="AJ105" s="3">
        <v>8</v>
      </c>
      <c r="AK105" s="3">
        <v>9</v>
      </c>
      <c r="AL105" s="3">
        <v>19</v>
      </c>
      <c r="AM105" s="3">
        <v>22</v>
      </c>
      <c r="AN105" s="3">
        <v>6</v>
      </c>
      <c r="AO105" s="3">
        <v>7</v>
      </c>
      <c r="AP105" s="3">
        <v>21</v>
      </c>
      <c r="AQ105" s="3">
        <v>22</v>
      </c>
      <c r="AR105" s="2" t="s">
        <v>5</v>
      </c>
      <c r="AS105" s="2" t="s">
        <v>5</v>
      </c>
      <c r="AU105" s="5" t="str">
        <f>HYPERLINK("https://creighton-primo.hosted.exlibrisgroup.com/primo-explore/search?tab=default_tab&amp;search_scope=EVERYTHING&amp;vid=01CRU&amp;lang=en_US&amp;offset=0&amp;query=any,contains,991001631609702656","Catalog Record")</f>
        <v>Catalog Record</v>
      </c>
      <c r="AV105" s="5" t="str">
        <f>HYPERLINK("http://www.worldcat.org/oclc/359695","WorldCat Record")</f>
        <v>WorldCat Record</v>
      </c>
      <c r="AW105" s="2" t="s">
        <v>1473</v>
      </c>
      <c r="AX105" s="2" t="s">
        <v>1474</v>
      </c>
      <c r="AY105" s="2" t="s">
        <v>1475</v>
      </c>
      <c r="AZ105" s="2" t="s">
        <v>1475</v>
      </c>
      <c r="BA105" s="2" t="s">
        <v>1476</v>
      </c>
      <c r="BB105" s="2" t="s">
        <v>21</v>
      </c>
      <c r="BE105" s="2" t="s">
        <v>1477</v>
      </c>
      <c r="BF105" s="2" t="s">
        <v>1478</v>
      </c>
    </row>
    <row r="106" spans="1:58" ht="39.75" customHeight="1" x14ac:dyDescent="0.25">
      <c r="A106" s="1"/>
      <c r="B106" s="1" t="s">
        <v>0</v>
      </c>
      <c r="C106" s="1" t="s">
        <v>1</v>
      </c>
      <c r="D106" s="1" t="s">
        <v>1479</v>
      </c>
      <c r="E106" s="1" t="s">
        <v>1480</v>
      </c>
      <c r="F106" s="1" t="s">
        <v>1481</v>
      </c>
      <c r="H106" s="2" t="s">
        <v>5</v>
      </c>
      <c r="I106" s="2" t="s">
        <v>6</v>
      </c>
      <c r="J106" s="2" t="s">
        <v>5</v>
      </c>
      <c r="K106" s="2" t="s">
        <v>5</v>
      </c>
      <c r="L106" s="2" t="s">
        <v>7</v>
      </c>
      <c r="N106" s="1" t="s">
        <v>1482</v>
      </c>
      <c r="O106" s="2" t="s">
        <v>836</v>
      </c>
      <c r="Q106" s="2" t="s">
        <v>11</v>
      </c>
      <c r="R106" s="2" t="s">
        <v>1483</v>
      </c>
      <c r="T106" s="2" t="s">
        <v>1367</v>
      </c>
      <c r="U106" s="3">
        <v>4</v>
      </c>
      <c r="V106" s="3">
        <v>4</v>
      </c>
      <c r="W106" s="4" t="s">
        <v>1484</v>
      </c>
      <c r="X106" s="4" t="s">
        <v>1484</v>
      </c>
      <c r="Y106" s="4" t="s">
        <v>1485</v>
      </c>
      <c r="Z106" s="4" t="s">
        <v>1485</v>
      </c>
      <c r="AA106" s="3">
        <v>251</v>
      </c>
      <c r="AB106" s="3">
        <v>230</v>
      </c>
      <c r="AC106" s="3">
        <v>232</v>
      </c>
      <c r="AD106" s="3">
        <v>4</v>
      </c>
      <c r="AE106" s="7">
        <v>4</v>
      </c>
      <c r="AF106" s="7">
        <v>16</v>
      </c>
      <c r="AG106" s="7">
        <v>16</v>
      </c>
      <c r="AH106" s="3">
        <v>1</v>
      </c>
      <c r="AI106" s="3">
        <v>1</v>
      </c>
      <c r="AJ106" s="3">
        <v>1</v>
      </c>
      <c r="AK106" s="3">
        <v>1</v>
      </c>
      <c r="AL106" s="3">
        <v>2</v>
      </c>
      <c r="AM106" s="3">
        <v>2</v>
      </c>
      <c r="AN106" s="3">
        <v>3</v>
      </c>
      <c r="AO106" s="3">
        <v>3</v>
      </c>
      <c r="AP106" s="3">
        <v>10</v>
      </c>
      <c r="AQ106" s="3">
        <v>10</v>
      </c>
      <c r="AR106" s="2" t="s">
        <v>5</v>
      </c>
      <c r="AS106" s="2" t="s">
        <v>16</v>
      </c>
      <c r="AT106" s="5" t="str">
        <f>HYPERLINK("http://catalog.hathitrust.org/Record/000084187","HathiTrust Record")</f>
        <v>HathiTrust Record</v>
      </c>
      <c r="AU106" s="5" t="str">
        <f>HYPERLINK("https://creighton-primo.hosted.exlibrisgroup.com/primo-explore/search?tab=default_tab&amp;search_scope=EVERYTHING&amp;vid=01CRU&amp;lang=en_US&amp;offset=0&amp;query=any,contains,991004149889702656","Catalog Record")</f>
        <v>Catalog Record</v>
      </c>
      <c r="AV106" s="5" t="str">
        <f>HYPERLINK("http://www.worldcat.org/oclc/2523286","WorldCat Record")</f>
        <v>WorldCat Record</v>
      </c>
      <c r="AW106" s="2" t="s">
        <v>1486</v>
      </c>
      <c r="AX106" s="2" t="s">
        <v>1487</v>
      </c>
      <c r="AY106" s="2" t="s">
        <v>1488</v>
      </c>
      <c r="AZ106" s="2" t="s">
        <v>1488</v>
      </c>
      <c r="BA106" s="2" t="s">
        <v>1489</v>
      </c>
      <c r="BB106" s="2" t="s">
        <v>21</v>
      </c>
      <c r="BE106" s="2" t="s">
        <v>1490</v>
      </c>
      <c r="BF106" s="2" t="s">
        <v>1491</v>
      </c>
    </row>
    <row r="107" spans="1:58" ht="39.75" customHeight="1" x14ac:dyDescent="0.25">
      <c r="A107" s="1"/>
      <c r="B107" s="1" t="s">
        <v>0</v>
      </c>
      <c r="C107" s="1" t="s">
        <v>1</v>
      </c>
      <c r="D107" s="1" t="s">
        <v>1492</v>
      </c>
      <c r="E107" s="1" t="s">
        <v>1493</v>
      </c>
      <c r="F107" s="1" t="s">
        <v>1494</v>
      </c>
      <c r="H107" s="2" t="s">
        <v>5</v>
      </c>
      <c r="I107" s="2" t="s">
        <v>6</v>
      </c>
      <c r="J107" s="2" t="s">
        <v>16</v>
      </c>
      <c r="K107" s="2" t="s">
        <v>5</v>
      </c>
      <c r="L107" s="2" t="s">
        <v>7</v>
      </c>
      <c r="N107" s="1" t="s">
        <v>1495</v>
      </c>
      <c r="O107" s="2" t="s">
        <v>836</v>
      </c>
      <c r="Q107" s="2" t="s">
        <v>11</v>
      </c>
      <c r="R107" s="2" t="s">
        <v>76</v>
      </c>
      <c r="S107" s="1" t="s">
        <v>1496</v>
      </c>
      <c r="T107" s="2" t="s">
        <v>1367</v>
      </c>
      <c r="U107" s="3">
        <v>4</v>
      </c>
      <c r="V107" s="3">
        <v>4</v>
      </c>
      <c r="W107" s="4" t="s">
        <v>1497</v>
      </c>
      <c r="X107" s="4" t="s">
        <v>1497</v>
      </c>
      <c r="Y107" s="4" t="s">
        <v>1498</v>
      </c>
      <c r="Z107" s="4" t="s">
        <v>1498</v>
      </c>
      <c r="AA107" s="3">
        <v>1290</v>
      </c>
      <c r="AB107" s="3">
        <v>1233</v>
      </c>
      <c r="AC107" s="3">
        <v>1245</v>
      </c>
      <c r="AD107" s="3">
        <v>16</v>
      </c>
      <c r="AE107" s="7">
        <v>16</v>
      </c>
      <c r="AF107" s="7">
        <v>47</v>
      </c>
      <c r="AG107" s="7">
        <v>47</v>
      </c>
      <c r="AH107" s="3">
        <v>16</v>
      </c>
      <c r="AI107" s="3">
        <v>16</v>
      </c>
      <c r="AJ107" s="3">
        <v>7</v>
      </c>
      <c r="AK107" s="3">
        <v>7</v>
      </c>
      <c r="AL107" s="3">
        <v>18</v>
      </c>
      <c r="AM107" s="3">
        <v>18</v>
      </c>
      <c r="AN107" s="3">
        <v>11</v>
      </c>
      <c r="AO107" s="3">
        <v>11</v>
      </c>
      <c r="AP107" s="3">
        <v>4</v>
      </c>
      <c r="AQ107" s="3">
        <v>4</v>
      </c>
      <c r="AR107" s="2" t="s">
        <v>5</v>
      </c>
      <c r="AS107" s="2" t="s">
        <v>16</v>
      </c>
      <c r="AT107" s="5" t="str">
        <f>HYPERLINK("http://catalog.hathitrust.org/Record/003557638","HathiTrust Record")</f>
        <v>HathiTrust Record</v>
      </c>
      <c r="AU107" s="5" t="str">
        <f>HYPERLINK("https://creighton-primo.hosted.exlibrisgroup.com/primo-explore/search?tab=default_tab&amp;search_scope=EVERYTHING&amp;vid=01CRU&amp;lang=en_US&amp;offset=0&amp;query=any,contains,991001740549702656","Catalog Record")</f>
        <v>Catalog Record</v>
      </c>
      <c r="AV107" s="5" t="str">
        <f>HYPERLINK("http://www.worldcat.org/oclc/1992111","WorldCat Record")</f>
        <v>WorldCat Record</v>
      </c>
      <c r="AW107" s="2" t="s">
        <v>1499</v>
      </c>
      <c r="AX107" s="2" t="s">
        <v>1500</v>
      </c>
      <c r="AY107" s="2" t="s">
        <v>1501</v>
      </c>
      <c r="AZ107" s="2" t="s">
        <v>1501</v>
      </c>
      <c r="BA107" s="2" t="s">
        <v>1502</v>
      </c>
      <c r="BB107" s="2" t="s">
        <v>21</v>
      </c>
      <c r="BD107" s="2" t="s">
        <v>1503</v>
      </c>
      <c r="BE107" s="2" t="s">
        <v>1504</v>
      </c>
      <c r="BF107" s="2" t="s">
        <v>1505</v>
      </c>
    </row>
    <row r="108" spans="1:58" ht="39.75" customHeight="1" x14ac:dyDescent="0.25">
      <c r="A108" s="1"/>
      <c r="B108" s="1" t="s">
        <v>0</v>
      </c>
      <c r="C108" s="1" t="s">
        <v>1</v>
      </c>
      <c r="D108" s="1" t="s">
        <v>1506</v>
      </c>
      <c r="E108" s="1" t="s">
        <v>1507</v>
      </c>
      <c r="F108" s="1" t="s">
        <v>1508</v>
      </c>
      <c r="H108" s="2" t="s">
        <v>5</v>
      </c>
      <c r="I108" s="2" t="s">
        <v>6</v>
      </c>
      <c r="J108" s="2" t="s">
        <v>5</v>
      </c>
      <c r="K108" s="2" t="s">
        <v>5</v>
      </c>
      <c r="L108" s="2" t="s">
        <v>7</v>
      </c>
      <c r="M108" s="1" t="s">
        <v>1509</v>
      </c>
      <c r="N108" s="1" t="s">
        <v>1510</v>
      </c>
      <c r="O108" s="2" t="s">
        <v>107</v>
      </c>
      <c r="Q108" s="2" t="s">
        <v>11</v>
      </c>
      <c r="R108" s="2" t="s">
        <v>1511</v>
      </c>
      <c r="T108" s="2" t="s">
        <v>1367</v>
      </c>
      <c r="U108" s="3">
        <v>6</v>
      </c>
      <c r="V108" s="3">
        <v>6</v>
      </c>
      <c r="W108" s="4" t="s">
        <v>1439</v>
      </c>
      <c r="X108" s="4" t="s">
        <v>1439</v>
      </c>
      <c r="Y108" s="4" t="s">
        <v>1455</v>
      </c>
      <c r="Z108" s="4" t="s">
        <v>1455</v>
      </c>
      <c r="AA108" s="3">
        <v>819</v>
      </c>
      <c r="AB108" s="3">
        <v>750</v>
      </c>
      <c r="AC108" s="3">
        <v>756</v>
      </c>
      <c r="AD108" s="3">
        <v>9</v>
      </c>
      <c r="AE108" s="7">
        <v>9</v>
      </c>
      <c r="AF108" s="7">
        <v>41</v>
      </c>
      <c r="AG108" s="7">
        <v>41</v>
      </c>
      <c r="AH108" s="3">
        <v>10</v>
      </c>
      <c r="AI108" s="3">
        <v>10</v>
      </c>
      <c r="AJ108" s="3">
        <v>5</v>
      </c>
      <c r="AK108" s="3">
        <v>5</v>
      </c>
      <c r="AL108" s="3">
        <v>15</v>
      </c>
      <c r="AM108" s="3">
        <v>15</v>
      </c>
      <c r="AN108" s="3">
        <v>5</v>
      </c>
      <c r="AO108" s="3">
        <v>5</v>
      </c>
      <c r="AP108" s="3">
        <v>14</v>
      </c>
      <c r="AQ108" s="3">
        <v>14</v>
      </c>
      <c r="AR108" s="2" t="s">
        <v>5</v>
      </c>
      <c r="AS108" s="2" t="s">
        <v>16</v>
      </c>
      <c r="AT108" s="5" t="str">
        <f>HYPERLINK("http://catalog.hathitrust.org/Record/001897701","HathiTrust Record")</f>
        <v>HathiTrust Record</v>
      </c>
      <c r="AU108" s="5" t="str">
        <f>HYPERLINK("https://creighton-primo.hosted.exlibrisgroup.com/primo-explore/search?tab=default_tab&amp;search_scope=EVERYTHING&amp;vid=01CRU&amp;lang=en_US&amp;offset=0&amp;query=any,contains,991000389029702656","Catalog Record")</f>
        <v>Catalog Record</v>
      </c>
      <c r="AV108" s="5" t="str">
        <f>HYPERLINK("http://www.worldcat.org/oclc/72754","WorldCat Record")</f>
        <v>WorldCat Record</v>
      </c>
      <c r="AW108" s="2" t="s">
        <v>1512</v>
      </c>
      <c r="AX108" s="2" t="s">
        <v>1513</v>
      </c>
      <c r="AY108" s="2" t="s">
        <v>1514</v>
      </c>
      <c r="AZ108" s="2" t="s">
        <v>1514</v>
      </c>
      <c r="BA108" s="2" t="s">
        <v>1515</v>
      </c>
      <c r="BB108" s="2" t="s">
        <v>21</v>
      </c>
      <c r="BD108" s="2" t="s">
        <v>1516</v>
      </c>
      <c r="BE108" s="2" t="s">
        <v>1517</v>
      </c>
      <c r="BF108" s="2" t="s">
        <v>1518</v>
      </c>
    </row>
    <row r="109" spans="1:58" ht="39.75" customHeight="1" x14ac:dyDescent="0.25">
      <c r="A109" s="1"/>
      <c r="B109" s="1" t="s">
        <v>0</v>
      </c>
      <c r="C109" s="1" t="s">
        <v>1</v>
      </c>
      <c r="D109" s="1" t="s">
        <v>1519</v>
      </c>
      <c r="E109" s="1" t="s">
        <v>1520</v>
      </c>
      <c r="F109" s="1" t="s">
        <v>1521</v>
      </c>
      <c r="H109" s="2" t="s">
        <v>5</v>
      </c>
      <c r="I109" s="2" t="s">
        <v>6</v>
      </c>
      <c r="J109" s="2" t="s">
        <v>5</v>
      </c>
      <c r="K109" s="2" t="s">
        <v>5</v>
      </c>
      <c r="L109" s="2" t="s">
        <v>7</v>
      </c>
      <c r="M109" s="1" t="s">
        <v>1522</v>
      </c>
      <c r="N109" s="1" t="s">
        <v>1523</v>
      </c>
      <c r="O109" s="2" t="s">
        <v>629</v>
      </c>
      <c r="Q109" s="2" t="s">
        <v>11</v>
      </c>
      <c r="R109" s="2" t="s">
        <v>76</v>
      </c>
      <c r="T109" s="2" t="s">
        <v>1367</v>
      </c>
      <c r="U109" s="3">
        <v>5</v>
      </c>
      <c r="V109" s="3">
        <v>5</v>
      </c>
      <c r="W109" s="4" t="s">
        <v>1453</v>
      </c>
      <c r="X109" s="4" t="s">
        <v>1453</v>
      </c>
      <c r="Y109" s="4" t="s">
        <v>15</v>
      </c>
      <c r="Z109" s="4" t="s">
        <v>15</v>
      </c>
      <c r="AA109" s="3">
        <v>492</v>
      </c>
      <c r="AB109" s="3">
        <v>453</v>
      </c>
      <c r="AC109" s="3">
        <v>460</v>
      </c>
      <c r="AD109" s="3">
        <v>5</v>
      </c>
      <c r="AE109" s="7">
        <v>5</v>
      </c>
      <c r="AF109" s="7">
        <v>43</v>
      </c>
      <c r="AG109" s="7">
        <v>43</v>
      </c>
      <c r="AH109" s="3">
        <v>11</v>
      </c>
      <c r="AI109" s="3">
        <v>11</v>
      </c>
      <c r="AJ109" s="3">
        <v>5</v>
      </c>
      <c r="AK109" s="3">
        <v>5</v>
      </c>
      <c r="AL109" s="3">
        <v>13</v>
      </c>
      <c r="AM109" s="3">
        <v>13</v>
      </c>
      <c r="AN109" s="3">
        <v>3</v>
      </c>
      <c r="AO109" s="3">
        <v>3</v>
      </c>
      <c r="AP109" s="3">
        <v>16</v>
      </c>
      <c r="AQ109" s="3">
        <v>16</v>
      </c>
      <c r="AR109" s="2" t="s">
        <v>5</v>
      </c>
      <c r="AS109" s="2" t="s">
        <v>16</v>
      </c>
      <c r="AT109" s="5" t="str">
        <f>HYPERLINK("http://catalog.hathitrust.org/Record/000831019","HathiTrust Record")</f>
        <v>HathiTrust Record</v>
      </c>
      <c r="AU109" s="5" t="str">
        <f>HYPERLINK("https://creighton-primo.hosted.exlibrisgroup.com/primo-explore/search?tab=default_tab&amp;search_scope=EVERYTHING&amp;vid=01CRU&amp;lang=en_US&amp;offset=0&amp;query=any,contains,991000988069702656","Catalog Record")</f>
        <v>Catalog Record</v>
      </c>
      <c r="AV109" s="5" t="str">
        <f>HYPERLINK("http://www.worldcat.org/oclc/15084073","WorldCat Record")</f>
        <v>WorldCat Record</v>
      </c>
      <c r="AW109" s="2" t="s">
        <v>1524</v>
      </c>
      <c r="AX109" s="2" t="s">
        <v>1525</v>
      </c>
      <c r="AY109" s="2" t="s">
        <v>1526</v>
      </c>
      <c r="AZ109" s="2" t="s">
        <v>1526</v>
      </c>
      <c r="BA109" s="2" t="s">
        <v>1527</v>
      </c>
      <c r="BB109" s="2" t="s">
        <v>21</v>
      </c>
      <c r="BD109" s="2" t="s">
        <v>1528</v>
      </c>
      <c r="BE109" s="2" t="s">
        <v>1529</v>
      </c>
      <c r="BF109" s="2" t="s">
        <v>1530</v>
      </c>
    </row>
    <row r="110" spans="1:58" ht="39.75" customHeight="1" x14ac:dyDescent="0.25">
      <c r="A110" s="1"/>
      <c r="B110" s="1" t="s">
        <v>0</v>
      </c>
      <c r="C110" s="1" t="s">
        <v>1</v>
      </c>
      <c r="D110" s="1" t="s">
        <v>1531</v>
      </c>
      <c r="E110" s="1" t="s">
        <v>1532</v>
      </c>
      <c r="F110" s="1" t="s">
        <v>1533</v>
      </c>
      <c r="H110" s="2" t="s">
        <v>5</v>
      </c>
      <c r="I110" s="2" t="s">
        <v>6</v>
      </c>
      <c r="J110" s="2" t="s">
        <v>5</v>
      </c>
      <c r="K110" s="2" t="s">
        <v>5</v>
      </c>
      <c r="L110" s="2" t="s">
        <v>7</v>
      </c>
      <c r="M110" s="1" t="s">
        <v>1534</v>
      </c>
      <c r="N110" s="1" t="s">
        <v>1535</v>
      </c>
      <c r="O110" s="2" t="s">
        <v>530</v>
      </c>
      <c r="Q110" s="2" t="s">
        <v>11</v>
      </c>
      <c r="R110" s="2" t="s">
        <v>76</v>
      </c>
      <c r="T110" s="2" t="s">
        <v>1367</v>
      </c>
      <c r="U110" s="3">
        <v>12</v>
      </c>
      <c r="V110" s="3">
        <v>12</v>
      </c>
      <c r="W110" s="4" t="s">
        <v>1536</v>
      </c>
      <c r="X110" s="4" t="s">
        <v>1536</v>
      </c>
      <c r="Y110" s="4" t="s">
        <v>1537</v>
      </c>
      <c r="Z110" s="4" t="s">
        <v>1537</v>
      </c>
      <c r="AA110" s="3">
        <v>611</v>
      </c>
      <c r="AB110" s="3">
        <v>584</v>
      </c>
      <c r="AC110" s="3">
        <v>586</v>
      </c>
      <c r="AD110" s="3">
        <v>4</v>
      </c>
      <c r="AE110" s="7">
        <v>4</v>
      </c>
      <c r="AF110" s="7">
        <v>30</v>
      </c>
      <c r="AG110" s="7">
        <v>30</v>
      </c>
      <c r="AH110" s="3">
        <v>13</v>
      </c>
      <c r="AI110" s="3">
        <v>13</v>
      </c>
      <c r="AJ110" s="3">
        <v>3</v>
      </c>
      <c r="AK110" s="3">
        <v>3</v>
      </c>
      <c r="AL110" s="3">
        <v>12</v>
      </c>
      <c r="AM110" s="3">
        <v>12</v>
      </c>
      <c r="AN110" s="3">
        <v>3</v>
      </c>
      <c r="AO110" s="3">
        <v>3</v>
      </c>
      <c r="AP110" s="3">
        <v>7</v>
      </c>
      <c r="AQ110" s="3">
        <v>7</v>
      </c>
      <c r="AR110" s="2" t="s">
        <v>5</v>
      </c>
      <c r="AS110" s="2" t="s">
        <v>16</v>
      </c>
      <c r="AT110" s="5" t="str">
        <f>HYPERLINK("http://catalog.hathitrust.org/Record/000436254","HathiTrust Record")</f>
        <v>HathiTrust Record</v>
      </c>
      <c r="AU110" s="5" t="str">
        <f>HYPERLINK("https://creighton-primo.hosted.exlibrisgroup.com/primo-explore/search?tab=default_tab&amp;search_scope=EVERYTHING&amp;vid=01CRU&amp;lang=en_US&amp;offset=0&amp;query=any,contains,991000778249702656","Catalog Record")</f>
        <v>Catalog Record</v>
      </c>
      <c r="AV110" s="5" t="str">
        <f>HYPERLINK("http://www.worldcat.org/oclc/13093005","WorldCat Record")</f>
        <v>WorldCat Record</v>
      </c>
      <c r="AW110" s="2" t="s">
        <v>1538</v>
      </c>
      <c r="AX110" s="2" t="s">
        <v>1539</v>
      </c>
      <c r="AY110" s="2" t="s">
        <v>1540</v>
      </c>
      <c r="AZ110" s="2" t="s">
        <v>1540</v>
      </c>
      <c r="BA110" s="2" t="s">
        <v>1541</v>
      </c>
      <c r="BB110" s="2" t="s">
        <v>21</v>
      </c>
      <c r="BD110" s="2" t="s">
        <v>1542</v>
      </c>
      <c r="BE110" s="2" t="s">
        <v>1543</v>
      </c>
      <c r="BF110" s="2" t="s">
        <v>1544</v>
      </c>
    </row>
    <row r="111" spans="1:58" ht="39.75" customHeight="1" x14ac:dyDescent="0.25">
      <c r="A111" s="1"/>
      <c r="B111" s="1" t="s">
        <v>0</v>
      </c>
      <c r="C111" s="1" t="s">
        <v>1</v>
      </c>
      <c r="D111" s="1" t="s">
        <v>1545</v>
      </c>
      <c r="E111" s="1" t="s">
        <v>1546</v>
      </c>
      <c r="F111" s="1" t="s">
        <v>1547</v>
      </c>
      <c r="H111" s="2" t="s">
        <v>5</v>
      </c>
      <c r="I111" s="2" t="s">
        <v>6</v>
      </c>
      <c r="J111" s="2" t="s">
        <v>5</v>
      </c>
      <c r="K111" s="2" t="s">
        <v>5</v>
      </c>
      <c r="L111" s="2" t="s">
        <v>7</v>
      </c>
      <c r="M111" s="1" t="s">
        <v>1548</v>
      </c>
      <c r="N111" s="1" t="s">
        <v>1549</v>
      </c>
      <c r="O111" s="2" t="s">
        <v>530</v>
      </c>
      <c r="Q111" s="2" t="s">
        <v>11</v>
      </c>
      <c r="R111" s="2" t="s">
        <v>153</v>
      </c>
      <c r="T111" s="2" t="s">
        <v>1367</v>
      </c>
      <c r="U111" s="3">
        <v>10</v>
      </c>
      <c r="V111" s="3">
        <v>10</v>
      </c>
      <c r="W111" s="4" t="s">
        <v>1550</v>
      </c>
      <c r="X111" s="4" t="s">
        <v>1550</v>
      </c>
      <c r="Y111" s="4" t="s">
        <v>15</v>
      </c>
      <c r="Z111" s="4" t="s">
        <v>15</v>
      </c>
      <c r="AA111" s="3">
        <v>497</v>
      </c>
      <c r="AB111" s="3">
        <v>485</v>
      </c>
      <c r="AC111" s="3">
        <v>624</v>
      </c>
      <c r="AD111" s="3">
        <v>3</v>
      </c>
      <c r="AE111" s="7">
        <v>3</v>
      </c>
      <c r="AF111" s="7">
        <v>35</v>
      </c>
      <c r="AG111" s="7">
        <v>38</v>
      </c>
      <c r="AH111" s="3">
        <v>7</v>
      </c>
      <c r="AI111" s="3">
        <v>9</v>
      </c>
      <c r="AJ111" s="3">
        <v>5</v>
      </c>
      <c r="AK111" s="3">
        <v>6</v>
      </c>
      <c r="AL111" s="3">
        <v>11</v>
      </c>
      <c r="AM111" s="3">
        <v>14</v>
      </c>
      <c r="AN111" s="3">
        <v>2</v>
      </c>
      <c r="AO111" s="3">
        <v>2</v>
      </c>
      <c r="AP111" s="3">
        <v>15</v>
      </c>
      <c r="AQ111" s="3">
        <v>15</v>
      </c>
      <c r="AR111" s="2" t="s">
        <v>5</v>
      </c>
      <c r="AS111" s="2" t="s">
        <v>5</v>
      </c>
      <c r="AU111" s="5" t="str">
        <f>HYPERLINK("https://creighton-primo.hosted.exlibrisgroup.com/primo-explore/search?tab=default_tab&amp;search_scope=EVERYTHING&amp;vid=01CRU&amp;lang=en_US&amp;offset=0&amp;query=any,contains,991000741749702656","Catalog Record")</f>
        <v>Catalog Record</v>
      </c>
      <c r="AV111" s="5" t="str">
        <f>HYPERLINK("http://www.worldcat.org/oclc/12808883","WorldCat Record")</f>
        <v>WorldCat Record</v>
      </c>
      <c r="AW111" s="2" t="s">
        <v>1551</v>
      </c>
      <c r="AX111" s="2" t="s">
        <v>1552</v>
      </c>
      <c r="AY111" s="2" t="s">
        <v>1553</v>
      </c>
      <c r="AZ111" s="2" t="s">
        <v>1553</v>
      </c>
      <c r="BA111" s="2" t="s">
        <v>1554</v>
      </c>
      <c r="BB111" s="2" t="s">
        <v>21</v>
      </c>
      <c r="BD111" s="2" t="s">
        <v>1555</v>
      </c>
      <c r="BE111" s="2" t="s">
        <v>1556</v>
      </c>
      <c r="BF111" s="2" t="s">
        <v>1557</v>
      </c>
    </row>
    <row r="112" spans="1:58" ht="39.75" customHeight="1" x14ac:dyDescent="0.25">
      <c r="A112" s="1"/>
      <c r="B112" s="1" t="s">
        <v>0</v>
      </c>
      <c r="C112" s="1" t="s">
        <v>1</v>
      </c>
      <c r="D112" s="1" t="s">
        <v>1558</v>
      </c>
      <c r="E112" s="1" t="s">
        <v>1559</v>
      </c>
      <c r="F112" s="1" t="s">
        <v>1560</v>
      </c>
      <c r="H112" s="2" t="s">
        <v>5</v>
      </c>
      <c r="I112" s="2" t="s">
        <v>6</v>
      </c>
      <c r="J112" s="2" t="s">
        <v>16</v>
      </c>
      <c r="K112" s="2" t="s">
        <v>5</v>
      </c>
      <c r="L112" s="2" t="s">
        <v>7</v>
      </c>
      <c r="M112" s="1" t="s">
        <v>1561</v>
      </c>
      <c r="N112" s="1" t="s">
        <v>1562</v>
      </c>
      <c r="O112" s="2" t="s">
        <v>530</v>
      </c>
      <c r="Q112" s="2" t="s">
        <v>11</v>
      </c>
      <c r="R112" s="2" t="s">
        <v>76</v>
      </c>
      <c r="T112" s="2" t="s">
        <v>1367</v>
      </c>
      <c r="U112" s="3">
        <v>7</v>
      </c>
      <c r="V112" s="3">
        <v>8</v>
      </c>
      <c r="W112" s="4" t="s">
        <v>1563</v>
      </c>
      <c r="X112" s="4" t="s">
        <v>1563</v>
      </c>
      <c r="Y112" s="4" t="s">
        <v>15</v>
      </c>
      <c r="Z112" s="4" t="s">
        <v>1564</v>
      </c>
      <c r="AA112" s="3">
        <v>1035</v>
      </c>
      <c r="AB112" s="3">
        <v>944</v>
      </c>
      <c r="AC112" s="3">
        <v>968</v>
      </c>
      <c r="AD112" s="3">
        <v>6</v>
      </c>
      <c r="AE112" s="7">
        <v>6</v>
      </c>
      <c r="AF112" s="7">
        <v>60</v>
      </c>
      <c r="AG112" s="7">
        <v>60</v>
      </c>
      <c r="AH112" s="3">
        <v>15</v>
      </c>
      <c r="AI112" s="3">
        <v>15</v>
      </c>
      <c r="AJ112" s="3">
        <v>8</v>
      </c>
      <c r="AK112" s="3">
        <v>8</v>
      </c>
      <c r="AL112" s="3">
        <v>20</v>
      </c>
      <c r="AM112" s="3">
        <v>20</v>
      </c>
      <c r="AN112" s="3">
        <v>4</v>
      </c>
      <c r="AO112" s="3">
        <v>4</v>
      </c>
      <c r="AP112" s="3">
        <v>22</v>
      </c>
      <c r="AQ112" s="3">
        <v>22</v>
      </c>
      <c r="AR112" s="2" t="s">
        <v>5</v>
      </c>
      <c r="AS112" s="2" t="s">
        <v>16</v>
      </c>
      <c r="AT112" s="5" t="str">
        <f>HYPERLINK("http://catalog.hathitrust.org/Record/000583035","HathiTrust Record")</f>
        <v>HathiTrust Record</v>
      </c>
      <c r="AU112" s="5" t="str">
        <f>HYPERLINK("https://creighton-primo.hosted.exlibrisgroup.com/primo-explore/search?tab=default_tab&amp;search_scope=EVERYTHING&amp;vid=01CRU&amp;lang=en_US&amp;offset=0&amp;query=any,contains,991001632479702656","Catalog Record")</f>
        <v>Catalog Record</v>
      </c>
      <c r="AV112" s="5" t="str">
        <f>HYPERLINK("http://www.worldcat.org/oclc/13124631","WorldCat Record")</f>
        <v>WorldCat Record</v>
      </c>
      <c r="AW112" s="2" t="s">
        <v>1565</v>
      </c>
      <c r="AX112" s="2" t="s">
        <v>1566</v>
      </c>
      <c r="AY112" s="2" t="s">
        <v>1567</v>
      </c>
      <c r="AZ112" s="2" t="s">
        <v>1567</v>
      </c>
      <c r="BA112" s="2" t="s">
        <v>1568</v>
      </c>
      <c r="BB112" s="2" t="s">
        <v>21</v>
      </c>
      <c r="BD112" s="2" t="s">
        <v>1569</v>
      </c>
      <c r="BE112" s="2" t="s">
        <v>1570</v>
      </c>
      <c r="BF112" s="2" t="s">
        <v>1571</v>
      </c>
    </row>
    <row r="113" spans="1:58" ht="39.75" customHeight="1" x14ac:dyDescent="0.25">
      <c r="A113" s="1"/>
      <c r="B113" s="1" t="s">
        <v>0</v>
      </c>
      <c r="C113" s="1" t="s">
        <v>1</v>
      </c>
      <c r="D113" s="1" t="s">
        <v>1572</v>
      </c>
      <c r="E113" s="1" t="s">
        <v>1573</v>
      </c>
      <c r="F113" s="1" t="s">
        <v>1574</v>
      </c>
      <c r="H113" s="2" t="s">
        <v>5</v>
      </c>
      <c r="I113" s="2" t="s">
        <v>6</v>
      </c>
      <c r="J113" s="2" t="s">
        <v>5</v>
      </c>
      <c r="K113" s="2" t="s">
        <v>5</v>
      </c>
      <c r="L113" s="2" t="s">
        <v>7</v>
      </c>
      <c r="M113" s="1" t="s">
        <v>1575</v>
      </c>
      <c r="N113" s="1" t="s">
        <v>1576</v>
      </c>
      <c r="O113" s="2" t="s">
        <v>401</v>
      </c>
      <c r="Q113" s="2" t="s">
        <v>11</v>
      </c>
      <c r="R113" s="2" t="s">
        <v>76</v>
      </c>
      <c r="S113" s="1" t="s">
        <v>1577</v>
      </c>
      <c r="T113" s="2" t="s">
        <v>1367</v>
      </c>
      <c r="U113" s="3">
        <v>1</v>
      </c>
      <c r="V113" s="3">
        <v>1</v>
      </c>
      <c r="W113" s="4" t="s">
        <v>1563</v>
      </c>
      <c r="X113" s="4" t="s">
        <v>1563</v>
      </c>
      <c r="Y113" s="4" t="s">
        <v>1578</v>
      </c>
      <c r="Z113" s="4" t="s">
        <v>1578</v>
      </c>
      <c r="AA113" s="3">
        <v>238</v>
      </c>
      <c r="AB113" s="3">
        <v>224</v>
      </c>
      <c r="AC113" s="3">
        <v>226</v>
      </c>
      <c r="AD113" s="3">
        <v>1</v>
      </c>
      <c r="AE113" s="7">
        <v>1</v>
      </c>
      <c r="AF113" s="7">
        <v>5</v>
      </c>
      <c r="AG113" s="7">
        <v>5</v>
      </c>
      <c r="AH113" s="3">
        <v>1</v>
      </c>
      <c r="AI113" s="3">
        <v>1</v>
      </c>
      <c r="AJ113" s="3">
        <v>0</v>
      </c>
      <c r="AK113" s="3">
        <v>0</v>
      </c>
      <c r="AL113" s="3">
        <v>0</v>
      </c>
      <c r="AM113" s="3">
        <v>0</v>
      </c>
      <c r="AN113" s="3">
        <v>0</v>
      </c>
      <c r="AO113" s="3">
        <v>0</v>
      </c>
      <c r="AP113" s="3">
        <v>4</v>
      </c>
      <c r="AQ113" s="3">
        <v>4</v>
      </c>
      <c r="AR113" s="2" t="s">
        <v>5</v>
      </c>
      <c r="AS113" s="2" t="s">
        <v>16</v>
      </c>
      <c r="AT113" s="5" t="str">
        <f>HYPERLINK("http://catalog.hathitrust.org/Record/001134472","HathiTrust Record")</f>
        <v>HathiTrust Record</v>
      </c>
      <c r="AU113" s="5" t="str">
        <f>HYPERLINK("https://creighton-primo.hosted.exlibrisgroup.com/primo-explore/search?tab=default_tab&amp;search_scope=EVERYTHING&amp;vid=01CRU&amp;lang=en_US&amp;offset=0&amp;query=any,contains,991002327579702656","Catalog Record")</f>
        <v>Catalog Record</v>
      </c>
      <c r="AV113" s="5" t="str">
        <f>HYPERLINK("http://www.worldcat.org/oclc/321261","WorldCat Record")</f>
        <v>WorldCat Record</v>
      </c>
      <c r="AW113" s="2" t="s">
        <v>1579</v>
      </c>
      <c r="AX113" s="2" t="s">
        <v>1580</v>
      </c>
      <c r="AY113" s="2" t="s">
        <v>1581</v>
      </c>
      <c r="AZ113" s="2" t="s">
        <v>1581</v>
      </c>
      <c r="BA113" s="2" t="s">
        <v>1582</v>
      </c>
      <c r="BB113" s="2" t="s">
        <v>21</v>
      </c>
      <c r="BE113" s="2" t="s">
        <v>1583</v>
      </c>
      <c r="BF113" s="2" t="s">
        <v>1584</v>
      </c>
    </row>
    <row r="114" spans="1:58" ht="39.75" customHeight="1" x14ac:dyDescent="0.25">
      <c r="A114" s="1"/>
      <c r="B114" s="1" t="s">
        <v>0</v>
      </c>
      <c r="C114" s="1" t="s">
        <v>1</v>
      </c>
      <c r="D114" s="1" t="s">
        <v>1585</v>
      </c>
      <c r="E114" s="1" t="s">
        <v>1586</v>
      </c>
      <c r="F114" s="1" t="s">
        <v>1587</v>
      </c>
      <c r="H114" s="2" t="s">
        <v>5</v>
      </c>
      <c r="I114" s="2" t="s">
        <v>6</v>
      </c>
      <c r="J114" s="2" t="s">
        <v>16</v>
      </c>
      <c r="K114" s="2" t="s">
        <v>5</v>
      </c>
      <c r="L114" s="2" t="s">
        <v>7</v>
      </c>
      <c r="N114" s="1" t="s">
        <v>1588</v>
      </c>
      <c r="O114" s="2" t="s">
        <v>387</v>
      </c>
      <c r="Q114" s="2" t="s">
        <v>11</v>
      </c>
      <c r="R114" s="2" t="s">
        <v>76</v>
      </c>
      <c r="S114" s="1" t="s">
        <v>1589</v>
      </c>
      <c r="T114" s="2" t="s">
        <v>1367</v>
      </c>
      <c r="U114" s="3">
        <v>3</v>
      </c>
      <c r="V114" s="3">
        <v>5</v>
      </c>
      <c r="W114" s="4" t="s">
        <v>1590</v>
      </c>
      <c r="X114" s="4" t="s">
        <v>1591</v>
      </c>
      <c r="Y114" s="4" t="s">
        <v>15</v>
      </c>
      <c r="Z114" s="4" t="s">
        <v>15</v>
      </c>
      <c r="AA114" s="3">
        <v>129</v>
      </c>
      <c r="AB114" s="3">
        <v>124</v>
      </c>
      <c r="AC114" s="3">
        <v>124</v>
      </c>
      <c r="AD114" s="3">
        <v>2</v>
      </c>
      <c r="AE114" s="7">
        <v>2</v>
      </c>
      <c r="AF114" s="7">
        <v>9</v>
      </c>
      <c r="AG114" s="7">
        <v>9</v>
      </c>
      <c r="AH114" s="3">
        <v>1</v>
      </c>
      <c r="AI114" s="3">
        <v>1</v>
      </c>
      <c r="AJ114" s="3">
        <v>0</v>
      </c>
      <c r="AK114" s="3">
        <v>0</v>
      </c>
      <c r="AL114" s="3">
        <v>1</v>
      </c>
      <c r="AM114" s="3">
        <v>1</v>
      </c>
      <c r="AN114" s="3">
        <v>0</v>
      </c>
      <c r="AO114" s="3">
        <v>0</v>
      </c>
      <c r="AP114" s="3">
        <v>7</v>
      </c>
      <c r="AQ114" s="3">
        <v>7</v>
      </c>
      <c r="AR114" s="2" t="s">
        <v>5</v>
      </c>
      <c r="AS114" s="2" t="s">
        <v>5</v>
      </c>
      <c r="AU114" s="5" t="str">
        <f>HYPERLINK("https://creighton-primo.hosted.exlibrisgroup.com/primo-explore/search?tab=default_tab&amp;search_scope=EVERYTHING&amp;vid=01CRU&amp;lang=en_US&amp;offset=0&amp;query=any,contains,991001627369702656","Catalog Record")</f>
        <v>Catalog Record</v>
      </c>
      <c r="AV114" s="5" t="str">
        <f>HYPERLINK("http://www.worldcat.org/oclc/10563087","WorldCat Record")</f>
        <v>WorldCat Record</v>
      </c>
      <c r="AW114" s="2" t="s">
        <v>1592</v>
      </c>
      <c r="AX114" s="2" t="s">
        <v>1593</v>
      </c>
      <c r="AY114" s="2" t="s">
        <v>1594</v>
      </c>
      <c r="AZ114" s="2" t="s">
        <v>1594</v>
      </c>
      <c r="BA114" s="2" t="s">
        <v>1595</v>
      </c>
      <c r="BB114" s="2" t="s">
        <v>21</v>
      </c>
      <c r="BE114" s="2" t="s">
        <v>1596</v>
      </c>
      <c r="BF114" s="2" t="s">
        <v>1597</v>
      </c>
    </row>
    <row r="115" spans="1:58" ht="39.75" customHeight="1" x14ac:dyDescent="0.25">
      <c r="A115" s="1"/>
      <c r="B115" s="1" t="s">
        <v>0</v>
      </c>
      <c r="C115" s="1" t="s">
        <v>1</v>
      </c>
      <c r="D115" s="1" t="s">
        <v>1598</v>
      </c>
      <c r="E115" s="1" t="s">
        <v>1599</v>
      </c>
      <c r="F115" s="1" t="s">
        <v>1600</v>
      </c>
      <c r="H115" s="2" t="s">
        <v>5</v>
      </c>
      <c r="I115" s="2" t="s">
        <v>6</v>
      </c>
      <c r="J115" s="2" t="s">
        <v>5</v>
      </c>
      <c r="K115" s="2" t="s">
        <v>5</v>
      </c>
      <c r="L115" s="2" t="s">
        <v>7</v>
      </c>
      <c r="M115" s="1" t="s">
        <v>1601</v>
      </c>
      <c r="N115" s="1" t="s">
        <v>1602</v>
      </c>
      <c r="O115" s="2" t="s">
        <v>45</v>
      </c>
      <c r="Q115" s="2" t="s">
        <v>11</v>
      </c>
      <c r="R115" s="2" t="s">
        <v>306</v>
      </c>
      <c r="T115" s="2" t="s">
        <v>1367</v>
      </c>
      <c r="U115" s="3">
        <v>1</v>
      </c>
      <c r="V115" s="3">
        <v>1</v>
      </c>
      <c r="W115" s="4" t="s">
        <v>1603</v>
      </c>
      <c r="X115" s="4" t="s">
        <v>1603</v>
      </c>
      <c r="Y115" s="4" t="s">
        <v>1603</v>
      </c>
      <c r="Z115" s="4" t="s">
        <v>1603</v>
      </c>
      <c r="AA115" s="3">
        <v>442</v>
      </c>
      <c r="AB115" s="3">
        <v>389</v>
      </c>
      <c r="AC115" s="3">
        <v>403</v>
      </c>
      <c r="AD115" s="3">
        <v>3</v>
      </c>
      <c r="AE115" s="7">
        <v>3</v>
      </c>
      <c r="AF115" s="7">
        <v>24</v>
      </c>
      <c r="AG115" s="7">
        <v>24</v>
      </c>
      <c r="AH115" s="3">
        <v>4</v>
      </c>
      <c r="AI115" s="3">
        <v>4</v>
      </c>
      <c r="AJ115" s="3">
        <v>1</v>
      </c>
      <c r="AK115" s="3">
        <v>1</v>
      </c>
      <c r="AL115" s="3">
        <v>2</v>
      </c>
      <c r="AM115" s="3">
        <v>2</v>
      </c>
      <c r="AN115" s="3">
        <v>2</v>
      </c>
      <c r="AO115" s="3">
        <v>2</v>
      </c>
      <c r="AP115" s="3">
        <v>16</v>
      </c>
      <c r="AQ115" s="3">
        <v>16</v>
      </c>
      <c r="AR115" s="2" t="s">
        <v>5</v>
      </c>
      <c r="AS115" s="2" t="s">
        <v>5</v>
      </c>
      <c r="AU115" s="5" t="str">
        <f>HYPERLINK("https://creighton-primo.hosted.exlibrisgroup.com/primo-explore/search?tab=default_tab&amp;search_scope=EVERYTHING&amp;vid=01CRU&amp;lang=en_US&amp;offset=0&amp;query=any,contains,991005256979702656","Catalog Record")</f>
        <v>Catalog Record</v>
      </c>
      <c r="AV115" s="5" t="str">
        <f>HYPERLINK("http://www.worldcat.org/oclc/11397453","WorldCat Record")</f>
        <v>WorldCat Record</v>
      </c>
      <c r="AW115" s="2" t="s">
        <v>1604</v>
      </c>
      <c r="AX115" s="2" t="s">
        <v>1605</v>
      </c>
      <c r="AY115" s="2" t="s">
        <v>1606</v>
      </c>
      <c r="AZ115" s="2" t="s">
        <v>1606</v>
      </c>
      <c r="BA115" s="2" t="s">
        <v>1607</v>
      </c>
      <c r="BB115" s="2" t="s">
        <v>21</v>
      </c>
      <c r="BD115" s="2" t="s">
        <v>1608</v>
      </c>
      <c r="BE115" s="2" t="s">
        <v>1609</v>
      </c>
      <c r="BF115" s="2" t="s">
        <v>1610</v>
      </c>
    </row>
    <row r="116" spans="1:58" ht="39.75" customHeight="1" x14ac:dyDescent="0.25">
      <c r="A116" s="1"/>
      <c r="B116" s="1" t="s">
        <v>0</v>
      </c>
      <c r="C116" s="1" t="s">
        <v>1</v>
      </c>
      <c r="D116" s="1" t="s">
        <v>1611</v>
      </c>
      <c r="E116" s="1" t="s">
        <v>1612</v>
      </c>
      <c r="F116" s="1" t="s">
        <v>1613</v>
      </c>
      <c r="H116" s="2" t="s">
        <v>5</v>
      </c>
      <c r="I116" s="2" t="s">
        <v>6</v>
      </c>
      <c r="J116" s="2" t="s">
        <v>5</v>
      </c>
      <c r="K116" s="2" t="s">
        <v>5</v>
      </c>
      <c r="L116" s="2" t="s">
        <v>7</v>
      </c>
      <c r="M116" s="1" t="s">
        <v>1614</v>
      </c>
      <c r="N116" s="1" t="s">
        <v>1615</v>
      </c>
      <c r="O116" s="2" t="s">
        <v>259</v>
      </c>
      <c r="Q116" s="2" t="s">
        <v>11</v>
      </c>
      <c r="R116" s="2" t="s">
        <v>76</v>
      </c>
      <c r="T116" s="2" t="s">
        <v>1367</v>
      </c>
      <c r="U116" s="3">
        <v>5</v>
      </c>
      <c r="V116" s="3">
        <v>5</v>
      </c>
      <c r="W116" s="4" t="s">
        <v>1616</v>
      </c>
      <c r="X116" s="4" t="s">
        <v>1616</v>
      </c>
      <c r="Y116" s="4" t="s">
        <v>1617</v>
      </c>
      <c r="Z116" s="4" t="s">
        <v>1617</v>
      </c>
      <c r="AA116" s="3">
        <v>454</v>
      </c>
      <c r="AB116" s="3">
        <v>428</v>
      </c>
      <c r="AC116" s="3">
        <v>434</v>
      </c>
      <c r="AD116" s="3">
        <v>3</v>
      </c>
      <c r="AE116" s="7">
        <v>3</v>
      </c>
      <c r="AF116" s="7">
        <v>23</v>
      </c>
      <c r="AG116" s="7">
        <v>23</v>
      </c>
      <c r="AH116" s="3">
        <v>1</v>
      </c>
      <c r="AI116" s="3">
        <v>1</v>
      </c>
      <c r="AJ116" s="3">
        <v>4</v>
      </c>
      <c r="AK116" s="3">
        <v>4</v>
      </c>
      <c r="AL116" s="3">
        <v>5</v>
      </c>
      <c r="AM116" s="3">
        <v>5</v>
      </c>
      <c r="AN116" s="3">
        <v>1</v>
      </c>
      <c r="AO116" s="3">
        <v>1</v>
      </c>
      <c r="AP116" s="3">
        <v>15</v>
      </c>
      <c r="AQ116" s="3">
        <v>15</v>
      </c>
      <c r="AR116" s="2" t="s">
        <v>5</v>
      </c>
      <c r="AS116" s="2" t="s">
        <v>16</v>
      </c>
      <c r="AT116" s="5" t="str">
        <f>HYPERLINK("http://catalog.hathitrust.org/Record/000914632","HathiTrust Record")</f>
        <v>HathiTrust Record</v>
      </c>
      <c r="AU116" s="5" t="str">
        <f>HYPERLINK("https://creighton-primo.hosted.exlibrisgroup.com/primo-explore/search?tab=default_tab&amp;search_scope=EVERYTHING&amp;vid=01CRU&amp;lang=en_US&amp;offset=0&amp;query=any,contains,991001193709702656","Catalog Record")</f>
        <v>Catalog Record</v>
      </c>
      <c r="AV116" s="5" t="str">
        <f>HYPERLINK("http://www.worldcat.org/oclc/17263471","WorldCat Record")</f>
        <v>WorldCat Record</v>
      </c>
      <c r="AW116" s="2" t="s">
        <v>1618</v>
      </c>
      <c r="AX116" s="2" t="s">
        <v>1619</v>
      </c>
      <c r="AY116" s="2" t="s">
        <v>1620</v>
      </c>
      <c r="AZ116" s="2" t="s">
        <v>1620</v>
      </c>
      <c r="BA116" s="2" t="s">
        <v>1621</v>
      </c>
      <c r="BB116" s="2" t="s">
        <v>21</v>
      </c>
      <c r="BD116" s="2" t="s">
        <v>1622</v>
      </c>
      <c r="BE116" s="2" t="s">
        <v>1623</v>
      </c>
      <c r="BF116" s="2" t="s">
        <v>1624</v>
      </c>
    </row>
    <row r="117" spans="1:58" ht="39.75" customHeight="1" x14ac:dyDescent="0.25">
      <c r="A117" s="1"/>
      <c r="B117" s="1" t="s">
        <v>0</v>
      </c>
      <c r="C117" s="1" t="s">
        <v>1</v>
      </c>
      <c r="D117" s="1" t="s">
        <v>1625</v>
      </c>
      <c r="E117" s="1" t="s">
        <v>1626</v>
      </c>
      <c r="F117" s="1" t="s">
        <v>1627</v>
      </c>
      <c r="H117" s="2" t="s">
        <v>5</v>
      </c>
      <c r="I117" s="2" t="s">
        <v>6</v>
      </c>
      <c r="J117" s="2" t="s">
        <v>16</v>
      </c>
      <c r="K117" s="2" t="s">
        <v>5</v>
      </c>
      <c r="L117" s="2" t="s">
        <v>7</v>
      </c>
      <c r="M117" s="1" t="s">
        <v>1437</v>
      </c>
      <c r="N117" s="1" t="s">
        <v>1628</v>
      </c>
      <c r="O117" s="2" t="s">
        <v>629</v>
      </c>
      <c r="Q117" s="2" t="s">
        <v>11</v>
      </c>
      <c r="R117" s="2" t="s">
        <v>76</v>
      </c>
      <c r="T117" s="2" t="s">
        <v>1367</v>
      </c>
      <c r="U117" s="3">
        <v>2</v>
      </c>
      <c r="V117" s="3">
        <v>2</v>
      </c>
      <c r="W117" s="4" t="s">
        <v>1629</v>
      </c>
      <c r="X117" s="4" t="s">
        <v>1629</v>
      </c>
      <c r="Y117" s="4" t="s">
        <v>429</v>
      </c>
      <c r="Z117" s="4" t="s">
        <v>1630</v>
      </c>
      <c r="AA117" s="3">
        <v>398</v>
      </c>
      <c r="AB117" s="3">
        <v>363</v>
      </c>
      <c r="AC117" s="3">
        <v>412</v>
      </c>
      <c r="AD117" s="3">
        <v>2</v>
      </c>
      <c r="AE117" s="7">
        <v>2</v>
      </c>
      <c r="AF117" s="7">
        <v>22</v>
      </c>
      <c r="AG117" s="7">
        <v>24</v>
      </c>
      <c r="AH117" s="3">
        <v>1</v>
      </c>
      <c r="AI117" s="3">
        <v>3</v>
      </c>
      <c r="AJ117" s="3">
        <v>4</v>
      </c>
      <c r="AK117" s="3">
        <v>5</v>
      </c>
      <c r="AL117" s="3">
        <v>6</v>
      </c>
      <c r="AM117" s="3">
        <v>6</v>
      </c>
      <c r="AN117" s="3">
        <v>0</v>
      </c>
      <c r="AO117" s="3">
        <v>0</v>
      </c>
      <c r="AP117" s="3">
        <v>14</v>
      </c>
      <c r="AQ117" s="3">
        <v>14</v>
      </c>
      <c r="AR117" s="2" t="s">
        <v>5</v>
      </c>
      <c r="AS117" s="2" t="s">
        <v>16</v>
      </c>
      <c r="AT117" s="5" t="str">
        <f>HYPERLINK("http://catalog.hathitrust.org/Record/000915924","HathiTrust Record")</f>
        <v>HathiTrust Record</v>
      </c>
      <c r="AU117" s="5" t="str">
        <f>HYPERLINK("https://creighton-primo.hosted.exlibrisgroup.com/primo-explore/search?tab=default_tab&amp;search_scope=EVERYTHING&amp;vid=01CRU&amp;lang=en_US&amp;offset=0&amp;query=any,contains,991001637629702656","Catalog Record")</f>
        <v>Catalog Record</v>
      </c>
      <c r="AV117" s="5" t="str">
        <f>HYPERLINK("http://www.worldcat.org/oclc/16900323","WorldCat Record")</f>
        <v>WorldCat Record</v>
      </c>
      <c r="AW117" s="2" t="s">
        <v>1631</v>
      </c>
      <c r="AX117" s="2" t="s">
        <v>1632</v>
      </c>
      <c r="AY117" s="2" t="s">
        <v>1633</v>
      </c>
      <c r="AZ117" s="2" t="s">
        <v>1633</v>
      </c>
      <c r="BA117" s="2" t="s">
        <v>1634</v>
      </c>
      <c r="BB117" s="2" t="s">
        <v>21</v>
      </c>
      <c r="BD117" s="2" t="s">
        <v>1635</v>
      </c>
      <c r="BE117" s="2" t="s">
        <v>1636</v>
      </c>
      <c r="BF117" s="2" t="s">
        <v>1637</v>
      </c>
    </row>
    <row r="118" spans="1:58" ht="39.75" customHeight="1" x14ac:dyDescent="0.25">
      <c r="A118" s="1"/>
      <c r="B118" s="1" t="s">
        <v>0</v>
      </c>
      <c r="C118" s="1" t="s">
        <v>1</v>
      </c>
      <c r="D118" s="1" t="s">
        <v>1638</v>
      </c>
      <c r="E118" s="1" t="s">
        <v>1639</v>
      </c>
      <c r="F118" s="1" t="s">
        <v>1640</v>
      </c>
      <c r="H118" s="2" t="s">
        <v>5</v>
      </c>
      <c r="I118" s="2" t="s">
        <v>6</v>
      </c>
      <c r="J118" s="2" t="s">
        <v>16</v>
      </c>
      <c r="K118" s="2" t="s">
        <v>5</v>
      </c>
      <c r="L118" s="2" t="s">
        <v>7</v>
      </c>
      <c r="M118" s="1" t="s">
        <v>1641</v>
      </c>
      <c r="N118" s="1" t="s">
        <v>1642</v>
      </c>
      <c r="O118" s="2" t="s">
        <v>486</v>
      </c>
      <c r="Q118" s="2" t="s">
        <v>11</v>
      </c>
      <c r="R118" s="2" t="s">
        <v>306</v>
      </c>
      <c r="T118" s="2" t="s">
        <v>1367</v>
      </c>
      <c r="U118" s="3">
        <v>4</v>
      </c>
      <c r="V118" s="3">
        <v>9</v>
      </c>
      <c r="W118" s="4" t="s">
        <v>1643</v>
      </c>
      <c r="X118" s="4" t="s">
        <v>1643</v>
      </c>
      <c r="Y118" s="4" t="s">
        <v>1644</v>
      </c>
      <c r="Z118" s="4" t="s">
        <v>1644</v>
      </c>
      <c r="AA118" s="3">
        <v>728</v>
      </c>
      <c r="AB118" s="3">
        <v>641</v>
      </c>
      <c r="AC118" s="3">
        <v>644</v>
      </c>
      <c r="AD118" s="3">
        <v>7</v>
      </c>
      <c r="AE118" s="7">
        <v>7</v>
      </c>
      <c r="AF118" s="7">
        <v>43</v>
      </c>
      <c r="AG118" s="7">
        <v>43</v>
      </c>
      <c r="AH118" s="3">
        <v>7</v>
      </c>
      <c r="AI118" s="3">
        <v>7</v>
      </c>
      <c r="AJ118" s="3">
        <v>6</v>
      </c>
      <c r="AK118" s="3">
        <v>6</v>
      </c>
      <c r="AL118" s="3">
        <v>11</v>
      </c>
      <c r="AM118" s="3">
        <v>11</v>
      </c>
      <c r="AN118" s="3">
        <v>3</v>
      </c>
      <c r="AO118" s="3">
        <v>3</v>
      </c>
      <c r="AP118" s="3">
        <v>21</v>
      </c>
      <c r="AQ118" s="3">
        <v>21</v>
      </c>
      <c r="AR118" s="2" t="s">
        <v>5</v>
      </c>
      <c r="AS118" s="2" t="s">
        <v>5</v>
      </c>
      <c r="AU118" s="5" t="str">
        <f>HYPERLINK("https://creighton-primo.hosted.exlibrisgroup.com/primo-explore/search?tab=default_tab&amp;search_scope=EVERYTHING&amp;vid=01CRU&amp;lang=en_US&amp;offset=0&amp;query=any,contains,991001624169702656","Catalog Record")</f>
        <v>Catalog Record</v>
      </c>
      <c r="AV118" s="5" t="str">
        <f>HYPERLINK("http://www.worldcat.org/oclc/8930032","WorldCat Record")</f>
        <v>WorldCat Record</v>
      </c>
      <c r="AW118" s="2" t="s">
        <v>1645</v>
      </c>
      <c r="AX118" s="2" t="s">
        <v>1646</v>
      </c>
      <c r="AY118" s="2" t="s">
        <v>1647</v>
      </c>
      <c r="AZ118" s="2" t="s">
        <v>1647</v>
      </c>
      <c r="BA118" s="2" t="s">
        <v>1648</v>
      </c>
      <c r="BB118" s="2" t="s">
        <v>21</v>
      </c>
      <c r="BD118" s="2" t="s">
        <v>1649</v>
      </c>
      <c r="BE118" s="2" t="s">
        <v>1650</v>
      </c>
      <c r="BF118" s="2" t="s">
        <v>1651</v>
      </c>
    </row>
    <row r="119" spans="1:58" ht="39.75" customHeight="1" x14ac:dyDescent="0.25">
      <c r="A119" s="1"/>
      <c r="B119" s="1" t="s">
        <v>0</v>
      </c>
      <c r="C119" s="1" t="s">
        <v>1</v>
      </c>
      <c r="D119" s="1" t="s">
        <v>1652</v>
      </c>
      <c r="E119" s="1" t="s">
        <v>1653</v>
      </c>
      <c r="F119" s="1" t="s">
        <v>1654</v>
      </c>
      <c r="H119" s="2" t="s">
        <v>5</v>
      </c>
      <c r="I119" s="2" t="s">
        <v>6</v>
      </c>
      <c r="J119" s="2" t="s">
        <v>5</v>
      </c>
      <c r="K119" s="2" t="s">
        <v>5</v>
      </c>
      <c r="L119" s="2" t="s">
        <v>7</v>
      </c>
      <c r="M119" s="1" t="s">
        <v>1655</v>
      </c>
      <c r="N119" s="1" t="s">
        <v>1656</v>
      </c>
      <c r="O119" s="2" t="s">
        <v>152</v>
      </c>
      <c r="Q119" s="2" t="s">
        <v>11</v>
      </c>
      <c r="R119" s="2" t="s">
        <v>76</v>
      </c>
      <c r="T119" s="2" t="s">
        <v>1367</v>
      </c>
      <c r="U119" s="3">
        <v>3</v>
      </c>
      <c r="V119" s="3">
        <v>3</v>
      </c>
      <c r="W119" s="4" t="s">
        <v>1657</v>
      </c>
      <c r="X119" s="4" t="s">
        <v>1657</v>
      </c>
      <c r="Y119" s="4" t="s">
        <v>1658</v>
      </c>
      <c r="Z119" s="4" t="s">
        <v>1658</v>
      </c>
      <c r="AA119" s="3">
        <v>178</v>
      </c>
      <c r="AB119" s="3">
        <v>170</v>
      </c>
      <c r="AC119" s="3">
        <v>177</v>
      </c>
      <c r="AD119" s="3">
        <v>3</v>
      </c>
      <c r="AE119" s="7">
        <v>3</v>
      </c>
      <c r="AF119" s="7">
        <v>8</v>
      </c>
      <c r="AG119" s="7">
        <v>8</v>
      </c>
      <c r="AH119" s="3">
        <v>2</v>
      </c>
      <c r="AI119" s="3">
        <v>2</v>
      </c>
      <c r="AJ119" s="3">
        <v>1</v>
      </c>
      <c r="AK119" s="3">
        <v>1</v>
      </c>
      <c r="AL119" s="3">
        <v>4</v>
      </c>
      <c r="AM119" s="3">
        <v>4</v>
      </c>
      <c r="AN119" s="3">
        <v>2</v>
      </c>
      <c r="AO119" s="3">
        <v>2</v>
      </c>
      <c r="AP119" s="3">
        <v>1</v>
      </c>
      <c r="AQ119" s="3">
        <v>1</v>
      </c>
      <c r="AR119" s="2" t="s">
        <v>5</v>
      </c>
      <c r="AS119" s="2" t="s">
        <v>5</v>
      </c>
      <c r="AU119" s="5" t="str">
        <f>HYPERLINK("https://creighton-primo.hosted.exlibrisgroup.com/primo-explore/search?tab=default_tab&amp;search_scope=EVERYTHING&amp;vid=01CRU&amp;lang=en_US&amp;offset=0&amp;query=any,contains,991001598469702656","Catalog Record")</f>
        <v>Catalog Record</v>
      </c>
      <c r="AV119" s="5" t="str">
        <f>HYPERLINK("http://www.worldcat.org/oclc/20632202","WorldCat Record")</f>
        <v>WorldCat Record</v>
      </c>
      <c r="AW119" s="2" t="s">
        <v>1659</v>
      </c>
      <c r="AX119" s="2" t="s">
        <v>1660</v>
      </c>
      <c r="AY119" s="2" t="s">
        <v>1661</v>
      </c>
      <c r="AZ119" s="2" t="s">
        <v>1661</v>
      </c>
      <c r="BA119" s="2" t="s">
        <v>1662</v>
      </c>
      <c r="BB119" s="2" t="s">
        <v>21</v>
      </c>
      <c r="BD119" s="2" t="s">
        <v>1663</v>
      </c>
      <c r="BE119" s="2" t="s">
        <v>1664</v>
      </c>
      <c r="BF119" s="2" t="s">
        <v>1665</v>
      </c>
    </row>
    <row r="120" spans="1:58" ht="39.75" customHeight="1" x14ac:dyDescent="0.25">
      <c r="A120" s="1"/>
      <c r="B120" s="1" t="s">
        <v>0</v>
      </c>
      <c r="C120" s="1" t="s">
        <v>1</v>
      </c>
      <c r="D120" s="1" t="s">
        <v>1666</v>
      </c>
      <c r="E120" s="1" t="s">
        <v>1667</v>
      </c>
      <c r="F120" s="1" t="s">
        <v>1668</v>
      </c>
      <c r="H120" s="2" t="s">
        <v>5</v>
      </c>
      <c r="I120" s="2" t="s">
        <v>6</v>
      </c>
      <c r="J120" s="2" t="s">
        <v>5</v>
      </c>
      <c r="K120" s="2" t="s">
        <v>5</v>
      </c>
      <c r="L120" s="2" t="s">
        <v>7</v>
      </c>
      <c r="M120" s="1" t="s">
        <v>1669</v>
      </c>
      <c r="N120" s="1" t="s">
        <v>1670</v>
      </c>
      <c r="O120" s="2" t="s">
        <v>169</v>
      </c>
      <c r="P120" s="1" t="s">
        <v>1671</v>
      </c>
      <c r="Q120" s="2" t="s">
        <v>11</v>
      </c>
      <c r="R120" s="2" t="s">
        <v>1672</v>
      </c>
      <c r="T120" s="2" t="s">
        <v>1367</v>
      </c>
      <c r="U120" s="3">
        <v>4</v>
      </c>
      <c r="V120" s="3">
        <v>4</v>
      </c>
      <c r="W120" s="4" t="s">
        <v>1673</v>
      </c>
      <c r="X120" s="4" t="s">
        <v>1673</v>
      </c>
      <c r="Y120" s="4" t="s">
        <v>1674</v>
      </c>
      <c r="Z120" s="4" t="s">
        <v>1674</v>
      </c>
      <c r="AA120" s="3">
        <v>209</v>
      </c>
      <c r="AB120" s="3">
        <v>176</v>
      </c>
      <c r="AC120" s="3">
        <v>654</v>
      </c>
      <c r="AD120" s="3">
        <v>2</v>
      </c>
      <c r="AE120" s="7">
        <v>3</v>
      </c>
      <c r="AF120" s="7">
        <v>16</v>
      </c>
      <c r="AG120" s="7">
        <v>43</v>
      </c>
      <c r="AH120" s="3">
        <v>5</v>
      </c>
      <c r="AI120" s="3">
        <v>15</v>
      </c>
      <c r="AJ120" s="3">
        <v>4</v>
      </c>
      <c r="AK120" s="3">
        <v>9</v>
      </c>
      <c r="AL120" s="3">
        <v>8</v>
      </c>
      <c r="AM120" s="3">
        <v>17</v>
      </c>
      <c r="AN120" s="3">
        <v>1</v>
      </c>
      <c r="AO120" s="3">
        <v>2</v>
      </c>
      <c r="AP120" s="3">
        <v>4</v>
      </c>
      <c r="AQ120" s="3">
        <v>10</v>
      </c>
      <c r="AR120" s="2" t="s">
        <v>5</v>
      </c>
      <c r="AS120" s="2" t="s">
        <v>16</v>
      </c>
      <c r="AT120" s="5" t="str">
        <f>HYPERLINK("http://catalog.hathitrust.org/Record/006225142","HathiTrust Record")</f>
        <v>HathiTrust Record</v>
      </c>
      <c r="AU120" s="5" t="str">
        <f>HYPERLINK("https://creighton-primo.hosted.exlibrisgroup.com/primo-explore/search?tab=default_tab&amp;search_scope=EVERYTHING&amp;vid=01CRU&amp;lang=en_US&amp;offset=0&amp;query=any,contains,991001627699702656","Catalog Record")</f>
        <v>Catalog Record</v>
      </c>
      <c r="AV120" s="5" t="str">
        <f>HYPERLINK("http://www.worldcat.org/oclc/20853696","WorldCat Record")</f>
        <v>WorldCat Record</v>
      </c>
      <c r="AW120" s="2" t="s">
        <v>1675</v>
      </c>
      <c r="AX120" s="2" t="s">
        <v>1676</v>
      </c>
      <c r="AY120" s="2" t="s">
        <v>1677</v>
      </c>
      <c r="AZ120" s="2" t="s">
        <v>1677</v>
      </c>
      <c r="BA120" s="2" t="s">
        <v>1678</v>
      </c>
      <c r="BB120" s="2" t="s">
        <v>21</v>
      </c>
      <c r="BD120" s="2" t="s">
        <v>1679</v>
      </c>
      <c r="BE120" s="2" t="s">
        <v>1680</v>
      </c>
      <c r="BF120" s="2" t="s">
        <v>1681</v>
      </c>
    </row>
    <row r="121" spans="1:58" ht="39.75" customHeight="1" x14ac:dyDescent="0.25">
      <c r="A121" s="1"/>
      <c r="B121" s="1" t="s">
        <v>0</v>
      </c>
      <c r="C121" s="1" t="s">
        <v>1</v>
      </c>
      <c r="D121" s="1" t="s">
        <v>1682</v>
      </c>
      <c r="E121" s="1" t="s">
        <v>1683</v>
      </c>
      <c r="F121" s="1" t="s">
        <v>1684</v>
      </c>
      <c r="H121" s="2" t="s">
        <v>5</v>
      </c>
      <c r="I121" s="2" t="s">
        <v>1685</v>
      </c>
      <c r="J121" s="2" t="s">
        <v>16</v>
      </c>
      <c r="K121" s="2" t="s">
        <v>16</v>
      </c>
      <c r="L121" s="2" t="s">
        <v>7</v>
      </c>
      <c r="M121" s="1" t="s">
        <v>1686</v>
      </c>
      <c r="N121" s="1" t="s">
        <v>1687</v>
      </c>
      <c r="O121" s="2" t="s">
        <v>152</v>
      </c>
      <c r="P121" s="1" t="s">
        <v>1688</v>
      </c>
      <c r="Q121" s="2" t="s">
        <v>11</v>
      </c>
      <c r="R121" s="2" t="s">
        <v>1483</v>
      </c>
      <c r="T121" s="2" t="s">
        <v>1367</v>
      </c>
      <c r="U121" s="3">
        <v>7</v>
      </c>
      <c r="V121" s="3">
        <v>13</v>
      </c>
      <c r="X121" s="4" t="s">
        <v>1689</v>
      </c>
      <c r="Y121" s="4" t="s">
        <v>1690</v>
      </c>
      <c r="Z121" s="4" t="s">
        <v>1691</v>
      </c>
      <c r="AA121" s="3">
        <v>1976</v>
      </c>
      <c r="AB121" s="3">
        <v>1797</v>
      </c>
      <c r="AC121" s="3">
        <v>3471</v>
      </c>
      <c r="AD121" s="3">
        <v>12</v>
      </c>
      <c r="AE121" s="7">
        <v>24</v>
      </c>
      <c r="AF121" s="7">
        <v>39</v>
      </c>
      <c r="AG121" s="7">
        <v>56</v>
      </c>
      <c r="AH121" s="3">
        <v>6</v>
      </c>
      <c r="AI121" s="3">
        <v>15</v>
      </c>
      <c r="AJ121" s="3">
        <v>2</v>
      </c>
      <c r="AK121" s="3">
        <v>6</v>
      </c>
      <c r="AL121" s="3">
        <v>9</v>
      </c>
      <c r="AM121" s="3">
        <v>18</v>
      </c>
      <c r="AN121" s="3">
        <v>1</v>
      </c>
      <c r="AO121" s="3">
        <v>2</v>
      </c>
      <c r="AP121" s="3">
        <v>24</v>
      </c>
      <c r="AQ121" s="3">
        <v>24</v>
      </c>
      <c r="AR121" s="2" t="s">
        <v>5</v>
      </c>
      <c r="AS121" s="2" t="s">
        <v>5</v>
      </c>
      <c r="AU121" s="5" t="str">
        <f>HYPERLINK("https://creighton-primo.hosted.exlibrisgroup.com/primo-explore/search?tab=default_tab&amp;search_scope=EVERYTHING&amp;vid=01CRU&amp;lang=en_US&amp;offset=0&amp;query=any,contains,991001645749702656","Catalog Record")</f>
        <v>Catalog Record</v>
      </c>
      <c r="AV121" s="5" t="str">
        <f>HYPERLINK("http://www.worldcat.org/oclc/21600991","WorldCat Record")</f>
        <v>WorldCat Record</v>
      </c>
      <c r="AW121" s="2" t="s">
        <v>1692</v>
      </c>
      <c r="AX121" s="2" t="s">
        <v>1693</v>
      </c>
      <c r="AY121" s="2" t="s">
        <v>1694</v>
      </c>
      <c r="AZ121" s="2" t="s">
        <v>1694</v>
      </c>
      <c r="BA121" s="2" t="s">
        <v>1695</v>
      </c>
      <c r="BB121" s="2" t="s">
        <v>21</v>
      </c>
      <c r="BD121" s="2" t="s">
        <v>1696</v>
      </c>
      <c r="BE121" s="2" t="s">
        <v>1697</v>
      </c>
      <c r="BF121" s="2" t="s">
        <v>1698</v>
      </c>
    </row>
    <row r="122" spans="1:58" ht="39.75" customHeight="1" x14ac:dyDescent="0.25">
      <c r="A122" s="1"/>
      <c r="B122" s="1" t="s">
        <v>0</v>
      </c>
      <c r="C122" s="1" t="s">
        <v>1</v>
      </c>
      <c r="D122" s="1" t="s">
        <v>1699</v>
      </c>
      <c r="E122" s="1" t="s">
        <v>1700</v>
      </c>
      <c r="F122" s="1" t="s">
        <v>1701</v>
      </c>
      <c r="H122" s="2" t="s">
        <v>5</v>
      </c>
      <c r="I122" s="2" t="s">
        <v>6</v>
      </c>
      <c r="J122" s="2" t="s">
        <v>5</v>
      </c>
      <c r="K122" s="2" t="s">
        <v>5</v>
      </c>
      <c r="L122" s="2" t="s">
        <v>7</v>
      </c>
      <c r="M122" s="1" t="s">
        <v>1702</v>
      </c>
      <c r="N122" s="1" t="s">
        <v>1703</v>
      </c>
      <c r="O122" s="2" t="s">
        <v>45</v>
      </c>
      <c r="Q122" s="2" t="s">
        <v>11</v>
      </c>
      <c r="R122" s="2" t="s">
        <v>76</v>
      </c>
      <c r="T122" s="2" t="s">
        <v>1367</v>
      </c>
      <c r="U122" s="3">
        <v>3</v>
      </c>
      <c r="V122" s="3">
        <v>3</v>
      </c>
      <c r="W122" s="4" t="s">
        <v>1704</v>
      </c>
      <c r="X122" s="4" t="s">
        <v>1704</v>
      </c>
      <c r="Y122" s="4" t="s">
        <v>1705</v>
      </c>
      <c r="Z122" s="4" t="s">
        <v>1705</v>
      </c>
      <c r="AA122" s="3">
        <v>110</v>
      </c>
      <c r="AB122" s="3">
        <v>93</v>
      </c>
      <c r="AC122" s="3">
        <v>93</v>
      </c>
      <c r="AD122" s="3">
        <v>1</v>
      </c>
      <c r="AE122" s="7">
        <v>1</v>
      </c>
      <c r="AF122" s="7">
        <v>4</v>
      </c>
      <c r="AG122" s="7">
        <v>4</v>
      </c>
      <c r="AH122" s="3">
        <v>0</v>
      </c>
      <c r="AI122" s="3">
        <v>0</v>
      </c>
      <c r="AJ122" s="3">
        <v>0</v>
      </c>
      <c r="AK122" s="3">
        <v>0</v>
      </c>
      <c r="AL122" s="3">
        <v>1</v>
      </c>
      <c r="AM122" s="3">
        <v>1</v>
      </c>
      <c r="AN122" s="3">
        <v>0</v>
      </c>
      <c r="AO122" s="3">
        <v>0</v>
      </c>
      <c r="AP122" s="3">
        <v>3</v>
      </c>
      <c r="AQ122" s="3">
        <v>3</v>
      </c>
      <c r="AR122" s="2" t="s">
        <v>5</v>
      </c>
      <c r="AS122" s="2" t="s">
        <v>5</v>
      </c>
      <c r="AU122" s="5" t="str">
        <f>HYPERLINK("https://creighton-primo.hosted.exlibrisgroup.com/primo-explore/search?tab=default_tab&amp;search_scope=EVERYTHING&amp;vid=01CRU&amp;lang=en_US&amp;offset=0&amp;query=any,contains,991000480049702656","Catalog Record")</f>
        <v>Catalog Record</v>
      </c>
      <c r="AV122" s="5" t="str">
        <f>HYPERLINK("http://www.worldcat.org/oclc/11045050","WorldCat Record")</f>
        <v>WorldCat Record</v>
      </c>
      <c r="AW122" s="2" t="s">
        <v>1706</v>
      </c>
      <c r="AX122" s="2" t="s">
        <v>1707</v>
      </c>
      <c r="AY122" s="2" t="s">
        <v>1708</v>
      </c>
      <c r="AZ122" s="2" t="s">
        <v>1708</v>
      </c>
      <c r="BA122" s="2" t="s">
        <v>1709</v>
      </c>
      <c r="BB122" s="2" t="s">
        <v>21</v>
      </c>
      <c r="BD122" s="2" t="s">
        <v>1710</v>
      </c>
      <c r="BE122" s="2" t="s">
        <v>1711</v>
      </c>
      <c r="BF122" s="2" t="s">
        <v>1712</v>
      </c>
    </row>
    <row r="123" spans="1:58" ht="39.75" customHeight="1" x14ac:dyDescent="0.25">
      <c r="A123" s="1"/>
      <c r="B123" s="1" t="s">
        <v>0</v>
      </c>
      <c r="C123" s="1" t="s">
        <v>1</v>
      </c>
      <c r="D123" s="1" t="s">
        <v>1713</v>
      </c>
      <c r="E123" s="1" t="s">
        <v>1714</v>
      </c>
      <c r="F123" s="1" t="s">
        <v>1715</v>
      </c>
      <c r="H123" s="2" t="s">
        <v>5</v>
      </c>
      <c r="I123" s="2" t="s">
        <v>6</v>
      </c>
      <c r="J123" s="2" t="s">
        <v>5</v>
      </c>
      <c r="K123" s="2" t="s">
        <v>5</v>
      </c>
      <c r="L123" s="2" t="s">
        <v>7</v>
      </c>
      <c r="M123" s="1" t="s">
        <v>1716</v>
      </c>
      <c r="N123" s="1" t="s">
        <v>1717</v>
      </c>
      <c r="O123" s="2" t="s">
        <v>152</v>
      </c>
      <c r="Q123" s="2" t="s">
        <v>11</v>
      </c>
      <c r="R123" s="2" t="s">
        <v>1483</v>
      </c>
      <c r="T123" s="2" t="s">
        <v>1367</v>
      </c>
      <c r="U123" s="3">
        <v>6</v>
      </c>
      <c r="V123" s="3">
        <v>6</v>
      </c>
      <c r="W123" s="4" t="s">
        <v>1718</v>
      </c>
      <c r="X123" s="4" t="s">
        <v>1718</v>
      </c>
      <c r="Y123" s="4" t="s">
        <v>1719</v>
      </c>
      <c r="Z123" s="4" t="s">
        <v>1719</v>
      </c>
      <c r="AA123" s="3">
        <v>119</v>
      </c>
      <c r="AB123" s="3">
        <v>107</v>
      </c>
      <c r="AC123" s="3">
        <v>347</v>
      </c>
      <c r="AD123" s="3">
        <v>1</v>
      </c>
      <c r="AE123" s="7">
        <v>1</v>
      </c>
      <c r="AF123" s="7">
        <v>7</v>
      </c>
      <c r="AG123" s="7">
        <v>11</v>
      </c>
      <c r="AH123" s="3">
        <v>3</v>
      </c>
      <c r="AI123" s="3">
        <v>4</v>
      </c>
      <c r="AJ123" s="3">
        <v>4</v>
      </c>
      <c r="AK123" s="3">
        <v>5</v>
      </c>
      <c r="AL123" s="3">
        <v>5</v>
      </c>
      <c r="AM123" s="3">
        <v>6</v>
      </c>
      <c r="AN123" s="3">
        <v>0</v>
      </c>
      <c r="AO123" s="3">
        <v>0</v>
      </c>
      <c r="AP123" s="3">
        <v>0</v>
      </c>
      <c r="AQ123" s="3">
        <v>1</v>
      </c>
      <c r="AR123" s="2" t="s">
        <v>5</v>
      </c>
      <c r="AS123" s="2" t="s">
        <v>16</v>
      </c>
      <c r="AT123" s="5" t="str">
        <f>HYPERLINK("http://catalog.hathitrust.org/Record/004497836","HathiTrust Record")</f>
        <v>HathiTrust Record</v>
      </c>
      <c r="AU123" s="5" t="str">
        <f>HYPERLINK("https://creighton-primo.hosted.exlibrisgroup.com/primo-explore/search?tab=default_tab&amp;search_scope=EVERYTHING&amp;vid=01CRU&amp;lang=en_US&amp;offset=0&amp;query=any,contains,991001620779702656","Catalog Record")</f>
        <v>Catalog Record</v>
      </c>
      <c r="AV123" s="5" t="str">
        <f>HYPERLINK("http://www.worldcat.org/oclc/20823760","WorldCat Record")</f>
        <v>WorldCat Record</v>
      </c>
      <c r="AW123" s="2" t="s">
        <v>1720</v>
      </c>
      <c r="AX123" s="2" t="s">
        <v>1721</v>
      </c>
      <c r="AY123" s="2" t="s">
        <v>1722</v>
      </c>
      <c r="AZ123" s="2" t="s">
        <v>1722</v>
      </c>
      <c r="BA123" s="2" t="s">
        <v>1723</v>
      </c>
      <c r="BB123" s="2" t="s">
        <v>21</v>
      </c>
      <c r="BD123" s="2" t="s">
        <v>1724</v>
      </c>
      <c r="BE123" s="2" t="s">
        <v>1725</v>
      </c>
      <c r="BF123" s="2" t="s">
        <v>1726</v>
      </c>
    </row>
    <row r="124" spans="1:58" ht="39.75" customHeight="1" x14ac:dyDescent="0.25">
      <c r="A124" s="1"/>
      <c r="B124" s="1" t="s">
        <v>0</v>
      </c>
      <c r="C124" s="1" t="s">
        <v>1</v>
      </c>
      <c r="D124" s="1" t="s">
        <v>1727</v>
      </c>
      <c r="E124" s="1" t="s">
        <v>1728</v>
      </c>
      <c r="F124" s="1" t="s">
        <v>1729</v>
      </c>
      <c r="H124" s="2" t="s">
        <v>5</v>
      </c>
      <c r="I124" s="2" t="s">
        <v>6</v>
      </c>
      <c r="J124" s="2" t="s">
        <v>5</v>
      </c>
      <c r="K124" s="2" t="s">
        <v>16</v>
      </c>
      <c r="L124" s="2" t="s">
        <v>7</v>
      </c>
      <c r="M124" s="1" t="s">
        <v>1730</v>
      </c>
      <c r="N124" s="1" t="s">
        <v>1731</v>
      </c>
      <c r="O124" s="2" t="s">
        <v>401</v>
      </c>
      <c r="Q124" s="2" t="s">
        <v>11</v>
      </c>
      <c r="R124" s="2" t="s">
        <v>76</v>
      </c>
      <c r="T124" s="2" t="s">
        <v>1367</v>
      </c>
      <c r="U124" s="3">
        <v>1</v>
      </c>
      <c r="V124" s="3">
        <v>1</v>
      </c>
      <c r="W124" s="4" t="s">
        <v>1732</v>
      </c>
      <c r="X124" s="4" t="s">
        <v>1732</v>
      </c>
      <c r="Y124" s="4" t="s">
        <v>1733</v>
      </c>
      <c r="Z124" s="4" t="s">
        <v>1733</v>
      </c>
      <c r="AA124" s="3">
        <v>211</v>
      </c>
      <c r="AB124" s="3">
        <v>187</v>
      </c>
      <c r="AC124" s="3">
        <v>726</v>
      </c>
      <c r="AD124" s="3">
        <v>2</v>
      </c>
      <c r="AE124" s="7">
        <v>6</v>
      </c>
      <c r="AF124" s="7">
        <v>19</v>
      </c>
      <c r="AG124" s="7">
        <v>51</v>
      </c>
      <c r="AH124" s="3">
        <v>6</v>
      </c>
      <c r="AI124" s="3">
        <v>12</v>
      </c>
      <c r="AJ124" s="3">
        <v>4</v>
      </c>
      <c r="AK124" s="3">
        <v>8</v>
      </c>
      <c r="AL124" s="3">
        <v>6</v>
      </c>
      <c r="AM124" s="3">
        <v>12</v>
      </c>
      <c r="AN124" s="3">
        <v>1</v>
      </c>
      <c r="AO124" s="3">
        <v>3</v>
      </c>
      <c r="AP124" s="3">
        <v>4</v>
      </c>
      <c r="AQ124" s="3">
        <v>22</v>
      </c>
      <c r="AR124" s="2" t="s">
        <v>5</v>
      </c>
      <c r="AS124" s="2" t="s">
        <v>16</v>
      </c>
      <c r="AT124" s="5" t="str">
        <f>HYPERLINK("http://catalog.hathitrust.org/Record/001430404","HathiTrust Record")</f>
        <v>HathiTrust Record</v>
      </c>
      <c r="AU124" s="5" t="str">
        <f>HYPERLINK("https://creighton-primo.hosted.exlibrisgroup.com/primo-explore/search?tab=default_tab&amp;search_scope=EVERYTHING&amp;vid=01CRU&amp;lang=en_US&amp;offset=0&amp;query=any,contains,991002778189702656","Catalog Record")</f>
        <v>Catalog Record</v>
      </c>
      <c r="AV124" s="5" t="str">
        <f>HYPERLINK("http://www.worldcat.org/oclc/439417","WorldCat Record")</f>
        <v>WorldCat Record</v>
      </c>
      <c r="AW124" s="2" t="s">
        <v>1734</v>
      </c>
      <c r="AX124" s="2" t="s">
        <v>1735</v>
      </c>
      <c r="AY124" s="2" t="s">
        <v>1736</v>
      </c>
      <c r="AZ124" s="2" t="s">
        <v>1736</v>
      </c>
      <c r="BA124" s="2" t="s">
        <v>1737</v>
      </c>
      <c r="BB124" s="2" t="s">
        <v>21</v>
      </c>
      <c r="BE124" s="2" t="s">
        <v>1738</v>
      </c>
      <c r="BF124" s="2" t="s">
        <v>1739</v>
      </c>
    </row>
    <row r="125" spans="1:58" ht="39.75" customHeight="1" x14ac:dyDescent="0.25">
      <c r="A125" s="1"/>
      <c r="B125" s="1" t="s">
        <v>0</v>
      </c>
      <c r="C125" s="1" t="s">
        <v>1</v>
      </c>
      <c r="D125" s="1" t="s">
        <v>1740</v>
      </c>
      <c r="E125" s="1" t="s">
        <v>1741</v>
      </c>
      <c r="F125" s="1" t="s">
        <v>1742</v>
      </c>
      <c r="H125" s="2" t="s">
        <v>5</v>
      </c>
      <c r="I125" s="2" t="s">
        <v>6</v>
      </c>
      <c r="J125" s="2" t="s">
        <v>5</v>
      </c>
      <c r="K125" s="2" t="s">
        <v>5</v>
      </c>
      <c r="L125" s="2" t="s">
        <v>7</v>
      </c>
      <c r="M125" s="1" t="s">
        <v>1743</v>
      </c>
      <c r="N125" s="1" t="s">
        <v>1744</v>
      </c>
      <c r="O125" s="2" t="s">
        <v>1745</v>
      </c>
      <c r="Q125" s="2" t="s">
        <v>11</v>
      </c>
      <c r="R125" s="2" t="s">
        <v>260</v>
      </c>
      <c r="S125" s="1" t="s">
        <v>1746</v>
      </c>
      <c r="T125" s="2" t="s">
        <v>1367</v>
      </c>
      <c r="U125" s="3">
        <v>4</v>
      </c>
      <c r="V125" s="3">
        <v>4</v>
      </c>
      <c r="W125" s="4" t="s">
        <v>1732</v>
      </c>
      <c r="X125" s="4" t="s">
        <v>1732</v>
      </c>
      <c r="Y125" s="4" t="s">
        <v>1747</v>
      </c>
      <c r="Z125" s="4" t="s">
        <v>1747</v>
      </c>
      <c r="AA125" s="3">
        <v>305</v>
      </c>
      <c r="AB125" s="3">
        <v>293</v>
      </c>
      <c r="AC125" s="3">
        <v>317</v>
      </c>
      <c r="AD125" s="3">
        <v>3</v>
      </c>
      <c r="AE125" s="7">
        <v>3</v>
      </c>
      <c r="AF125" s="7">
        <v>21</v>
      </c>
      <c r="AG125" s="7">
        <v>21</v>
      </c>
      <c r="AH125" s="3">
        <v>3</v>
      </c>
      <c r="AI125" s="3">
        <v>3</v>
      </c>
      <c r="AJ125" s="3">
        <v>3</v>
      </c>
      <c r="AK125" s="3">
        <v>3</v>
      </c>
      <c r="AL125" s="3">
        <v>2</v>
      </c>
      <c r="AM125" s="3">
        <v>2</v>
      </c>
      <c r="AN125" s="3">
        <v>2</v>
      </c>
      <c r="AO125" s="3">
        <v>2</v>
      </c>
      <c r="AP125" s="3">
        <v>13</v>
      </c>
      <c r="AQ125" s="3">
        <v>13</v>
      </c>
      <c r="AR125" s="2" t="s">
        <v>5</v>
      </c>
      <c r="AS125" s="2" t="s">
        <v>16</v>
      </c>
      <c r="AT125" s="5" t="str">
        <f>HYPERLINK("http://catalog.hathitrust.org/Record/004538760","HathiTrust Record")</f>
        <v>HathiTrust Record</v>
      </c>
      <c r="AU125" s="5" t="str">
        <f>HYPERLINK("https://creighton-primo.hosted.exlibrisgroup.com/primo-explore/search?tab=default_tab&amp;search_scope=EVERYTHING&amp;vid=01CRU&amp;lang=en_US&amp;offset=0&amp;query=any,contains,991002104739702656","Catalog Record")</f>
        <v>Catalog Record</v>
      </c>
      <c r="AV125" s="5" t="str">
        <f>HYPERLINK("http://www.worldcat.org/oclc/27011675","WorldCat Record")</f>
        <v>WorldCat Record</v>
      </c>
      <c r="AW125" s="2" t="s">
        <v>1748</v>
      </c>
      <c r="AX125" s="2" t="s">
        <v>1749</v>
      </c>
      <c r="AY125" s="2" t="s">
        <v>1750</v>
      </c>
      <c r="AZ125" s="2" t="s">
        <v>1750</v>
      </c>
      <c r="BA125" s="2" t="s">
        <v>1751</v>
      </c>
      <c r="BB125" s="2" t="s">
        <v>21</v>
      </c>
      <c r="BD125" s="2" t="s">
        <v>1752</v>
      </c>
      <c r="BE125" s="2" t="s">
        <v>1753</v>
      </c>
      <c r="BF125" s="2" t="s">
        <v>1754</v>
      </c>
    </row>
    <row r="126" spans="1:58" ht="39.75" customHeight="1" x14ac:dyDescent="0.25">
      <c r="A126" s="1"/>
      <c r="B126" s="1" t="s">
        <v>0</v>
      </c>
      <c r="C126" s="1" t="s">
        <v>1</v>
      </c>
      <c r="D126" s="1" t="s">
        <v>1755</v>
      </c>
      <c r="E126" s="1" t="s">
        <v>1756</v>
      </c>
      <c r="F126" s="1" t="s">
        <v>1757</v>
      </c>
      <c r="H126" s="2" t="s">
        <v>5</v>
      </c>
      <c r="I126" s="2" t="s">
        <v>6</v>
      </c>
      <c r="J126" s="2" t="s">
        <v>5</v>
      </c>
      <c r="K126" s="2" t="s">
        <v>5</v>
      </c>
      <c r="L126" s="2" t="s">
        <v>7</v>
      </c>
      <c r="M126" s="1" t="s">
        <v>1758</v>
      </c>
      <c r="N126" s="1" t="s">
        <v>1759</v>
      </c>
      <c r="O126" s="2" t="s">
        <v>152</v>
      </c>
      <c r="Q126" s="2" t="s">
        <v>11</v>
      </c>
      <c r="R126" s="2" t="s">
        <v>153</v>
      </c>
      <c r="S126" s="1" t="s">
        <v>1760</v>
      </c>
      <c r="T126" s="2" t="s">
        <v>1367</v>
      </c>
      <c r="U126" s="3">
        <v>17</v>
      </c>
      <c r="V126" s="3">
        <v>17</v>
      </c>
      <c r="W126" s="4" t="s">
        <v>1761</v>
      </c>
      <c r="X126" s="4" t="s">
        <v>1761</v>
      </c>
      <c r="Y126" s="4" t="s">
        <v>1762</v>
      </c>
      <c r="Z126" s="4" t="s">
        <v>1762</v>
      </c>
      <c r="AA126" s="3">
        <v>485</v>
      </c>
      <c r="AB126" s="3">
        <v>439</v>
      </c>
      <c r="AC126" s="3">
        <v>468</v>
      </c>
      <c r="AD126" s="3">
        <v>6</v>
      </c>
      <c r="AE126" s="7">
        <v>6</v>
      </c>
      <c r="AF126" s="7">
        <v>31</v>
      </c>
      <c r="AG126" s="7">
        <v>32</v>
      </c>
      <c r="AH126" s="3">
        <v>13</v>
      </c>
      <c r="AI126" s="3">
        <v>13</v>
      </c>
      <c r="AJ126" s="3">
        <v>4</v>
      </c>
      <c r="AK126" s="3">
        <v>4</v>
      </c>
      <c r="AL126" s="3">
        <v>9</v>
      </c>
      <c r="AM126" s="3">
        <v>9</v>
      </c>
      <c r="AN126" s="3">
        <v>5</v>
      </c>
      <c r="AO126" s="3">
        <v>5</v>
      </c>
      <c r="AP126" s="3">
        <v>7</v>
      </c>
      <c r="AQ126" s="3">
        <v>8</v>
      </c>
      <c r="AR126" s="2" t="s">
        <v>5</v>
      </c>
      <c r="AS126" s="2" t="s">
        <v>5</v>
      </c>
      <c r="AU126" s="5" t="str">
        <f>HYPERLINK("https://creighton-primo.hosted.exlibrisgroup.com/primo-explore/search?tab=default_tab&amp;search_scope=EVERYTHING&amp;vid=01CRU&amp;lang=en_US&amp;offset=0&amp;query=any,contains,991001520449702656","Catalog Record")</f>
        <v>Catalog Record</v>
      </c>
      <c r="AV126" s="5" t="str">
        <f>HYPERLINK("http://www.worldcat.org/oclc/19975495","WorldCat Record")</f>
        <v>WorldCat Record</v>
      </c>
      <c r="AW126" s="2" t="s">
        <v>1763</v>
      </c>
      <c r="AX126" s="2" t="s">
        <v>1764</v>
      </c>
      <c r="AY126" s="2" t="s">
        <v>1765</v>
      </c>
      <c r="AZ126" s="2" t="s">
        <v>1765</v>
      </c>
      <c r="BA126" s="2" t="s">
        <v>1766</v>
      </c>
      <c r="BB126" s="2" t="s">
        <v>21</v>
      </c>
      <c r="BD126" s="2" t="s">
        <v>1767</v>
      </c>
      <c r="BE126" s="2" t="s">
        <v>1768</v>
      </c>
      <c r="BF126" s="2" t="s">
        <v>1769</v>
      </c>
    </row>
    <row r="127" spans="1:58" ht="39.75" customHeight="1" x14ac:dyDescent="0.25">
      <c r="A127" s="1"/>
      <c r="B127" s="1" t="s">
        <v>0</v>
      </c>
      <c r="C127" s="1" t="s">
        <v>1</v>
      </c>
      <c r="D127" s="1" t="s">
        <v>1770</v>
      </c>
      <c r="E127" s="1" t="s">
        <v>1771</v>
      </c>
      <c r="F127" s="1" t="s">
        <v>1772</v>
      </c>
      <c r="H127" s="2" t="s">
        <v>5</v>
      </c>
      <c r="I127" s="2" t="s">
        <v>6</v>
      </c>
      <c r="J127" s="2" t="s">
        <v>5</v>
      </c>
      <c r="K127" s="2" t="s">
        <v>5</v>
      </c>
      <c r="L127" s="2" t="s">
        <v>7</v>
      </c>
      <c r="M127" s="1" t="s">
        <v>1773</v>
      </c>
      <c r="N127" s="1" t="s">
        <v>1774</v>
      </c>
      <c r="O127" s="2" t="s">
        <v>401</v>
      </c>
      <c r="Q127" s="2" t="s">
        <v>11</v>
      </c>
      <c r="R127" s="2" t="s">
        <v>76</v>
      </c>
      <c r="T127" s="2" t="s">
        <v>1367</v>
      </c>
      <c r="U127" s="3">
        <v>1</v>
      </c>
      <c r="V127" s="3">
        <v>1</v>
      </c>
      <c r="W127" s="4" t="s">
        <v>1775</v>
      </c>
      <c r="X127" s="4" t="s">
        <v>1775</v>
      </c>
      <c r="Y127" s="4" t="s">
        <v>1073</v>
      </c>
      <c r="Z127" s="4" t="s">
        <v>1073</v>
      </c>
      <c r="AA127" s="3">
        <v>228</v>
      </c>
      <c r="AB127" s="3">
        <v>202</v>
      </c>
      <c r="AC127" s="3">
        <v>296</v>
      </c>
      <c r="AD127" s="3">
        <v>1</v>
      </c>
      <c r="AE127" s="7">
        <v>1</v>
      </c>
      <c r="AF127" s="7">
        <v>11</v>
      </c>
      <c r="AG127" s="7">
        <v>17</v>
      </c>
      <c r="AH127" s="3">
        <v>3</v>
      </c>
      <c r="AI127" s="3">
        <v>3</v>
      </c>
      <c r="AJ127" s="3">
        <v>2</v>
      </c>
      <c r="AK127" s="3">
        <v>2</v>
      </c>
      <c r="AL127" s="3">
        <v>2</v>
      </c>
      <c r="AM127" s="3">
        <v>2</v>
      </c>
      <c r="AN127" s="3">
        <v>0</v>
      </c>
      <c r="AO127" s="3">
        <v>0</v>
      </c>
      <c r="AP127" s="3">
        <v>5</v>
      </c>
      <c r="AQ127" s="3">
        <v>11</v>
      </c>
      <c r="AR127" s="2" t="s">
        <v>5</v>
      </c>
      <c r="AS127" s="2" t="s">
        <v>16</v>
      </c>
      <c r="AT127" s="5" t="str">
        <f>HYPERLINK("http://catalog.hathitrust.org/Record/009911819","HathiTrust Record")</f>
        <v>HathiTrust Record</v>
      </c>
      <c r="AU127" s="5" t="str">
        <f>HYPERLINK("https://creighton-primo.hosted.exlibrisgroup.com/primo-explore/search?tab=default_tab&amp;search_scope=EVERYTHING&amp;vid=01CRU&amp;lang=en_US&amp;offset=0&amp;query=any,contains,991002808979702656","Catalog Record")</f>
        <v>Catalog Record</v>
      </c>
      <c r="AV127" s="5" t="str">
        <f>HYPERLINK("http://www.worldcat.org/oclc/451595","WorldCat Record")</f>
        <v>WorldCat Record</v>
      </c>
      <c r="AW127" s="2" t="s">
        <v>1776</v>
      </c>
      <c r="AX127" s="2" t="s">
        <v>1777</v>
      </c>
      <c r="AY127" s="2" t="s">
        <v>1778</v>
      </c>
      <c r="AZ127" s="2" t="s">
        <v>1778</v>
      </c>
      <c r="BA127" s="2" t="s">
        <v>1779</v>
      </c>
      <c r="BB127" s="2" t="s">
        <v>21</v>
      </c>
      <c r="BE127" s="2" t="s">
        <v>1780</v>
      </c>
      <c r="BF127" s="2" t="s">
        <v>1781</v>
      </c>
    </row>
    <row r="128" spans="1:58" ht="39.75" customHeight="1" x14ac:dyDescent="0.25">
      <c r="A128" s="1"/>
      <c r="B128" s="1" t="s">
        <v>0</v>
      </c>
      <c r="C128" s="1" t="s">
        <v>1</v>
      </c>
      <c r="D128" s="1" t="s">
        <v>1782</v>
      </c>
      <c r="E128" s="1" t="s">
        <v>1783</v>
      </c>
      <c r="F128" s="1" t="s">
        <v>1784</v>
      </c>
      <c r="H128" s="2" t="s">
        <v>5</v>
      </c>
      <c r="I128" s="2" t="s">
        <v>6</v>
      </c>
      <c r="J128" s="2" t="s">
        <v>5</v>
      </c>
      <c r="K128" s="2" t="s">
        <v>5</v>
      </c>
      <c r="L128" s="2" t="s">
        <v>7</v>
      </c>
      <c r="M128" s="1" t="s">
        <v>1785</v>
      </c>
      <c r="N128" s="1" t="s">
        <v>1786</v>
      </c>
      <c r="O128" s="2" t="s">
        <v>1787</v>
      </c>
      <c r="Q128" s="2" t="s">
        <v>11</v>
      </c>
      <c r="R128" s="2" t="s">
        <v>501</v>
      </c>
      <c r="T128" s="2" t="s">
        <v>1367</v>
      </c>
      <c r="U128" s="3">
        <v>2</v>
      </c>
      <c r="V128" s="3">
        <v>2</v>
      </c>
      <c r="W128" s="4" t="s">
        <v>1775</v>
      </c>
      <c r="X128" s="4" t="s">
        <v>1775</v>
      </c>
      <c r="Y128" s="4" t="s">
        <v>1788</v>
      </c>
      <c r="Z128" s="4" t="s">
        <v>1788</v>
      </c>
      <c r="AA128" s="3">
        <v>216</v>
      </c>
      <c r="AB128" s="3">
        <v>195</v>
      </c>
      <c r="AC128" s="3">
        <v>366</v>
      </c>
      <c r="AD128" s="3">
        <v>1</v>
      </c>
      <c r="AE128" s="7">
        <v>2</v>
      </c>
      <c r="AF128" s="7">
        <v>12</v>
      </c>
      <c r="AG128" s="7">
        <v>20</v>
      </c>
      <c r="AH128" s="3">
        <v>4</v>
      </c>
      <c r="AI128" s="3">
        <v>8</v>
      </c>
      <c r="AJ128" s="3">
        <v>3</v>
      </c>
      <c r="AK128" s="3">
        <v>4</v>
      </c>
      <c r="AL128" s="3">
        <v>7</v>
      </c>
      <c r="AM128" s="3">
        <v>10</v>
      </c>
      <c r="AN128" s="3">
        <v>0</v>
      </c>
      <c r="AO128" s="3">
        <v>1</v>
      </c>
      <c r="AP128" s="3">
        <v>1</v>
      </c>
      <c r="AQ128" s="3">
        <v>3</v>
      </c>
      <c r="AR128" s="2" t="s">
        <v>16</v>
      </c>
      <c r="AS128" s="2" t="s">
        <v>5</v>
      </c>
      <c r="AT128" s="5" t="str">
        <f>HYPERLINK("http://catalog.hathitrust.org/Record/001287282","HathiTrust Record")</f>
        <v>HathiTrust Record</v>
      </c>
      <c r="AU128" s="5" t="str">
        <f>HYPERLINK("https://creighton-primo.hosted.exlibrisgroup.com/primo-explore/search?tab=default_tab&amp;search_scope=EVERYTHING&amp;vid=01CRU&amp;lang=en_US&amp;offset=0&amp;query=any,contains,991002723629702656","Catalog Record")</f>
        <v>Catalog Record</v>
      </c>
      <c r="AV128" s="5" t="str">
        <f>HYPERLINK("http://www.worldcat.org/oclc/413654","WorldCat Record")</f>
        <v>WorldCat Record</v>
      </c>
      <c r="AW128" s="2" t="s">
        <v>1789</v>
      </c>
      <c r="AX128" s="2" t="s">
        <v>1790</v>
      </c>
      <c r="AY128" s="2" t="s">
        <v>1791</v>
      </c>
      <c r="AZ128" s="2" t="s">
        <v>1791</v>
      </c>
      <c r="BA128" s="2" t="s">
        <v>1792</v>
      </c>
      <c r="BB128" s="2" t="s">
        <v>21</v>
      </c>
      <c r="BE128" s="2" t="s">
        <v>1793</v>
      </c>
      <c r="BF128" s="2" t="s">
        <v>1794</v>
      </c>
    </row>
    <row r="129" spans="1:58" ht="39.75" customHeight="1" x14ac:dyDescent="0.25">
      <c r="A129" s="1"/>
      <c r="B129" s="1" t="s">
        <v>0</v>
      </c>
      <c r="C129" s="1" t="s">
        <v>1</v>
      </c>
      <c r="D129" s="1" t="s">
        <v>1795</v>
      </c>
      <c r="E129" s="1" t="s">
        <v>1796</v>
      </c>
      <c r="F129" s="1" t="s">
        <v>1797</v>
      </c>
      <c r="H129" s="2" t="s">
        <v>5</v>
      </c>
      <c r="I129" s="2" t="s">
        <v>6</v>
      </c>
      <c r="J129" s="2" t="s">
        <v>5</v>
      </c>
      <c r="K129" s="2" t="s">
        <v>5</v>
      </c>
      <c r="L129" s="2" t="s">
        <v>7</v>
      </c>
      <c r="M129" s="1" t="s">
        <v>1798</v>
      </c>
      <c r="N129" s="1" t="s">
        <v>1799</v>
      </c>
      <c r="O129" s="2" t="s">
        <v>75</v>
      </c>
      <c r="Q129" s="2" t="s">
        <v>11</v>
      </c>
      <c r="R129" s="2" t="s">
        <v>153</v>
      </c>
      <c r="T129" s="2" t="s">
        <v>1367</v>
      </c>
      <c r="U129" s="3">
        <v>3</v>
      </c>
      <c r="V129" s="3">
        <v>3</v>
      </c>
      <c r="W129" s="4" t="s">
        <v>1775</v>
      </c>
      <c r="X129" s="4" t="s">
        <v>1775</v>
      </c>
      <c r="Y129" s="4" t="s">
        <v>1800</v>
      </c>
      <c r="Z129" s="4" t="s">
        <v>1800</v>
      </c>
      <c r="AA129" s="3">
        <v>285</v>
      </c>
      <c r="AB129" s="3">
        <v>220</v>
      </c>
      <c r="AC129" s="3">
        <v>222</v>
      </c>
      <c r="AD129" s="3">
        <v>4</v>
      </c>
      <c r="AE129" s="7">
        <v>4</v>
      </c>
      <c r="AF129" s="7">
        <v>15</v>
      </c>
      <c r="AG129" s="7">
        <v>15</v>
      </c>
      <c r="AH129" s="3">
        <v>4</v>
      </c>
      <c r="AI129" s="3">
        <v>4</v>
      </c>
      <c r="AJ129" s="3">
        <v>0</v>
      </c>
      <c r="AK129" s="3">
        <v>0</v>
      </c>
      <c r="AL129" s="3">
        <v>4</v>
      </c>
      <c r="AM129" s="3">
        <v>4</v>
      </c>
      <c r="AN129" s="3">
        <v>3</v>
      </c>
      <c r="AO129" s="3">
        <v>3</v>
      </c>
      <c r="AP129" s="3">
        <v>6</v>
      </c>
      <c r="AQ129" s="3">
        <v>6</v>
      </c>
      <c r="AR129" s="2" t="s">
        <v>5</v>
      </c>
      <c r="AS129" s="2" t="s">
        <v>16</v>
      </c>
      <c r="AT129" s="5" t="str">
        <f>HYPERLINK("http://catalog.hathitrust.org/Record/004508437","HathiTrust Record")</f>
        <v>HathiTrust Record</v>
      </c>
      <c r="AU129" s="5" t="str">
        <f>HYPERLINK("https://creighton-primo.hosted.exlibrisgroup.com/primo-explore/search?tab=default_tab&amp;search_scope=EVERYTHING&amp;vid=01CRU&amp;lang=en_US&amp;offset=0&amp;query=any,contains,991000834869702656","Catalog Record")</f>
        <v>Catalog Record</v>
      </c>
      <c r="AV129" s="5" t="str">
        <f>HYPERLINK("http://www.worldcat.org/oclc/148458","WorldCat Record")</f>
        <v>WorldCat Record</v>
      </c>
      <c r="AW129" s="2" t="s">
        <v>1801</v>
      </c>
      <c r="AX129" s="2" t="s">
        <v>1802</v>
      </c>
      <c r="AY129" s="2" t="s">
        <v>1803</v>
      </c>
      <c r="AZ129" s="2" t="s">
        <v>1803</v>
      </c>
      <c r="BA129" s="2" t="s">
        <v>1804</v>
      </c>
      <c r="BB129" s="2" t="s">
        <v>21</v>
      </c>
      <c r="BD129" s="2" t="s">
        <v>1805</v>
      </c>
      <c r="BE129" s="2" t="s">
        <v>1806</v>
      </c>
      <c r="BF129" s="2" t="s">
        <v>1807</v>
      </c>
    </row>
    <row r="130" spans="1:58" ht="39.75" customHeight="1" x14ac:dyDescent="0.25">
      <c r="A130" s="1"/>
      <c r="B130" s="1" t="s">
        <v>0</v>
      </c>
      <c r="C130" s="1" t="s">
        <v>1</v>
      </c>
      <c r="D130" s="1" t="s">
        <v>1808</v>
      </c>
      <c r="E130" s="1" t="s">
        <v>1809</v>
      </c>
      <c r="F130" s="1" t="s">
        <v>1810</v>
      </c>
      <c r="H130" s="2" t="s">
        <v>5</v>
      </c>
      <c r="I130" s="2" t="s">
        <v>6</v>
      </c>
      <c r="J130" s="2" t="s">
        <v>5</v>
      </c>
      <c r="K130" s="2" t="s">
        <v>5</v>
      </c>
      <c r="L130" s="2" t="s">
        <v>7</v>
      </c>
      <c r="M130" s="1" t="s">
        <v>1811</v>
      </c>
      <c r="N130" s="1" t="s">
        <v>1812</v>
      </c>
      <c r="O130" s="2" t="s">
        <v>152</v>
      </c>
      <c r="P130" s="1" t="s">
        <v>340</v>
      </c>
      <c r="Q130" s="2" t="s">
        <v>11</v>
      </c>
      <c r="R130" s="2" t="s">
        <v>76</v>
      </c>
      <c r="S130" s="1" t="s">
        <v>1813</v>
      </c>
      <c r="T130" s="2" t="s">
        <v>1367</v>
      </c>
      <c r="U130" s="3">
        <v>13</v>
      </c>
      <c r="V130" s="3">
        <v>13</v>
      </c>
      <c r="W130" s="4" t="s">
        <v>1814</v>
      </c>
      <c r="X130" s="4" t="s">
        <v>1814</v>
      </c>
      <c r="Y130" s="4" t="s">
        <v>1815</v>
      </c>
      <c r="Z130" s="4" t="s">
        <v>1815</v>
      </c>
      <c r="AA130" s="3">
        <v>284</v>
      </c>
      <c r="AB130" s="3">
        <v>259</v>
      </c>
      <c r="AC130" s="3">
        <v>649</v>
      </c>
      <c r="AD130" s="3">
        <v>3</v>
      </c>
      <c r="AE130" s="7">
        <v>5</v>
      </c>
      <c r="AF130" s="7">
        <v>23</v>
      </c>
      <c r="AG130" s="7">
        <v>47</v>
      </c>
      <c r="AH130" s="3">
        <v>2</v>
      </c>
      <c r="AI130" s="3">
        <v>12</v>
      </c>
      <c r="AJ130" s="3">
        <v>5</v>
      </c>
      <c r="AK130" s="3">
        <v>6</v>
      </c>
      <c r="AL130" s="3">
        <v>5</v>
      </c>
      <c r="AM130" s="3">
        <v>13</v>
      </c>
      <c r="AN130" s="3">
        <v>2</v>
      </c>
      <c r="AO130" s="3">
        <v>3</v>
      </c>
      <c r="AP130" s="3">
        <v>11</v>
      </c>
      <c r="AQ130" s="3">
        <v>21</v>
      </c>
      <c r="AR130" s="2" t="s">
        <v>5</v>
      </c>
      <c r="AS130" s="2" t="s">
        <v>5</v>
      </c>
      <c r="AU130" s="5" t="str">
        <f>HYPERLINK("https://creighton-primo.hosted.exlibrisgroup.com/primo-explore/search?tab=default_tab&amp;search_scope=EVERYTHING&amp;vid=01CRU&amp;lang=en_US&amp;offset=0&amp;query=any,contains,991001717829702656","Catalog Record")</f>
        <v>Catalog Record</v>
      </c>
      <c r="AV130" s="5" t="str">
        <f>HYPERLINK("http://www.worldcat.org/oclc/21721436","WorldCat Record")</f>
        <v>WorldCat Record</v>
      </c>
      <c r="AW130" s="2" t="s">
        <v>1816</v>
      </c>
      <c r="AX130" s="2" t="s">
        <v>1817</v>
      </c>
      <c r="AY130" s="2" t="s">
        <v>1818</v>
      </c>
      <c r="AZ130" s="2" t="s">
        <v>1818</v>
      </c>
      <c r="BA130" s="2" t="s">
        <v>1819</v>
      </c>
      <c r="BB130" s="2" t="s">
        <v>21</v>
      </c>
      <c r="BD130" s="2" t="s">
        <v>1820</v>
      </c>
      <c r="BE130" s="2" t="s">
        <v>1821</v>
      </c>
      <c r="BF130" s="2" t="s">
        <v>1822</v>
      </c>
    </row>
    <row r="131" spans="1:58" ht="39.75" customHeight="1" x14ac:dyDescent="0.25">
      <c r="A131" s="1"/>
      <c r="B131" s="1" t="s">
        <v>0</v>
      </c>
      <c r="C131" s="1" t="s">
        <v>1</v>
      </c>
      <c r="D131" s="1" t="s">
        <v>1823</v>
      </c>
      <c r="E131" s="1" t="s">
        <v>1824</v>
      </c>
      <c r="F131" s="1" t="s">
        <v>1825</v>
      </c>
      <c r="H131" s="2" t="s">
        <v>5</v>
      </c>
      <c r="I131" s="2" t="s">
        <v>6</v>
      </c>
      <c r="J131" s="2" t="s">
        <v>16</v>
      </c>
      <c r="K131" s="2" t="s">
        <v>5</v>
      </c>
      <c r="L131" s="2" t="s">
        <v>7</v>
      </c>
      <c r="M131" s="1" t="s">
        <v>1826</v>
      </c>
      <c r="N131" s="1" t="s">
        <v>1827</v>
      </c>
      <c r="O131" s="2" t="s">
        <v>836</v>
      </c>
      <c r="Q131" s="2" t="s">
        <v>11</v>
      </c>
      <c r="R131" s="2" t="s">
        <v>306</v>
      </c>
      <c r="T131" s="2" t="s">
        <v>1367</v>
      </c>
      <c r="U131" s="3">
        <v>1</v>
      </c>
      <c r="V131" s="3">
        <v>1</v>
      </c>
      <c r="W131" s="4" t="s">
        <v>1775</v>
      </c>
      <c r="X131" s="4" t="s">
        <v>1775</v>
      </c>
      <c r="Y131" s="4" t="s">
        <v>1828</v>
      </c>
      <c r="Z131" s="4" t="s">
        <v>1828</v>
      </c>
      <c r="AA131" s="3">
        <v>725</v>
      </c>
      <c r="AB131" s="3">
        <v>623</v>
      </c>
      <c r="AC131" s="3">
        <v>625</v>
      </c>
      <c r="AD131" s="3">
        <v>5</v>
      </c>
      <c r="AE131" s="7">
        <v>5</v>
      </c>
      <c r="AF131" s="7">
        <v>39</v>
      </c>
      <c r="AG131" s="7">
        <v>39</v>
      </c>
      <c r="AH131" s="3">
        <v>8</v>
      </c>
      <c r="AI131" s="3">
        <v>8</v>
      </c>
      <c r="AJ131" s="3">
        <v>5</v>
      </c>
      <c r="AK131" s="3">
        <v>5</v>
      </c>
      <c r="AL131" s="3">
        <v>13</v>
      </c>
      <c r="AM131" s="3">
        <v>13</v>
      </c>
      <c r="AN131" s="3">
        <v>3</v>
      </c>
      <c r="AO131" s="3">
        <v>3</v>
      </c>
      <c r="AP131" s="3">
        <v>17</v>
      </c>
      <c r="AQ131" s="3">
        <v>17</v>
      </c>
      <c r="AR131" s="2" t="s">
        <v>5</v>
      </c>
      <c r="AS131" s="2" t="s">
        <v>5</v>
      </c>
      <c r="AU131" s="5" t="str">
        <f>HYPERLINK("https://creighton-primo.hosted.exlibrisgroup.com/primo-explore/search?tab=default_tab&amp;search_scope=EVERYTHING&amp;vid=01CRU&amp;lang=en_US&amp;offset=0&amp;query=any,contains,991001764299702656","Catalog Record")</f>
        <v>Catalog Record</v>
      </c>
      <c r="AV131" s="5" t="str">
        <f>HYPERLINK("http://www.worldcat.org/oclc/2502726","WorldCat Record")</f>
        <v>WorldCat Record</v>
      </c>
      <c r="AW131" s="2" t="s">
        <v>1829</v>
      </c>
      <c r="AX131" s="2" t="s">
        <v>1830</v>
      </c>
      <c r="AY131" s="2" t="s">
        <v>1831</v>
      </c>
      <c r="AZ131" s="2" t="s">
        <v>1831</v>
      </c>
      <c r="BA131" s="2" t="s">
        <v>1832</v>
      </c>
      <c r="BB131" s="2" t="s">
        <v>21</v>
      </c>
      <c r="BD131" s="2" t="s">
        <v>1833</v>
      </c>
      <c r="BE131" s="2" t="s">
        <v>1834</v>
      </c>
      <c r="BF131" s="2" t="s">
        <v>1835</v>
      </c>
    </row>
    <row r="132" spans="1:58" ht="39.75" customHeight="1" x14ac:dyDescent="0.25">
      <c r="A132" s="1"/>
      <c r="B132" s="1" t="s">
        <v>0</v>
      </c>
      <c r="C132" s="1" t="s">
        <v>1</v>
      </c>
      <c r="D132" s="1" t="s">
        <v>1836</v>
      </c>
      <c r="E132" s="1" t="s">
        <v>1837</v>
      </c>
      <c r="F132" s="1" t="s">
        <v>1838</v>
      </c>
      <c r="H132" s="2" t="s">
        <v>5</v>
      </c>
      <c r="I132" s="2" t="s">
        <v>6</v>
      </c>
      <c r="J132" s="2" t="s">
        <v>5</v>
      </c>
      <c r="K132" s="2" t="s">
        <v>5</v>
      </c>
      <c r="L132" s="2" t="s">
        <v>7</v>
      </c>
      <c r="M132" s="1" t="s">
        <v>1839</v>
      </c>
      <c r="N132" s="1" t="s">
        <v>1840</v>
      </c>
      <c r="O132" s="2" t="s">
        <v>228</v>
      </c>
      <c r="Q132" s="2" t="s">
        <v>11</v>
      </c>
      <c r="R132" s="2" t="s">
        <v>30</v>
      </c>
      <c r="T132" s="2" t="s">
        <v>1367</v>
      </c>
      <c r="U132" s="3">
        <v>17</v>
      </c>
      <c r="V132" s="3">
        <v>17</v>
      </c>
      <c r="W132" s="4" t="s">
        <v>1775</v>
      </c>
      <c r="X132" s="4" t="s">
        <v>1775</v>
      </c>
      <c r="Y132" s="4" t="s">
        <v>1841</v>
      </c>
      <c r="Z132" s="4" t="s">
        <v>1841</v>
      </c>
      <c r="AA132" s="3">
        <v>367</v>
      </c>
      <c r="AB132" s="3">
        <v>291</v>
      </c>
      <c r="AC132" s="3">
        <v>296</v>
      </c>
      <c r="AD132" s="3">
        <v>2</v>
      </c>
      <c r="AE132" s="7">
        <v>2</v>
      </c>
      <c r="AF132" s="7">
        <v>18</v>
      </c>
      <c r="AG132" s="7">
        <v>18</v>
      </c>
      <c r="AH132" s="3">
        <v>2</v>
      </c>
      <c r="AI132" s="3">
        <v>2</v>
      </c>
      <c r="AJ132" s="3">
        <v>3</v>
      </c>
      <c r="AK132" s="3">
        <v>3</v>
      </c>
      <c r="AL132" s="3">
        <v>7</v>
      </c>
      <c r="AM132" s="3">
        <v>7</v>
      </c>
      <c r="AN132" s="3">
        <v>1</v>
      </c>
      <c r="AO132" s="3">
        <v>1</v>
      </c>
      <c r="AP132" s="3">
        <v>9</v>
      </c>
      <c r="AQ132" s="3">
        <v>9</v>
      </c>
      <c r="AR132" s="2" t="s">
        <v>5</v>
      </c>
      <c r="AS132" s="2" t="s">
        <v>16</v>
      </c>
      <c r="AT132" s="5" t="str">
        <f>HYPERLINK("http://catalog.hathitrust.org/Record/001105761","HathiTrust Record")</f>
        <v>HathiTrust Record</v>
      </c>
      <c r="AU132" s="5" t="str">
        <f>HYPERLINK("https://creighton-primo.hosted.exlibrisgroup.com/primo-explore/search?tab=default_tab&amp;search_scope=EVERYTHING&amp;vid=01CRU&amp;lang=en_US&amp;offset=0&amp;query=any,contains,991001422559702656","Catalog Record")</f>
        <v>Catalog Record</v>
      </c>
      <c r="AV132" s="5" t="str">
        <f>HYPERLINK("http://www.worldcat.org/oclc/18983927","WorldCat Record")</f>
        <v>WorldCat Record</v>
      </c>
      <c r="AW132" s="2" t="s">
        <v>1842</v>
      </c>
      <c r="AX132" s="2" t="s">
        <v>1843</v>
      </c>
      <c r="AY132" s="2" t="s">
        <v>1844</v>
      </c>
      <c r="AZ132" s="2" t="s">
        <v>1844</v>
      </c>
      <c r="BA132" s="2" t="s">
        <v>1845</v>
      </c>
      <c r="BB132" s="2" t="s">
        <v>21</v>
      </c>
      <c r="BD132" s="2" t="s">
        <v>1846</v>
      </c>
      <c r="BE132" s="2" t="s">
        <v>1847</v>
      </c>
      <c r="BF132" s="2" t="s">
        <v>1848</v>
      </c>
    </row>
    <row r="133" spans="1:58" ht="39.75" customHeight="1" x14ac:dyDescent="0.25">
      <c r="A133" s="1"/>
      <c r="B133" s="1" t="s">
        <v>0</v>
      </c>
      <c r="C133" s="1" t="s">
        <v>1</v>
      </c>
      <c r="D133" s="1" t="s">
        <v>1849</v>
      </c>
      <c r="E133" s="1" t="s">
        <v>1850</v>
      </c>
      <c r="F133" s="1" t="s">
        <v>1851</v>
      </c>
      <c r="H133" s="2" t="s">
        <v>5</v>
      </c>
      <c r="I133" s="2" t="s">
        <v>6</v>
      </c>
      <c r="J133" s="2" t="s">
        <v>5</v>
      </c>
      <c r="K133" s="2" t="s">
        <v>5</v>
      </c>
      <c r="L133" s="2" t="s">
        <v>7</v>
      </c>
      <c r="M133" s="1" t="s">
        <v>1852</v>
      </c>
      <c r="N133" s="1" t="s">
        <v>1853</v>
      </c>
      <c r="O133" s="2" t="s">
        <v>29</v>
      </c>
      <c r="Q133" s="2" t="s">
        <v>11</v>
      </c>
      <c r="R133" s="2" t="s">
        <v>76</v>
      </c>
      <c r="T133" s="2" t="s">
        <v>1367</v>
      </c>
      <c r="U133" s="3">
        <v>7</v>
      </c>
      <c r="V133" s="3">
        <v>7</v>
      </c>
      <c r="W133" s="4" t="s">
        <v>1775</v>
      </c>
      <c r="X133" s="4" t="s">
        <v>1775</v>
      </c>
      <c r="Y133" s="4" t="s">
        <v>1705</v>
      </c>
      <c r="Z133" s="4" t="s">
        <v>1705</v>
      </c>
      <c r="AA133" s="3">
        <v>261</v>
      </c>
      <c r="AB133" s="3">
        <v>251</v>
      </c>
      <c r="AC133" s="3">
        <v>268</v>
      </c>
      <c r="AD133" s="3">
        <v>3</v>
      </c>
      <c r="AE133" s="7">
        <v>3</v>
      </c>
      <c r="AF133" s="7">
        <v>19</v>
      </c>
      <c r="AG133" s="7">
        <v>21</v>
      </c>
      <c r="AH133" s="3">
        <v>6</v>
      </c>
      <c r="AI133" s="3">
        <v>6</v>
      </c>
      <c r="AJ133" s="3">
        <v>3</v>
      </c>
      <c r="AK133" s="3">
        <v>4</v>
      </c>
      <c r="AL133" s="3">
        <v>9</v>
      </c>
      <c r="AM133" s="3">
        <v>9</v>
      </c>
      <c r="AN133" s="3">
        <v>2</v>
      </c>
      <c r="AO133" s="3">
        <v>2</v>
      </c>
      <c r="AP133" s="3">
        <v>5</v>
      </c>
      <c r="AQ133" s="3">
        <v>6</v>
      </c>
      <c r="AR133" s="2" t="s">
        <v>5</v>
      </c>
      <c r="AS133" s="2" t="s">
        <v>5</v>
      </c>
      <c r="AU133" s="5" t="str">
        <f>HYPERLINK("https://creighton-primo.hosted.exlibrisgroup.com/primo-explore/search?tab=default_tab&amp;search_scope=EVERYTHING&amp;vid=01CRU&amp;lang=en_US&amp;offset=0&amp;query=any,contains,991004984029702656","Catalog Record")</f>
        <v>Catalog Record</v>
      </c>
      <c r="AV133" s="5" t="str">
        <f>HYPERLINK("http://www.worldcat.org/oclc/6446597","WorldCat Record")</f>
        <v>WorldCat Record</v>
      </c>
      <c r="AW133" s="2" t="s">
        <v>1854</v>
      </c>
      <c r="AX133" s="2" t="s">
        <v>1855</v>
      </c>
      <c r="AY133" s="2" t="s">
        <v>1856</v>
      </c>
      <c r="AZ133" s="2" t="s">
        <v>1856</v>
      </c>
      <c r="BA133" s="2" t="s">
        <v>1857</v>
      </c>
      <c r="BB133" s="2" t="s">
        <v>21</v>
      </c>
      <c r="BD133" s="2" t="s">
        <v>1858</v>
      </c>
      <c r="BE133" s="2" t="s">
        <v>1859</v>
      </c>
      <c r="BF133" s="2" t="s">
        <v>1860</v>
      </c>
    </row>
    <row r="134" spans="1:58" ht="39.75" customHeight="1" x14ac:dyDescent="0.25">
      <c r="A134" s="1"/>
      <c r="B134" s="1" t="s">
        <v>0</v>
      </c>
      <c r="C134" s="1" t="s">
        <v>1</v>
      </c>
      <c r="D134" s="1" t="s">
        <v>1861</v>
      </c>
      <c r="E134" s="1" t="s">
        <v>1862</v>
      </c>
      <c r="F134" s="1" t="s">
        <v>1863</v>
      </c>
      <c r="H134" s="2" t="s">
        <v>5</v>
      </c>
      <c r="I134" s="2" t="s">
        <v>6</v>
      </c>
      <c r="J134" s="2" t="s">
        <v>5</v>
      </c>
      <c r="K134" s="2" t="s">
        <v>5</v>
      </c>
      <c r="L134" s="2" t="s">
        <v>7</v>
      </c>
      <c r="M134" s="1" t="s">
        <v>1864</v>
      </c>
      <c r="N134" s="1" t="s">
        <v>1865</v>
      </c>
      <c r="O134" s="2" t="s">
        <v>458</v>
      </c>
      <c r="Q134" s="2" t="s">
        <v>11</v>
      </c>
      <c r="R134" s="2" t="s">
        <v>76</v>
      </c>
      <c r="S134" s="1" t="s">
        <v>1866</v>
      </c>
      <c r="T134" s="2" t="s">
        <v>1367</v>
      </c>
      <c r="U134" s="3">
        <v>3</v>
      </c>
      <c r="V134" s="3">
        <v>3</v>
      </c>
      <c r="W134" s="4" t="s">
        <v>1775</v>
      </c>
      <c r="X134" s="4" t="s">
        <v>1775</v>
      </c>
      <c r="Y134" s="4" t="s">
        <v>1867</v>
      </c>
      <c r="Z134" s="4" t="s">
        <v>1867</v>
      </c>
      <c r="AA134" s="3">
        <v>136</v>
      </c>
      <c r="AB134" s="3">
        <v>123</v>
      </c>
      <c r="AC134" s="3">
        <v>425</v>
      </c>
      <c r="AD134" s="3">
        <v>1</v>
      </c>
      <c r="AE134" s="7">
        <v>3</v>
      </c>
      <c r="AF134" s="7">
        <v>4</v>
      </c>
      <c r="AG134" s="7">
        <v>20</v>
      </c>
      <c r="AH134" s="3">
        <v>1</v>
      </c>
      <c r="AI134" s="3">
        <v>3</v>
      </c>
      <c r="AJ134" s="3">
        <v>1</v>
      </c>
      <c r="AK134" s="3">
        <v>3</v>
      </c>
      <c r="AL134" s="3">
        <v>1</v>
      </c>
      <c r="AM134" s="3">
        <v>7</v>
      </c>
      <c r="AN134" s="3">
        <v>0</v>
      </c>
      <c r="AO134" s="3">
        <v>1</v>
      </c>
      <c r="AP134" s="3">
        <v>1</v>
      </c>
      <c r="AQ134" s="3">
        <v>9</v>
      </c>
      <c r="AR134" s="2" t="s">
        <v>5</v>
      </c>
      <c r="AS134" s="2" t="s">
        <v>5</v>
      </c>
      <c r="AU134" s="5" t="str">
        <f>HYPERLINK("https://creighton-primo.hosted.exlibrisgroup.com/primo-explore/search?tab=default_tab&amp;search_scope=EVERYTHING&amp;vid=01CRU&amp;lang=en_US&amp;offset=0&amp;query=any,contains,991002621389702656","Catalog Record")</f>
        <v>Catalog Record</v>
      </c>
      <c r="AV134" s="5" t="str">
        <f>HYPERLINK("http://www.worldcat.org/oclc/380640","WorldCat Record")</f>
        <v>WorldCat Record</v>
      </c>
      <c r="AW134" s="2" t="s">
        <v>1868</v>
      </c>
      <c r="AX134" s="2" t="s">
        <v>1869</v>
      </c>
      <c r="AY134" s="2" t="s">
        <v>1870</v>
      </c>
      <c r="AZ134" s="2" t="s">
        <v>1870</v>
      </c>
      <c r="BA134" s="2" t="s">
        <v>1871</v>
      </c>
      <c r="BB134" s="2" t="s">
        <v>21</v>
      </c>
      <c r="BD134" s="2" t="s">
        <v>1872</v>
      </c>
      <c r="BE134" s="2" t="s">
        <v>1873</v>
      </c>
      <c r="BF134" s="2" t="s">
        <v>1874</v>
      </c>
    </row>
    <row r="135" spans="1:58" ht="39.75" customHeight="1" x14ac:dyDescent="0.25">
      <c r="A135" s="1"/>
      <c r="B135" s="1" t="s">
        <v>0</v>
      </c>
      <c r="C135" s="1" t="s">
        <v>1</v>
      </c>
      <c r="D135" s="1" t="s">
        <v>1875</v>
      </c>
      <c r="E135" s="1" t="s">
        <v>1876</v>
      </c>
      <c r="F135" s="1" t="s">
        <v>1877</v>
      </c>
      <c r="H135" s="2" t="s">
        <v>5</v>
      </c>
      <c r="I135" s="2" t="s">
        <v>6</v>
      </c>
      <c r="J135" s="2" t="s">
        <v>5</v>
      </c>
      <c r="K135" s="2" t="s">
        <v>5</v>
      </c>
      <c r="L135" s="2" t="s">
        <v>7</v>
      </c>
      <c r="M135" s="1" t="s">
        <v>1878</v>
      </c>
      <c r="N135" s="1" t="s">
        <v>1879</v>
      </c>
      <c r="O135" s="2" t="s">
        <v>500</v>
      </c>
      <c r="Q135" s="2" t="s">
        <v>11</v>
      </c>
      <c r="R135" s="2" t="s">
        <v>244</v>
      </c>
      <c r="S135" s="1" t="s">
        <v>1880</v>
      </c>
      <c r="T135" s="2" t="s">
        <v>1367</v>
      </c>
      <c r="U135" s="3">
        <v>7</v>
      </c>
      <c r="V135" s="3">
        <v>7</v>
      </c>
      <c r="W135" s="4" t="s">
        <v>1881</v>
      </c>
      <c r="X135" s="4" t="s">
        <v>1881</v>
      </c>
      <c r="Y135" s="4" t="s">
        <v>1882</v>
      </c>
      <c r="Z135" s="4" t="s">
        <v>1882</v>
      </c>
      <c r="AA135" s="3">
        <v>379</v>
      </c>
      <c r="AB135" s="3">
        <v>334</v>
      </c>
      <c r="AC135" s="3">
        <v>339</v>
      </c>
      <c r="AD135" s="3">
        <v>3</v>
      </c>
      <c r="AE135" s="7">
        <v>3</v>
      </c>
      <c r="AF135" s="7">
        <v>22</v>
      </c>
      <c r="AG135" s="7">
        <v>22</v>
      </c>
      <c r="AH135" s="3">
        <v>10</v>
      </c>
      <c r="AI135" s="3">
        <v>10</v>
      </c>
      <c r="AJ135" s="3">
        <v>2</v>
      </c>
      <c r="AK135" s="3">
        <v>2</v>
      </c>
      <c r="AL135" s="3">
        <v>7</v>
      </c>
      <c r="AM135" s="3">
        <v>7</v>
      </c>
      <c r="AN135" s="3">
        <v>2</v>
      </c>
      <c r="AO135" s="3">
        <v>2</v>
      </c>
      <c r="AP135" s="3">
        <v>5</v>
      </c>
      <c r="AQ135" s="3">
        <v>5</v>
      </c>
      <c r="AR135" s="2" t="s">
        <v>5</v>
      </c>
      <c r="AS135" s="2" t="s">
        <v>5</v>
      </c>
      <c r="AU135" s="5" t="str">
        <f>HYPERLINK("https://creighton-primo.hosted.exlibrisgroup.com/primo-explore/search?tab=default_tab&amp;search_scope=EVERYTHING&amp;vid=01CRU&amp;lang=en_US&amp;offset=0&amp;query=any,contains,991004595669702656","Catalog Record")</f>
        <v>Catalog Record</v>
      </c>
      <c r="AV135" s="5" t="str">
        <f>HYPERLINK("http://www.worldcat.org/oclc/4136558","WorldCat Record")</f>
        <v>WorldCat Record</v>
      </c>
      <c r="AW135" s="2" t="s">
        <v>1883</v>
      </c>
      <c r="AX135" s="2" t="s">
        <v>1884</v>
      </c>
      <c r="AY135" s="2" t="s">
        <v>1885</v>
      </c>
      <c r="AZ135" s="2" t="s">
        <v>1885</v>
      </c>
      <c r="BA135" s="2" t="s">
        <v>1886</v>
      </c>
      <c r="BB135" s="2" t="s">
        <v>21</v>
      </c>
      <c r="BD135" s="2" t="s">
        <v>1887</v>
      </c>
      <c r="BE135" s="2" t="s">
        <v>1888</v>
      </c>
      <c r="BF135" s="2" t="s">
        <v>1889</v>
      </c>
    </row>
    <row r="136" spans="1:58" ht="39.75" customHeight="1" x14ac:dyDescent="0.25">
      <c r="A136" s="1"/>
      <c r="B136" s="1" t="s">
        <v>0</v>
      </c>
      <c r="C136" s="1" t="s">
        <v>1</v>
      </c>
      <c r="D136" s="1" t="s">
        <v>1890</v>
      </c>
      <c r="E136" s="1" t="s">
        <v>1891</v>
      </c>
      <c r="F136" s="1" t="s">
        <v>1892</v>
      </c>
      <c r="H136" s="2" t="s">
        <v>5</v>
      </c>
      <c r="I136" s="2" t="s">
        <v>6</v>
      </c>
      <c r="J136" s="2" t="s">
        <v>5</v>
      </c>
      <c r="K136" s="2" t="s">
        <v>5</v>
      </c>
      <c r="L136" s="2" t="s">
        <v>7</v>
      </c>
      <c r="N136" s="1" t="s">
        <v>1893</v>
      </c>
      <c r="O136" s="2" t="s">
        <v>228</v>
      </c>
      <c r="Q136" s="2" t="s">
        <v>11</v>
      </c>
      <c r="R136" s="2" t="s">
        <v>76</v>
      </c>
      <c r="T136" s="2" t="s">
        <v>1367</v>
      </c>
      <c r="U136" s="3">
        <v>13</v>
      </c>
      <c r="V136" s="3">
        <v>13</v>
      </c>
      <c r="W136" s="4" t="s">
        <v>1775</v>
      </c>
      <c r="X136" s="4" t="s">
        <v>1775</v>
      </c>
      <c r="Y136" s="4" t="s">
        <v>1894</v>
      </c>
      <c r="Z136" s="4" t="s">
        <v>1894</v>
      </c>
      <c r="AA136" s="3">
        <v>430</v>
      </c>
      <c r="AB136" s="3">
        <v>378</v>
      </c>
      <c r="AC136" s="3">
        <v>380</v>
      </c>
      <c r="AD136" s="3">
        <v>1</v>
      </c>
      <c r="AE136" s="7">
        <v>1</v>
      </c>
      <c r="AF136" s="7">
        <v>20</v>
      </c>
      <c r="AG136" s="7">
        <v>20</v>
      </c>
      <c r="AH136" s="3">
        <v>2</v>
      </c>
      <c r="AI136" s="3">
        <v>2</v>
      </c>
      <c r="AJ136" s="3">
        <v>4</v>
      </c>
      <c r="AK136" s="3">
        <v>4</v>
      </c>
      <c r="AL136" s="3">
        <v>9</v>
      </c>
      <c r="AM136" s="3">
        <v>9</v>
      </c>
      <c r="AN136" s="3">
        <v>0</v>
      </c>
      <c r="AO136" s="3">
        <v>0</v>
      </c>
      <c r="AP136" s="3">
        <v>9</v>
      </c>
      <c r="AQ136" s="3">
        <v>9</v>
      </c>
      <c r="AR136" s="2" t="s">
        <v>5</v>
      </c>
      <c r="AS136" s="2" t="s">
        <v>16</v>
      </c>
      <c r="AT136" s="5" t="str">
        <f>HYPERLINK("http://catalog.hathitrust.org/Record/004449451","HathiTrust Record")</f>
        <v>HathiTrust Record</v>
      </c>
      <c r="AU136" s="5" t="str">
        <f>HYPERLINK("https://creighton-primo.hosted.exlibrisgroup.com/primo-explore/search?tab=default_tab&amp;search_scope=EVERYTHING&amp;vid=01CRU&amp;lang=en_US&amp;offset=0&amp;query=any,contains,991001321639702656","Catalog Record")</f>
        <v>Catalog Record</v>
      </c>
      <c r="AV136" s="5" t="str">
        <f>HYPERLINK("http://www.worldcat.org/oclc/18225537","WorldCat Record")</f>
        <v>WorldCat Record</v>
      </c>
      <c r="AW136" s="2" t="s">
        <v>1895</v>
      </c>
      <c r="AX136" s="2" t="s">
        <v>1896</v>
      </c>
      <c r="AY136" s="2" t="s">
        <v>1897</v>
      </c>
      <c r="AZ136" s="2" t="s">
        <v>1897</v>
      </c>
      <c r="BA136" s="2" t="s">
        <v>1898</v>
      </c>
      <c r="BB136" s="2" t="s">
        <v>21</v>
      </c>
      <c r="BD136" s="2" t="s">
        <v>1899</v>
      </c>
      <c r="BE136" s="2" t="s">
        <v>1900</v>
      </c>
      <c r="BF136" s="2" t="s">
        <v>1901</v>
      </c>
    </row>
    <row r="137" spans="1:58" ht="39.75" customHeight="1" x14ac:dyDescent="0.25">
      <c r="A137" s="1"/>
      <c r="B137" s="1" t="s">
        <v>0</v>
      </c>
      <c r="C137" s="1" t="s">
        <v>1</v>
      </c>
      <c r="D137" s="1" t="s">
        <v>1902</v>
      </c>
      <c r="E137" s="1" t="s">
        <v>1903</v>
      </c>
      <c r="F137" s="1" t="s">
        <v>1904</v>
      </c>
      <c r="H137" s="2" t="s">
        <v>5</v>
      </c>
      <c r="I137" s="2" t="s">
        <v>6</v>
      </c>
      <c r="J137" s="2" t="s">
        <v>5</v>
      </c>
      <c r="K137" s="2" t="s">
        <v>5</v>
      </c>
      <c r="L137" s="2" t="s">
        <v>7</v>
      </c>
      <c r="M137" s="1" t="s">
        <v>1905</v>
      </c>
      <c r="N137" s="1" t="s">
        <v>1906</v>
      </c>
      <c r="O137" s="2" t="s">
        <v>1469</v>
      </c>
      <c r="P137" s="1" t="s">
        <v>1907</v>
      </c>
      <c r="Q137" s="2" t="s">
        <v>11</v>
      </c>
      <c r="R137" s="2" t="s">
        <v>124</v>
      </c>
      <c r="T137" s="2" t="s">
        <v>1367</v>
      </c>
      <c r="U137" s="3">
        <v>4</v>
      </c>
      <c r="V137" s="3">
        <v>4</v>
      </c>
      <c r="W137" s="4" t="s">
        <v>1908</v>
      </c>
      <c r="X137" s="4" t="s">
        <v>1908</v>
      </c>
      <c r="Y137" s="4" t="s">
        <v>1578</v>
      </c>
      <c r="Z137" s="4" t="s">
        <v>1578</v>
      </c>
      <c r="AA137" s="3">
        <v>442</v>
      </c>
      <c r="AB137" s="3">
        <v>421</v>
      </c>
      <c r="AC137" s="3">
        <v>428</v>
      </c>
      <c r="AD137" s="3">
        <v>3</v>
      </c>
      <c r="AE137" s="7">
        <v>3</v>
      </c>
      <c r="AF137" s="7">
        <v>15</v>
      </c>
      <c r="AG137" s="7">
        <v>15</v>
      </c>
      <c r="AH137" s="3">
        <v>4</v>
      </c>
      <c r="AI137" s="3">
        <v>4</v>
      </c>
      <c r="AJ137" s="3">
        <v>3</v>
      </c>
      <c r="AK137" s="3">
        <v>3</v>
      </c>
      <c r="AL137" s="3">
        <v>7</v>
      </c>
      <c r="AM137" s="3">
        <v>7</v>
      </c>
      <c r="AN137" s="3">
        <v>1</v>
      </c>
      <c r="AO137" s="3">
        <v>1</v>
      </c>
      <c r="AP137" s="3">
        <v>3</v>
      </c>
      <c r="AQ137" s="3">
        <v>3</v>
      </c>
      <c r="AR137" s="2" t="s">
        <v>5</v>
      </c>
      <c r="AS137" s="2" t="s">
        <v>16</v>
      </c>
      <c r="AT137" s="5" t="str">
        <f>HYPERLINK("http://catalog.hathitrust.org/Record/001125476","HathiTrust Record")</f>
        <v>HathiTrust Record</v>
      </c>
      <c r="AU137" s="5" t="str">
        <f>HYPERLINK("https://creighton-primo.hosted.exlibrisgroup.com/primo-explore/search?tab=default_tab&amp;search_scope=EVERYTHING&amp;vid=01CRU&amp;lang=en_US&amp;offset=0&amp;query=any,contains,991003476909702656","Catalog Record")</f>
        <v>Catalog Record</v>
      </c>
      <c r="AV137" s="5" t="str">
        <f>HYPERLINK("http://www.worldcat.org/oclc/1022135","WorldCat Record")</f>
        <v>WorldCat Record</v>
      </c>
      <c r="AW137" s="2" t="s">
        <v>1909</v>
      </c>
      <c r="AX137" s="2" t="s">
        <v>1910</v>
      </c>
      <c r="AY137" s="2" t="s">
        <v>1911</v>
      </c>
      <c r="AZ137" s="2" t="s">
        <v>1911</v>
      </c>
      <c r="BA137" s="2" t="s">
        <v>1912</v>
      </c>
      <c r="BB137" s="2" t="s">
        <v>21</v>
      </c>
      <c r="BE137" s="2" t="s">
        <v>1913</v>
      </c>
      <c r="BF137" s="2" t="s">
        <v>1914</v>
      </c>
    </row>
    <row r="138" spans="1:58" ht="39.75" customHeight="1" x14ac:dyDescent="0.25">
      <c r="A138" s="1"/>
      <c r="B138" s="1" t="s">
        <v>0</v>
      </c>
      <c r="C138" s="1" t="s">
        <v>1</v>
      </c>
      <c r="D138" s="1" t="s">
        <v>1915</v>
      </c>
      <c r="E138" s="1" t="s">
        <v>1916</v>
      </c>
      <c r="F138" s="1" t="s">
        <v>1917</v>
      </c>
      <c r="H138" s="2" t="s">
        <v>5</v>
      </c>
      <c r="I138" s="2" t="s">
        <v>6</v>
      </c>
      <c r="J138" s="2" t="s">
        <v>5</v>
      </c>
      <c r="K138" s="2" t="s">
        <v>5</v>
      </c>
      <c r="L138" s="2" t="s">
        <v>7</v>
      </c>
      <c r="M138" s="1" t="s">
        <v>1918</v>
      </c>
      <c r="N138" s="1" t="s">
        <v>1919</v>
      </c>
      <c r="O138" s="2" t="s">
        <v>355</v>
      </c>
      <c r="Q138" s="2" t="s">
        <v>11</v>
      </c>
      <c r="R138" s="2" t="s">
        <v>76</v>
      </c>
      <c r="S138" s="1" t="s">
        <v>1920</v>
      </c>
      <c r="T138" s="2" t="s">
        <v>1367</v>
      </c>
      <c r="U138" s="3">
        <v>2</v>
      </c>
      <c r="V138" s="3">
        <v>2</v>
      </c>
      <c r="W138" s="4" t="s">
        <v>1921</v>
      </c>
      <c r="X138" s="4" t="s">
        <v>1921</v>
      </c>
      <c r="Y138" s="4" t="s">
        <v>1578</v>
      </c>
      <c r="Z138" s="4" t="s">
        <v>1578</v>
      </c>
      <c r="AA138" s="3">
        <v>169</v>
      </c>
      <c r="AB138" s="3">
        <v>134</v>
      </c>
      <c r="AC138" s="3">
        <v>158</v>
      </c>
      <c r="AD138" s="3">
        <v>2</v>
      </c>
      <c r="AE138" s="7">
        <v>2</v>
      </c>
      <c r="AF138" s="7">
        <v>4</v>
      </c>
      <c r="AG138" s="7">
        <v>5</v>
      </c>
      <c r="AH138" s="3">
        <v>0</v>
      </c>
      <c r="AI138" s="3">
        <v>0</v>
      </c>
      <c r="AJ138" s="3">
        <v>1</v>
      </c>
      <c r="AK138" s="3">
        <v>1</v>
      </c>
      <c r="AL138" s="3">
        <v>3</v>
      </c>
      <c r="AM138" s="3">
        <v>3</v>
      </c>
      <c r="AN138" s="3">
        <v>1</v>
      </c>
      <c r="AO138" s="3">
        <v>1</v>
      </c>
      <c r="AP138" s="3">
        <v>0</v>
      </c>
      <c r="AQ138" s="3">
        <v>1</v>
      </c>
      <c r="AR138" s="2" t="s">
        <v>5</v>
      </c>
      <c r="AS138" s="2" t="s">
        <v>5</v>
      </c>
      <c r="AU138" s="5" t="str">
        <f>HYPERLINK("https://creighton-primo.hosted.exlibrisgroup.com/primo-explore/search?tab=default_tab&amp;search_scope=EVERYTHING&amp;vid=01CRU&amp;lang=en_US&amp;offset=0&amp;query=any,contains,991003235809702656","Catalog Record")</f>
        <v>Catalog Record</v>
      </c>
      <c r="AV138" s="5" t="str">
        <f>HYPERLINK("http://www.worldcat.org/oclc/760366","WorldCat Record")</f>
        <v>WorldCat Record</v>
      </c>
      <c r="AW138" s="2" t="s">
        <v>1922</v>
      </c>
      <c r="AX138" s="2" t="s">
        <v>1923</v>
      </c>
      <c r="AY138" s="2" t="s">
        <v>1924</v>
      </c>
      <c r="AZ138" s="2" t="s">
        <v>1924</v>
      </c>
      <c r="BA138" s="2" t="s">
        <v>1925</v>
      </c>
      <c r="BB138" s="2" t="s">
        <v>21</v>
      </c>
      <c r="BD138" s="2" t="s">
        <v>1926</v>
      </c>
      <c r="BE138" s="2" t="s">
        <v>1927</v>
      </c>
      <c r="BF138" s="2" t="s">
        <v>1928</v>
      </c>
    </row>
    <row r="139" spans="1:58" ht="39.75" customHeight="1" x14ac:dyDescent="0.25">
      <c r="A139" s="1"/>
      <c r="B139" s="1" t="s">
        <v>0</v>
      </c>
      <c r="C139" s="1" t="s">
        <v>1</v>
      </c>
      <c r="D139" s="1" t="s">
        <v>1929</v>
      </c>
      <c r="E139" s="1" t="s">
        <v>1930</v>
      </c>
      <c r="F139" s="1" t="s">
        <v>1931</v>
      </c>
      <c r="H139" s="2" t="s">
        <v>5</v>
      </c>
      <c r="I139" s="2" t="s">
        <v>6</v>
      </c>
      <c r="J139" s="2" t="s">
        <v>5</v>
      </c>
      <c r="K139" s="2" t="s">
        <v>5</v>
      </c>
      <c r="L139" s="2" t="s">
        <v>7</v>
      </c>
      <c r="M139" s="1" t="s">
        <v>1932</v>
      </c>
      <c r="N139" s="1" t="s">
        <v>1933</v>
      </c>
      <c r="O139" s="2" t="s">
        <v>184</v>
      </c>
      <c r="Q139" s="2" t="s">
        <v>11</v>
      </c>
      <c r="R139" s="2" t="s">
        <v>1934</v>
      </c>
      <c r="T139" s="2" t="s">
        <v>1367</v>
      </c>
      <c r="U139" s="3">
        <v>0</v>
      </c>
      <c r="V139" s="3">
        <v>0</v>
      </c>
      <c r="W139" s="4" t="s">
        <v>1935</v>
      </c>
      <c r="X139" s="4" t="s">
        <v>1935</v>
      </c>
      <c r="Y139" s="4" t="s">
        <v>1936</v>
      </c>
      <c r="Z139" s="4" t="s">
        <v>1936</v>
      </c>
      <c r="AA139" s="3">
        <v>8</v>
      </c>
      <c r="AB139" s="3">
        <v>8</v>
      </c>
      <c r="AC139" s="3">
        <v>184</v>
      </c>
      <c r="AD139" s="3">
        <v>1</v>
      </c>
      <c r="AE139" s="7">
        <v>3</v>
      </c>
      <c r="AF139" s="7">
        <v>0</v>
      </c>
      <c r="AG139" s="7">
        <v>14</v>
      </c>
      <c r="AH139" s="3">
        <v>0</v>
      </c>
      <c r="AI139" s="3">
        <v>1</v>
      </c>
      <c r="AJ139" s="3">
        <v>0</v>
      </c>
      <c r="AK139" s="3">
        <v>0</v>
      </c>
      <c r="AL139" s="3">
        <v>0</v>
      </c>
      <c r="AM139" s="3">
        <v>1</v>
      </c>
      <c r="AN139" s="3">
        <v>0</v>
      </c>
      <c r="AO139" s="3">
        <v>1</v>
      </c>
      <c r="AP139" s="3">
        <v>0</v>
      </c>
      <c r="AQ139" s="3">
        <v>11</v>
      </c>
      <c r="AR139" s="2" t="s">
        <v>5</v>
      </c>
      <c r="AS139" s="2" t="s">
        <v>5</v>
      </c>
      <c r="AU139" s="5" t="str">
        <f>HYPERLINK("https://creighton-primo.hosted.exlibrisgroup.com/primo-explore/search?tab=default_tab&amp;search_scope=EVERYTHING&amp;vid=01CRU&amp;lang=en_US&amp;offset=0&amp;query=any,contains,991000776329702656","Catalog Record")</f>
        <v>Catalog Record</v>
      </c>
      <c r="AV139" s="5" t="str">
        <f>HYPERLINK("http://www.worldcat.org/oclc/13066371","WorldCat Record")</f>
        <v>WorldCat Record</v>
      </c>
      <c r="AW139" s="2" t="s">
        <v>1937</v>
      </c>
      <c r="AX139" s="2" t="s">
        <v>1938</v>
      </c>
      <c r="AY139" s="2" t="s">
        <v>1939</v>
      </c>
      <c r="AZ139" s="2" t="s">
        <v>1939</v>
      </c>
      <c r="BA139" s="2" t="s">
        <v>1940</v>
      </c>
      <c r="BB139" s="2" t="s">
        <v>21</v>
      </c>
      <c r="BE139" s="2" t="s">
        <v>1941</v>
      </c>
      <c r="BF139" s="2" t="s">
        <v>1942</v>
      </c>
    </row>
    <row r="140" spans="1:58" ht="39.75" customHeight="1" x14ac:dyDescent="0.25">
      <c r="A140" s="1"/>
      <c r="B140" s="1" t="s">
        <v>0</v>
      </c>
      <c r="C140" s="1" t="s">
        <v>1</v>
      </c>
      <c r="D140" s="1" t="s">
        <v>1943</v>
      </c>
      <c r="E140" s="1" t="s">
        <v>1944</v>
      </c>
      <c r="F140" s="1" t="s">
        <v>1945</v>
      </c>
      <c r="H140" s="2" t="s">
        <v>5</v>
      </c>
      <c r="I140" s="2" t="s">
        <v>6</v>
      </c>
      <c r="J140" s="2" t="s">
        <v>5</v>
      </c>
      <c r="K140" s="2" t="s">
        <v>5</v>
      </c>
      <c r="L140" s="2" t="s">
        <v>7</v>
      </c>
      <c r="M140" s="1" t="s">
        <v>1946</v>
      </c>
      <c r="N140" s="1" t="s">
        <v>1947</v>
      </c>
      <c r="O140" s="2" t="s">
        <v>169</v>
      </c>
      <c r="Q140" s="2" t="s">
        <v>11</v>
      </c>
      <c r="R140" s="2" t="s">
        <v>76</v>
      </c>
      <c r="T140" s="2" t="s">
        <v>1367</v>
      </c>
      <c r="U140" s="3">
        <v>4</v>
      </c>
      <c r="V140" s="3">
        <v>4</v>
      </c>
      <c r="W140" s="4" t="s">
        <v>1948</v>
      </c>
      <c r="X140" s="4" t="s">
        <v>1948</v>
      </c>
      <c r="Y140" s="4" t="s">
        <v>1949</v>
      </c>
      <c r="Z140" s="4" t="s">
        <v>1949</v>
      </c>
      <c r="AA140" s="3">
        <v>300</v>
      </c>
      <c r="AB140" s="3">
        <v>278</v>
      </c>
      <c r="AC140" s="3">
        <v>279</v>
      </c>
      <c r="AD140" s="3">
        <v>3</v>
      </c>
      <c r="AE140" s="7">
        <v>3</v>
      </c>
      <c r="AF140" s="7">
        <v>19</v>
      </c>
      <c r="AG140" s="7">
        <v>19</v>
      </c>
      <c r="AH140" s="3">
        <v>4</v>
      </c>
      <c r="AI140" s="3">
        <v>4</v>
      </c>
      <c r="AJ140" s="3">
        <v>2</v>
      </c>
      <c r="AK140" s="3">
        <v>2</v>
      </c>
      <c r="AL140" s="3">
        <v>2</v>
      </c>
      <c r="AM140" s="3">
        <v>2</v>
      </c>
      <c r="AN140" s="3">
        <v>2</v>
      </c>
      <c r="AO140" s="3">
        <v>2</v>
      </c>
      <c r="AP140" s="3">
        <v>11</v>
      </c>
      <c r="AQ140" s="3">
        <v>11</v>
      </c>
      <c r="AR140" s="2" t="s">
        <v>5</v>
      </c>
      <c r="AS140" s="2" t="s">
        <v>16</v>
      </c>
      <c r="AT140" s="5" t="str">
        <f>HYPERLINK("http://catalog.hathitrust.org/Record/004514451","HathiTrust Record")</f>
        <v>HathiTrust Record</v>
      </c>
      <c r="AU140" s="5" t="str">
        <f>HYPERLINK("https://creighton-primo.hosted.exlibrisgroup.com/primo-explore/search?tab=default_tab&amp;search_scope=EVERYTHING&amp;vid=01CRU&amp;lang=en_US&amp;offset=0&amp;query=any,contains,991001872279702656","Catalog Record")</f>
        <v>Catalog Record</v>
      </c>
      <c r="AV140" s="5" t="str">
        <f>HYPERLINK("http://www.worldcat.org/oclc/23649628","WorldCat Record")</f>
        <v>WorldCat Record</v>
      </c>
      <c r="AW140" s="2" t="s">
        <v>1950</v>
      </c>
      <c r="AX140" s="2" t="s">
        <v>1951</v>
      </c>
      <c r="AY140" s="2" t="s">
        <v>1952</v>
      </c>
      <c r="AZ140" s="2" t="s">
        <v>1952</v>
      </c>
      <c r="BA140" s="2" t="s">
        <v>1953</v>
      </c>
      <c r="BB140" s="2" t="s">
        <v>21</v>
      </c>
      <c r="BD140" s="2" t="s">
        <v>1954</v>
      </c>
      <c r="BE140" s="2" t="s">
        <v>1955</v>
      </c>
      <c r="BF140" s="2" t="s">
        <v>1956</v>
      </c>
    </row>
    <row r="141" spans="1:58" ht="39.75" customHeight="1" x14ac:dyDescent="0.25">
      <c r="A141" s="1"/>
      <c r="B141" s="1" t="s">
        <v>0</v>
      </c>
      <c r="C141" s="1" t="s">
        <v>1</v>
      </c>
      <c r="D141" s="1" t="s">
        <v>1957</v>
      </c>
      <c r="E141" s="1" t="s">
        <v>1958</v>
      </c>
      <c r="F141" s="1" t="s">
        <v>1959</v>
      </c>
      <c r="H141" s="2" t="s">
        <v>5</v>
      </c>
      <c r="I141" s="2" t="s">
        <v>6</v>
      </c>
      <c r="J141" s="2" t="s">
        <v>5</v>
      </c>
      <c r="K141" s="2" t="s">
        <v>5</v>
      </c>
      <c r="L141" s="2" t="s">
        <v>7</v>
      </c>
      <c r="M141" s="1" t="s">
        <v>1960</v>
      </c>
      <c r="N141" s="1" t="s">
        <v>1961</v>
      </c>
      <c r="O141" s="2" t="s">
        <v>530</v>
      </c>
      <c r="Q141" s="2" t="s">
        <v>11</v>
      </c>
      <c r="R141" s="2" t="s">
        <v>260</v>
      </c>
      <c r="S141" s="1" t="s">
        <v>1962</v>
      </c>
      <c r="T141" s="2" t="s">
        <v>1367</v>
      </c>
      <c r="U141" s="3">
        <v>9</v>
      </c>
      <c r="V141" s="3">
        <v>9</v>
      </c>
      <c r="W141" s="4" t="s">
        <v>1963</v>
      </c>
      <c r="X141" s="4" t="s">
        <v>1963</v>
      </c>
      <c r="Y141" s="4" t="s">
        <v>1964</v>
      </c>
      <c r="Z141" s="4" t="s">
        <v>1964</v>
      </c>
      <c r="AA141" s="3">
        <v>886</v>
      </c>
      <c r="AB141" s="3">
        <v>806</v>
      </c>
      <c r="AC141" s="3">
        <v>814</v>
      </c>
      <c r="AD141" s="3">
        <v>6</v>
      </c>
      <c r="AE141" s="7">
        <v>6</v>
      </c>
      <c r="AF141" s="7">
        <v>48</v>
      </c>
      <c r="AG141" s="7">
        <v>48</v>
      </c>
      <c r="AH141" s="3">
        <v>15</v>
      </c>
      <c r="AI141" s="3">
        <v>15</v>
      </c>
      <c r="AJ141" s="3">
        <v>7</v>
      </c>
      <c r="AK141" s="3">
        <v>7</v>
      </c>
      <c r="AL141" s="3">
        <v>18</v>
      </c>
      <c r="AM141" s="3">
        <v>18</v>
      </c>
      <c r="AN141" s="3">
        <v>4</v>
      </c>
      <c r="AO141" s="3">
        <v>4</v>
      </c>
      <c r="AP141" s="3">
        <v>14</v>
      </c>
      <c r="AQ141" s="3">
        <v>14</v>
      </c>
      <c r="AR141" s="2" t="s">
        <v>5</v>
      </c>
      <c r="AS141" s="2" t="s">
        <v>16</v>
      </c>
      <c r="AT141" s="5" t="str">
        <f>HYPERLINK("http://catalog.hathitrust.org/Record/000390898","HathiTrust Record")</f>
        <v>HathiTrust Record</v>
      </c>
      <c r="AU141" s="5" t="str">
        <f>HYPERLINK("https://creighton-primo.hosted.exlibrisgroup.com/primo-explore/search?tab=default_tab&amp;search_scope=EVERYTHING&amp;vid=01CRU&amp;lang=en_US&amp;offset=0&amp;query=any,contains,991000766659702656","Catalog Record")</f>
        <v>Catalog Record</v>
      </c>
      <c r="AV141" s="5" t="str">
        <f>HYPERLINK("http://www.worldcat.org/oclc/13003805","WorldCat Record")</f>
        <v>WorldCat Record</v>
      </c>
      <c r="AW141" s="2" t="s">
        <v>1965</v>
      </c>
      <c r="AX141" s="2" t="s">
        <v>1966</v>
      </c>
      <c r="AY141" s="2" t="s">
        <v>1967</v>
      </c>
      <c r="AZ141" s="2" t="s">
        <v>1967</v>
      </c>
      <c r="BA141" s="2" t="s">
        <v>1968</v>
      </c>
      <c r="BB141" s="2" t="s">
        <v>21</v>
      </c>
      <c r="BD141" s="2" t="s">
        <v>1969</v>
      </c>
      <c r="BE141" s="2" t="s">
        <v>1970</v>
      </c>
      <c r="BF141" s="2" t="s">
        <v>1971</v>
      </c>
    </row>
    <row r="142" spans="1:58" ht="39.75" customHeight="1" x14ac:dyDescent="0.25">
      <c r="A142" s="1"/>
      <c r="B142" s="1" t="s">
        <v>0</v>
      </c>
      <c r="C142" s="1" t="s">
        <v>1</v>
      </c>
      <c r="D142" s="1" t="s">
        <v>1972</v>
      </c>
      <c r="E142" s="1" t="s">
        <v>1973</v>
      </c>
      <c r="F142" s="1" t="s">
        <v>1974</v>
      </c>
      <c r="H142" s="2" t="s">
        <v>5</v>
      </c>
      <c r="I142" s="2" t="s">
        <v>6</v>
      </c>
      <c r="J142" s="2" t="s">
        <v>5</v>
      </c>
      <c r="K142" s="2" t="s">
        <v>5</v>
      </c>
      <c r="L142" s="2" t="s">
        <v>7</v>
      </c>
      <c r="M142" s="1" t="s">
        <v>1975</v>
      </c>
      <c r="N142" s="1" t="s">
        <v>1976</v>
      </c>
      <c r="O142" s="2" t="s">
        <v>530</v>
      </c>
      <c r="Q142" s="2" t="s">
        <v>11</v>
      </c>
      <c r="R142" s="2" t="s">
        <v>1977</v>
      </c>
      <c r="T142" s="2" t="s">
        <v>1367</v>
      </c>
      <c r="U142" s="3">
        <v>7</v>
      </c>
      <c r="V142" s="3">
        <v>7</v>
      </c>
      <c r="W142" s="4" t="s">
        <v>1978</v>
      </c>
      <c r="X142" s="4" t="s">
        <v>1978</v>
      </c>
      <c r="Y142" s="4" t="s">
        <v>1979</v>
      </c>
      <c r="Z142" s="4" t="s">
        <v>1979</v>
      </c>
      <c r="AA142" s="3">
        <v>29</v>
      </c>
      <c r="AB142" s="3">
        <v>25</v>
      </c>
      <c r="AC142" s="3">
        <v>32</v>
      </c>
      <c r="AD142" s="3">
        <v>1</v>
      </c>
      <c r="AE142" s="7">
        <v>1</v>
      </c>
      <c r="AF142" s="7">
        <v>1</v>
      </c>
      <c r="AG142" s="7">
        <v>1</v>
      </c>
      <c r="AH142" s="3">
        <v>0</v>
      </c>
      <c r="AI142" s="3">
        <v>0</v>
      </c>
      <c r="AJ142" s="3">
        <v>1</v>
      </c>
      <c r="AK142" s="3">
        <v>1</v>
      </c>
      <c r="AL142" s="3">
        <v>0</v>
      </c>
      <c r="AM142" s="3">
        <v>0</v>
      </c>
      <c r="AN142" s="3">
        <v>0</v>
      </c>
      <c r="AO142" s="3">
        <v>0</v>
      </c>
      <c r="AP142" s="3">
        <v>0</v>
      </c>
      <c r="AQ142" s="3">
        <v>0</v>
      </c>
      <c r="AR142" s="2" t="s">
        <v>5</v>
      </c>
      <c r="AS142" s="2" t="s">
        <v>5</v>
      </c>
      <c r="AU142" s="5" t="str">
        <f>HYPERLINK("https://creighton-primo.hosted.exlibrisgroup.com/primo-explore/search?tab=default_tab&amp;search_scope=EVERYTHING&amp;vid=01CRU&amp;lang=en_US&amp;offset=0&amp;query=any,contains,991001117799702656","Catalog Record")</f>
        <v>Catalog Record</v>
      </c>
      <c r="AV142" s="5" t="str">
        <f>HYPERLINK("http://www.worldcat.org/oclc/16531906","WorldCat Record")</f>
        <v>WorldCat Record</v>
      </c>
      <c r="AW142" s="2" t="s">
        <v>1980</v>
      </c>
      <c r="AX142" s="2" t="s">
        <v>1981</v>
      </c>
      <c r="AY142" s="2" t="s">
        <v>1982</v>
      </c>
      <c r="AZ142" s="2" t="s">
        <v>1982</v>
      </c>
      <c r="BA142" s="2" t="s">
        <v>1983</v>
      </c>
      <c r="BB142" s="2" t="s">
        <v>21</v>
      </c>
      <c r="BE142" s="2" t="s">
        <v>1984</v>
      </c>
      <c r="BF142" s="2" t="s">
        <v>1985</v>
      </c>
    </row>
    <row r="143" spans="1:58" ht="39.75" customHeight="1" x14ac:dyDescent="0.25">
      <c r="A143" s="1"/>
      <c r="B143" s="1" t="s">
        <v>0</v>
      </c>
      <c r="C143" s="1" t="s">
        <v>1</v>
      </c>
      <c r="D143" s="1" t="s">
        <v>1986</v>
      </c>
      <c r="E143" s="1" t="s">
        <v>1987</v>
      </c>
      <c r="F143" s="1" t="s">
        <v>1988</v>
      </c>
      <c r="H143" s="2" t="s">
        <v>5</v>
      </c>
      <c r="I143" s="2" t="s">
        <v>6</v>
      </c>
      <c r="J143" s="2" t="s">
        <v>5</v>
      </c>
      <c r="K143" s="2" t="s">
        <v>5</v>
      </c>
      <c r="L143" s="2" t="s">
        <v>7</v>
      </c>
      <c r="M143" s="1" t="s">
        <v>1989</v>
      </c>
      <c r="N143" s="1" t="s">
        <v>1990</v>
      </c>
      <c r="O143" s="2" t="s">
        <v>1184</v>
      </c>
      <c r="Q143" s="2" t="s">
        <v>11</v>
      </c>
      <c r="R143" s="2" t="s">
        <v>76</v>
      </c>
      <c r="S143" s="1" t="s">
        <v>1991</v>
      </c>
      <c r="T143" s="2" t="s">
        <v>1367</v>
      </c>
      <c r="U143" s="3">
        <v>4</v>
      </c>
      <c r="V143" s="3">
        <v>4</v>
      </c>
      <c r="W143" s="4" t="s">
        <v>1992</v>
      </c>
      <c r="X143" s="4" t="s">
        <v>1992</v>
      </c>
      <c r="Y143" s="4" t="s">
        <v>1993</v>
      </c>
      <c r="Z143" s="4" t="s">
        <v>1993</v>
      </c>
      <c r="AA143" s="3">
        <v>428</v>
      </c>
      <c r="AB143" s="3">
        <v>409</v>
      </c>
      <c r="AC143" s="3">
        <v>412</v>
      </c>
      <c r="AD143" s="3">
        <v>4</v>
      </c>
      <c r="AE143" s="7">
        <v>4</v>
      </c>
      <c r="AF143" s="7">
        <v>25</v>
      </c>
      <c r="AG143" s="7">
        <v>25</v>
      </c>
      <c r="AH143" s="3">
        <v>6</v>
      </c>
      <c r="AI143" s="3">
        <v>6</v>
      </c>
      <c r="AJ143" s="3">
        <v>8</v>
      </c>
      <c r="AK143" s="3">
        <v>8</v>
      </c>
      <c r="AL143" s="3">
        <v>9</v>
      </c>
      <c r="AM143" s="3">
        <v>9</v>
      </c>
      <c r="AN143" s="3">
        <v>3</v>
      </c>
      <c r="AO143" s="3">
        <v>3</v>
      </c>
      <c r="AP143" s="3">
        <v>5</v>
      </c>
      <c r="AQ143" s="3">
        <v>5</v>
      </c>
      <c r="AR143" s="2" t="s">
        <v>5</v>
      </c>
      <c r="AS143" s="2" t="s">
        <v>16</v>
      </c>
      <c r="AT143" s="5" t="str">
        <f>HYPERLINK("http://catalog.hathitrust.org/Record/010393630","HathiTrust Record")</f>
        <v>HathiTrust Record</v>
      </c>
      <c r="AU143" s="5" t="str">
        <f>HYPERLINK("https://creighton-primo.hosted.exlibrisgroup.com/primo-explore/search?tab=default_tab&amp;search_scope=EVERYTHING&amp;vid=01CRU&amp;lang=en_US&amp;offset=0&amp;query=any,contains,991000316889702656","Catalog Record")</f>
        <v>Catalog Record</v>
      </c>
      <c r="AV143" s="5" t="str">
        <f>HYPERLINK("http://www.worldcat.org/oclc/69575","WorldCat Record")</f>
        <v>WorldCat Record</v>
      </c>
      <c r="AW143" s="2" t="s">
        <v>1994</v>
      </c>
      <c r="AX143" s="2" t="s">
        <v>1995</v>
      </c>
      <c r="AY143" s="2" t="s">
        <v>1996</v>
      </c>
      <c r="AZ143" s="2" t="s">
        <v>1996</v>
      </c>
      <c r="BA143" s="2" t="s">
        <v>1997</v>
      </c>
      <c r="BB143" s="2" t="s">
        <v>21</v>
      </c>
      <c r="BE143" s="2" t="s">
        <v>1998</v>
      </c>
      <c r="BF143" s="2" t="s">
        <v>1999</v>
      </c>
    </row>
    <row r="144" spans="1:58" ht="39.75" customHeight="1" x14ac:dyDescent="0.25">
      <c r="A144" s="1"/>
      <c r="B144" s="1" t="s">
        <v>0</v>
      </c>
      <c r="C144" s="1" t="s">
        <v>1</v>
      </c>
      <c r="D144" s="1" t="s">
        <v>2000</v>
      </c>
      <c r="E144" s="1" t="s">
        <v>2001</v>
      </c>
      <c r="F144" s="1" t="s">
        <v>2002</v>
      </c>
      <c r="H144" s="2" t="s">
        <v>5</v>
      </c>
      <c r="I144" s="2" t="s">
        <v>6</v>
      </c>
      <c r="J144" s="2" t="s">
        <v>5</v>
      </c>
      <c r="K144" s="2" t="s">
        <v>16</v>
      </c>
      <c r="L144" s="2" t="s">
        <v>7</v>
      </c>
      <c r="M144" s="1" t="s">
        <v>2003</v>
      </c>
      <c r="N144" s="1" t="s">
        <v>2004</v>
      </c>
      <c r="O144" s="2" t="s">
        <v>228</v>
      </c>
      <c r="Q144" s="2" t="s">
        <v>11</v>
      </c>
      <c r="R144" s="2" t="s">
        <v>76</v>
      </c>
      <c r="T144" s="2" t="s">
        <v>1367</v>
      </c>
      <c r="U144" s="3">
        <v>2</v>
      </c>
      <c r="V144" s="3">
        <v>2</v>
      </c>
      <c r="W144" s="4" t="s">
        <v>2005</v>
      </c>
      <c r="X144" s="4" t="s">
        <v>2005</v>
      </c>
      <c r="Y144" s="4" t="s">
        <v>2006</v>
      </c>
      <c r="Z144" s="4" t="s">
        <v>2006</v>
      </c>
      <c r="AA144" s="3">
        <v>168</v>
      </c>
      <c r="AB144" s="3">
        <v>150</v>
      </c>
      <c r="AC144" s="3">
        <v>958</v>
      </c>
      <c r="AD144" s="3">
        <v>2</v>
      </c>
      <c r="AE144" s="7">
        <v>8</v>
      </c>
      <c r="AF144" s="7">
        <v>8</v>
      </c>
      <c r="AG144" s="7">
        <v>59</v>
      </c>
      <c r="AH144" s="3">
        <v>4</v>
      </c>
      <c r="AI144" s="3">
        <v>20</v>
      </c>
      <c r="AJ144" s="3">
        <v>2</v>
      </c>
      <c r="AK144" s="3">
        <v>9</v>
      </c>
      <c r="AL144" s="3">
        <v>3</v>
      </c>
      <c r="AM144" s="3">
        <v>19</v>
      </c>
      <c r="AN144" s="3">
        <v>1</v>
      </c>
      <c r="AO144" s="3">
        <v>5</v>
      </c>
      <c r="AP144" s="3">
        <v>0</v>
      </c>
      <c r="AQ144" s="3">
        <v>19</v>
      </c>
      <c r="AR144" s="2" t="s">
        <v>5</v>
      </c>
      <c r="AS144" s="2" t="s">
        <v>16</v>
      </c>
      <c r="AT144" s="5" t="str">
        <f>HYPERLINK("http://catalog.hathitrust.org/Record/009882999","HathiTrust Record")</f>
        <v>HathiTrust Record</v>
      </c>
      <c r="AU144" s="5" t="str">
        <f>HYPERLINK("https://creighton-primo.hosted.exlibrisgroup.com/primo-explore/search?tab=default_tab&amp;search_scope=EVERYTHING&amp;vid=01CRU&amp;lang=en_US&amp;offset=0&amp;query=any,contains,991001320389702656","Catalog Record")</f>
        <v>Catalog Record</v>
      </c>
      <c r="AV144" s="5" t="str">
        <f>HYPERLINK("http://www.worldcat.org/oclc/18222616","WorldCat Record")</f>
        <v>WorldCat Record</v>
      </c>
      <c r="AW144" s="2" t="s">
        <v>2007</v>
      </c>
      <c r="AX144" s="2" t="s">
        <v>2008</v>
      </c>
      <c r="AY144" s="2" t="s">
        <v>2009</v>
      </c>
      <c r="AZ144" s="2" t="s">
        <v>2009</v>
      </c>
      <c r="BA144" s="2" t="s">
        <v>2010</v>
      </c>
      <c r="BB144" s="2" t="s">
        <v>21</v>
      </c>
      <c r="BD144" s="2" t="s">
        <v>2011</v>
      </c>
      <c r="BE144" s="2" t="s">
        <v>2012</v>
      </c>
      <c r="BF144" s="2" t="s">
        <v>2013</v>
      </c>
    </row>
    <row r="145" spans="1:58" ht="39.75" customHeight="1" x14ac:dyDescent="0.25">
      <c r="A145" s="1"/>
      <c r="B145" s="1" t="s">
        <v>0</v>
      </c>
      <c r="C145" s="1" t="s">
        <v>1</v>
      </c>
      <c r="D145" s="1" t="s">
        <v>2014</v>
      </c>
      <c r="E145" s="1" t="s">
        <v>2015</v>
      </c>
      <c r="F145" s="1" t="s">
        <v>2016</v>
      </c>
      <c r="H145" s="2" t="s">
        <v>5</v>
      </c>
      <c r="I145" s="2" t="s">
        <v>6</v>
      </c>
      <c r="J145" s="2" t="s">
        <v>5</v>
      </c>
      <c r="K145" s="2" t="s">
        <v>5</v>
      </c>
      <c r="L145" s="2" t="s">
        <v>7</v>
      </c>
      <c r="M145" s="1" t="s">
        <v>2017</v>
      </c>
      <c r="N145" s="1" t="s">
        <v>2018</v>
      </c>
      <c r="O145" s="2" t="s">
        <v>259</v>
      </c>
      <c r="Q145" s="2" t="s">
        <v>11</v>
      </c>
      <c r="R145" s="2" t="s">
        <v>76</v>
      </c>
      <c r="S145" s="1" t="s">
        <v>2019</v>
      </c>
      <c r="T145" s="2" t="s">
        <v>1367</v>
      </c>
      <c r="U145" s="3">
        <v>2</v>
      </c>
      <c r="V145" s="3">
        <v>2</v>
      </c>
      <c r="W145" s="4" t="s">
        <v>2020</v>
      </c>
      <c r="X145" s="4" t="s">
        <v>2020</v>
      </c>
      <c r="Y145" s="4" t="s">
        <v>2021</v>
      </c>
      <c r="Z145" s="4" t="s">
        <v>2021</v>
      </c>
      <c r="AA145" s="3">
        <v>471</v>
      </c>
      <c r="AB145" s="3">
        <v>448</v>
      </c>
      <c r="AC145" s="3">
        <v>450</v>
      </c>
      <c r="AD145" s="3">
        <v>5</v>
      </c>
      <c r="AE145" s="7">
        <v>5</v>
      </c>
      <c r="AF145" s="7">
        <v>29</v>
      </c>
      <c r="AG145" s="7">
        <v>29</v>
      </c>
      <c r="AH145" s="3">
        <v>6</v>
      </c>
      <c r="AI145" s="3">
        <v>6</v>
      </c>
      <c r="AJ145" s="3">
        <v>6</v>
      </c>
      <c r="AK145" s="3">
        <v>6</v>
      </c>
      <c r="AL145" s="3">
        <v>6</v>
      </c>
      <c r="AM145" s="3">
        <v>6</v>
      </c>
      <c r="AN145" s="3">
        <v>4</v>
      </c>
      <c r="AO145" s="3">
        <v>4</v>
      </c>
      <c r="AP145" s="3">
        <v>12</v>
      </c>
      <c r="AQ145" s="3">
        <v>12</v>
      </c>
      <c r="AR145" s="2" t="s">
        <v>5</v>
      </c>
      <c r="AS145" s="2" t="s">
        <v>16</v>
      </c>
      <c r="AT145" s="5" t="str">
        <f>HYPERLINK("http://catalog.hathitrust.org/Record/001076413","HathiTrust Record")</f>
        <v>HathiTrust Record</v>
      </c>
      <c r="AU145" s="5" t="str">
        <f>HYPERLINK("https://creighton-primo.hosted.exlibrisgroup.com/primo-explore/search?tab=default_tab&amp;search_scope=EVERYTHING&amp;vid=01CRU&amp;lang=en_US&amp;offset=0&amp;query=any,contains,991001257419702656","Catalog Record")</f>
        <v>Catalog Record</v>
      </c>
      <c r="AV145" s="5" t="str">
        <f>HYPERLINK("http://www.worldcat.org/oclc/17732718","WorldCat Record")</f>
        <v>WorldCat Record</v>
      </c>
      <c r="AW145" s="2" t="s">
        <v>2022</v>
      </c>
      <c r="AX145" s="2" t="s">
        <v>2023</v>
      </c>
      <c r="AY145" s="2" t="s">
        <v>2024</v>
      </c>
      <c r="AZ145" s="2" t="s">
        <v>2024</v>
      </c>
      <c r="BA145" s="2" t="s">
        <v>2025</v>
      </c>
      <c r="BB145" s="2" t="s">
        <v>21</v>
      </c>
      <c r="BD145" s="2" t="s">
        <v>2026</v>
      </c>
      <c r="BE145" s="2" t="s">
        <v>2027</v>
      </c>
      <c r="BF145" s="2" t="s">
        <v>2028</v>
      </c>
    </row>
    <row r="146" spans="1:58" ht="39.75" customHeight="1" x14ac:dyDescent="0.25">
      <c r="A146" s="1"/>
      <c r="B146" s="1" t="s">
        <v>0</v>
      </c>
      <c r="C146" s="1" t="s">
        <v>1</v>
      </c>
      <c r="D146" s="1" t="s">
        <v>2029</v>
      </c>
      <c r="E146" s="1" t="s">
        <v>2030</v>
      </c>
      <c r="F146" s="1" t="s">
        <v>2031</v>
      </c>
      <c r="H146" s="2" t="s">
        <v>5</v>
      </c>
      <c r="I146" s="2" t="s">
        <v>6</v>
      </c>
      <c r="J146" s="2" t="s">
        <v>5</v>
      </c>
      <c r="K146" s="2" t="s">
        <v>5</v>
      </c>
      <c r="L146" s="2" t="s">
        <v>7</v>
      </c>
      <c r="M146" s="1" t="s">
        <v>2032</v>
      </c>
      <c r="N146" s="1" t="s">
        <v>2033</v>
      </c>
      <c r="O146" s="2" t="s">
        <v>228</v>
      </c>
      <c r="P146" s="1" t="s">
        <v>2034</v>
      </c>
      <c r="Q146" s="2" t="s">
        <v>11</v>
      </c>
      <c r="R146" s="2" t="s">
        <v>76</v>
      </c>
      <c r="T146" s="2" t="s">
        <v>1367</v>
      </c>
      <c r="U146" s="3">
        <v>4</v>
      </c>
      <c r="V146" s="3">
        <v>4</v>
      </c>
      <c r="W146" s="4" t="s">
        <v>782</v>
      </c>
      <c r="X146" s="4" t="s">
        <v>782</v>
      </c>
      <c r="Y146" s="4" t="s">
        <v>2035</v>
      </c>
      <c r="Z146" s="4" t="s">
        <v>2035</v>
      </c>
      <c r="AA146" s="3">
        <v>198</v>
      </c>
      <c r="AB146" s="3">
        <v>175</v>
      </c>
      <c r="AC146" s="3">
        <v>1214</v>
      </c>
      <c r="AD146" s="3">
        <v>2</v>
      </c>
      <c r="AE146" s="7">
        <v>8</v>
      </c>
      <c r="AF146" s="7">
        <v>9</v>
      </c>
      <c r="AG146" s="7">
        <v>55</v>
      </c>
      <c r="AH146" s="3">
        <v>4</v>
      </c>
      <c r="AI146" s="3">
        <v>17</v>
      </c>
      <c r="AJ146" s="3">
        <v>2</v>
      </c>
      <c r="AK146" s="3">
        <v>10</v>
      </c>
      <c r="AL146" s="3">
        <v>5</v>
      </c>
      <c r="AM146" s="3">
        <v>18</v>
      </c>
      <c r="AN146" s="3">
        <v>1</v>
      </c>
      <c r="AO146" s="3">
        <v>6</v>
      </c>
      <c r="AP146" s="3">
        <v>1</v>
      </c>
      <c r="AQ146" s="3">
        <v>15</v>
      </c>
      <c r="AR146" s="2" t="s">
        <v>5</v>
      </c>
      <c r="AS146" s="2" t="s">
        <v>5</v>
      </c>
      <c r="AU146" s="5" t="str">
        <f>HYPERLINK("https://creighton-primo.hosted.exlibrisgroup.com/primo-explore/search?tab=default_tab&amp;search_scope=EVERYTHING&amp;vid=01CRU&amp;lang=en_US&amp;offset=0&amp;query=any,contains,991001402379702656","Catalog Record")</f>
        <v>Catalog Record</v>
      </c>
      <c r="AV146" s="5" t="str">
        <f>HYPERLINK("http://www.worldcat.org/oclc/18833153","WorldCat Record")</f>
        <v>WorldCat Record</v>
      </c>
      <c r="AW146" s="2" t="s">
        <v>2036</v>
      </c>
      <c r="AX146" s="2" t="s">
        <v>2037</v>
      </c>
      <c r="AY146" s="2" t="s">
        <v>2038</v>
      </c>
      <c r="AZ146" s="2" t="s">
        <v>2038</v>
      </c>
      <c r="BA146" s="2" t="s">
        <v>2039</v>
      </c>
      <c r="BB146" s="2" t="s">
        <v>21</v>
      </c>
      <c r="BD146" s="2" t="s">
        <v>2040</v>
      </c>
      <c r="BE146" s="2" t="s">
        <v>2041</v>
      </c>
      <c r="BF146" s="2" t="s">
        <v>2042</v>
      </c>
    </row>
    <row r="147" spans="1:58" ht="39.75" customHeight="1" x14ac:dyDescent="0.25">
      <c r="A147" s="1"/>
      <c r="B147" s="1" t="s">
        <v>0</v>
      </c>
      <c r="C147" s="1" t="s">
        <v>1</v>
      </c>
      <c r="D147" s="1" t="s">
        <v>2043</v>
      </c>
      <c r="E147" s="1" t="s">
        <v>2044</v>
      </c>
      <c r="F147" s="1" t="s">
        <v>2045</v>
      </c>
      <c r="H147" s="2" t="s">
        <v>5</v>
      </c>
      <c r="I147" s="2" t="s">
        <v>6</v>
      </c>
      <c r="J147" s="2" t="s">
        <v>5</v>
      </c>
      <c r="K147" s="2" t="s">
        <v>5</v>
      </c>
      <c r="L147" s="2" t="s">
        <v>7</v>
      </c>
      <c r="M147" s="1" t="s">
        <v>2046</v>
      </c>
      <c r="N147" s="1" t="s">
        <v>2047</v>
      </c>
      <c r="O147" s="2" t="s">
        <v>75</v>
      </c>
      <c r="Q147" s="2" t="s">
        <v>11</v>
      </c>
      <c r="R147" s="2" t="s">
        <v>903</v>
      </c>
      <c r="T147" s="2" t="s">
        <v>1367</v>
      </c>
      <c r="U147" s="3">
        <v>2</v>
      </c>
      <c r="V147" s="3">
        <v>2</v>
      </c>
      <c r="W147" s="4" t="s">
        <v>2048</v>
      </c>
      <c r="X147" s="4" t="s">
        <v>2048</v>
      </c>
      <c r="Y147" s="4" t="s">
        <v>1993</v>
      </c>
      <c r="Z147" s="4" t="s">
        <v>1993</v>
      </c>
      <c r="AA147" s="3">
        <v>298</v>
      </c>
      <c r="AB147" s="3">
        <v>268</v>
      </c>
      <c r="AC147" s="3">
        <v>292</v>
      </c>
      <c r="AD147" s="3">
        <v>2</v>
      </c>
      <c r="AE147" s="7">
        <v>2</v>
      </c>
      <c r="AF147" s="7">
        <v>7</v>
      </c>
      <c r="AG147" s="7">
        <v>7</v>
      </c>
      <c r="AH147" s="3">
        <v>2</v>
      </c>
      <c r="AI147" s="3">
        <v>2</v>
      </c>
      <c r="AJ147" s="3">
        <v>1</v>
      </c>
      <c r="AK147" s="3">
        <v>1</v>
      </c>
      <c r="AL147" s="3">
        <v>2</v>
      </c>
      <c r="AM147" s="3">
        <v>2</v>
      </c>
      <c r="AN147" s="3">
        <v>1</v>
      </c>
      <c r="AO147" s="3">
        <v>1</v>
      </c>
      <c r="AP147" s="3">
        <v>1</v>
      </c>
      <c r="AQ147" s="3">
        <v>1</v>
      </c>
      <c r="AR147" s="2" t="s">
        <v>5</v>
      </c>
      <c r="AS147" s="2" t="s">
        <v>16</v>
      </c>
      <c r="AT147" s="5" t="str">
        <f>HYPERLINK("http://catalog.hathitrust.org/Record/000001948","HathiTrust Record")</f>
        <v>HathiTrust Record</v>
      </c>
      <c r="AU147" s="5" t="str">
        <f>HYPERLINK("https://creighton-primo.hosted.exlibrisgroup.com/primo-explore/search?tab=default_tab&amp;search_scope=EVERYTHING&amp;vid=01CRU&amp;lang=en_US&amp;offset=0&amp;query=any,contains,991000780889702656","Catalog Record")</f>
        <v>Catalog Record</v>
      </c>
      <c r="AV147" s="5" t="str">
        <f>HYPERLINK("http://www.worldcat.org/oclc/134889","WorldCat Record")</f>
        <v>WorldCat Record</v>
      </c>
      <c r="AW147" s="2" t="s">
        <v>2049</v>
      </c>
      <c r="AX147" s="2" t="s">
        <v>2050</v>
      </c>
      <c r="AY147" s="2" t="s">
        <v>2051</v>
      </c>
      <c r="AZ147" s="2" t="s">
        <v>2051</v>
      </c>
      <c r="BA147" s="2" t="s">
        <v>2052</v>
      </c>
      <c r="BB147" s="2" t="s">
        <v>21</v>
      </c>
      <c r="BE147" s="2" t="s">
        <v>2053</v>
      </c>
      <c r="BF147" s="2" t="s">
        <v>2054</v>
      </c>
    </row>
    <row r="148" spans="1:58" ht="39.75" customHeight="1" x14ac:dyDescent="0.25">
      <c r="A148" s="1"/>
      <c r="B148" s="1" t="s">
        <v>0</v>
      </c>
      <c r="C148" s="1" t="s">
        <v>1</v>
      </c>
      <c r="D148" s="1" t="s">
        <v>2055</v>
      </c>
      <c r="E148" s="1" t="s">
        <v>2056</v>
      </c>
      <c r="F148" s="1" t="s">
        <v>2057</v>
      </c>
      <c r="H148" s="2" t="s">
        <v>5</v>
      </c>
      <c r="I148" s="2" t="s">
        <v>6</v>
      </c>
      <c r="J148" s="2" t="s">
        <v>5</v>
      </c>
      <c r="K148" s="2" t="s">
        <v>5</v>
      </c>
      <c r="L148" s="2" t="s">
        <v>7</v>
      </c>
      <c r="M148" s="1" t="s">
        <v>2058</v>
      </c>
      <c r="N148" s="1" t="s">
        <v>2059</v>
      </c>
      <c r="O148" s="2" t="s">
        <v>530</v>
      </c>
      <c r="P148" s="1" t="s">
        <v>229</v>
      </c>
      <c r="Q148" s="2" t="s">
        <v>11</v>
      </c>
      <c r="R148" s="2" t="s">
        <v>76</v>
      </c>
      <c r="T148" s="2" t="s">
        <v>1367</v>
      </c>
      <c r="U148" s="3">
        <v>3</v>
      </c>
      <c r="V148" s="3">
        <v>3</v>
      </c>
      <c r="W148" s="4" t="s">
        <v>2060</v>
      </c>
      <c r="X148" s="4" t="s">
        <v>2060</v>
      </c>
      <c r="Y148" s="4" t="s">
        <v>2061</v>
      </c>
      <c r="Z148" s="4" t="s">
        <v>2061</v>
      </c>
      <c r="AA148" s="3">
        <v>904</v>
      </c>
      <c r="AB148" s="3">
        <v>868</v>
      </c>
      <c r="AC148" s="3">
        <v>874</v>
      </c>
      <c r="AD148" s="3">
        <v>4</v>
      </c>
      <c r="AE148" s="7">
        <v>4</v>
      </c>
      <c r="AF148" s="7">
        <v>32</v>
      </c>
      <c r="AG148" s="7">
        <v>32</v>
      </c>
      <c r="AH148" s="3">
        <v>8</v>
      </c>
      <c r="AI148" s="3">
        <v>8</v>
      </c>
      <c r="AJ148" s="3">
        <v>5</v>
      </c>
      <c r="AK148" s="3">
        <v>5</v>
      </c>
      <c r="AL148" s="3">
        <v>13</v>
      </c>
      <c r="AM148" s="3">
        <v>13</v>
      </c>
      <c r="AN148" s="3">
        <v>2</v>
      </c>
      <c r="AO148" s="3">
        <v>2</v>
      </c>
      <c r="AP148" s="3">
        <v>10</v>
      </c>
      <c r="AQ148" s="3">
        <v>10</v>
      </c>
      <c r="AR148" s="2" t="s">
        <v>5</v>
      </c>
      <c r="AS148" s="2" t="s">
        <v>16</v>
      </c>
      <c r="AT148" s="5" t="str">
        <f>HYPERLINK("http://catalog.hathitrust.org/Record/000665077","HathiTrust Record")</f>
        <v>HathiTrust Record</v>
      </c>
      <c r="AU148" s="5" t="str">
        <f>HYPERLINK("https://creighton-primo.hosted.exlibrisgroup.com/primo-explore/search?tab=default_tab&amp;search_scope=EVERYTHING&amp;vid=01CRU&amp;lang=en_US&amp;offset=0&amp;query=any,contains,991000738509702656","Catalog Record")</f>
        <v>Catalog Record</v>
      </c>
      <c r="AV148" s="5" t="str">
        <f>HYPERLINK("http://www.worldcat.org/oclc/12804855","WorldCat Record")</f>
        <v>WorldCat Record</v>
      </c>
      <c r="AW148" s="2" t="s">
        <v>2062</v>
      </c>
      <c r="AX148" s="2" t="s">
        <v>2063</v>
      </c>
      <c r="AY148" s="2" t="s">
        <v>2064</v>
      </c>
      <c r="AZ148" s="2" t="s">
        <v>2064</v>
      </c>
      <c r="BA148" s="2" t="s">
        <v>2065</v>
      </c>
      <c r="BB148" s="2" t="s">
        <v>21</v>
      </c>
      <c r="BD148" s="2" t="s">
        <v>2066</v>
      </c>
      <c r="BE148" s="2" t="s">
        <v>2067</v>
      </c>
      <c r="BF148" s="2" t="s">
        <v>2068</v>
      </c>
    </row>
    <row r="149" spans="1:58" ht="39.75" customHeight="1" x14ac:dyDescent="0.25">
      <c r="A149" s="1"/>
      <c r="B149" s="1" t="s">
        <v>0</v>
      </c>
      <c r="C149" s="1" t="s">
        <v>1</v>
      </c>
      <c r="D149" s="1" t="s">
        <v>2069</v>
      </c>
      <c r="E149" s="1" t="s">
        <v>2070</v>
      </c>
      <c r="F149" s="1" t="s">
        <v>2071</v>
      </c>
      <c r="H149" s="2" t="s">
        <v>5</v>
      </c>
      <c r="I149" s="2" t="s">
        <v>6</v>
      </c>
      <c r="J149" s="2" t="s">
        <v>5</v>
      </c>
      <c r="K149" s="2" t="s">
        <v>5</v>
      </c>
      <c r="L149" s="2" t="s">
        <v>7</v>
      </c>
      <c r="M149" s="1" t="s">
        <v>2058</v>
      </c>
      <c r="N149" s="1" t="s">
        <v>2072</v>
      </c>
      <c r="O149" s="2" t="s">
        <v>2073</v>
      </c>
      <c r="Q149" s="2" t="s">
        <v>11</v>
      </c>
      <c r="R149" s="2" t="s">
        <v>76</v>
      </c>
      <c r="T149" s="2" t="s">
        <v>1367</v>
      </c>
      <c r="U149" s="3">
        <v>3</v>
      </c>
      <c r="V149" s="3">
        <v>3</v>
      </c>
      <c r="W149" s="4" t="s">
        <v>2060</v>
      </c>
      <c r="X149" s="4" t="s">
        <v>2060</v>
      </c>
      <c r="Y149" s="4" t="s">
        <v>2074</v>
      </c>
      <c r="Z149" s="4" t="s">
        <v>2074</v>
      </c>
      <c r="AA149" s="3">
        <v>854</v>
      </c>
      <c r="AB149" s="3">
        <v>814</v>
      </c>
      <c r="AC149" s="3">
        <v>1097</v>
      </c>
      <c r="AD149" s="3">
        <v>5</v>
      </c>
      <c r="AE149" s="7">
        <v>9</v>
      </c>
      <c r="AF149" s="7">
        <v>30</v>
      </c>
      <c r="AG149" s="7">
        <v>47</v>
      </c>
      <c r="AH149" s="3">
        <v>7</v>
      </c>
      <c r="AI149" s="3">
        <v>13</v>
      </c>
      <c r="AJ149" s="3">
        <v>6</v>
      </c>
      <c r="AK149" s="3">
        <v>8</v>
      </c>
      <c r="AL149" s="3">
        <v>14</v>
      </c>
      <c r="AM149" s="3">
        <v>19</v>
      </c>
      <c r="AN149" s="3">
        <v>4</v>
      </c>
      <c r="AO149" s="3">
        <v>7</v>
      </c>
      <c r="AP149" s="3">
        <v>5</v>
      </c>
      <c r="AQ149" s="3">
        <v>9</v>
      </c>
      <c r="AR149" s="2" t="s">
        <v>16</v>
      </c>
      <c r="AS149" s="2" t="s">
        <v>5</v>
      </c>
      <c r="AT149" s="5" t="str">
        <f>HYPERLINK("http://catalog.hathitrust.org/Record/000852425","HathiTrust Record")</f>
        <v>HathiTrust Record</v>
      </c>
      <c r="AU149" s="5" t="str">
        <f>HYPERLINK("https://creighton-primo.hosted.exlibrisgroup.com/primo-explore/search?tab=default_tab&amp;search_scope=EVERYTHING&amp;vid=01CRU&amp;lang=en_US&amp;offset=0&amp;query=any,contains,991002426419702656","Catalog Record")</f>
        <v>Catalog Record</v>
      </c>
      <c r="AV149" s="5" t="str">
        <f>HYPERLINK("http://www.worldcat.org/oclc/345010","WorldCat Record")</f>
        <v>WorldCat Record</v>
      </c>
      <c r="AW149" s="2" t="s">
        <v>2075</v>
      </c>
      <c r="AX149" s="2" t="s">
        <v>2076</v>
      </c>
      <c r="AY149" s="2" t="s">
        <v>2077</v>
      </c>
      <c r="AZ149" s="2" t="s">
        <v>2077</v>
      </c>
      <c r="BA149" s="2" t="s">
        <v>2078</v>
      </c>
      <c r="BB149" s="2" t="s">
        <v>21</v>
      </c>
      <c r="BE149" s="2" t="s">
        <v>2079</v>
      </c>
      <c r="BF149" s="2" t="s">
        <v>2080</v>
      </c>
    </row>
    <row r="150" spans="1:58" ht="39.75" customHeight="1" x14ac:dyDescent="0.25">
      <c r="A150" s="1"/>
      <c r="B150" s="1" t="s">
        <v>0</v>
      </c>
      <c r="C150" s="1" t="s">
        <v>1</v>
      </c>
      <c r="D150" s="1" t="s">
        <v>2081</v>
      </c>
      <c r="E150" s="1" t="s">
        <v>2082</v>
      </c>
      <c r="F150" s="1" t="s">
        <v>2083</v>
      </c>
      <c r="H150" s="2" t="s">
        <v>5</v>
      </c>
      <c r="I150" s="2" t="s">
        <v>6</v>
      </c>
      <c r="J150" s="2" t="s">
        <v>16</v>
      </c>
      <c r="K150" s="2" t="s">
        <v>5</v>
      </c>
      <c r="L150" s="2" t="s">
        <v>7</v>
      </c>
      <c r="M150" s="1" t="s">
        <v>2084</v>
      </c>
      <c r="N150" s="1" t="s">
        <v>2085</v>
      </c>
      <c r="O150" s="2" t="s">
        <v>275</v>
      </c>
      <c r="P150" s="1" t="s">
        <v>229</v>
      </c>
      <c r="Q150" s="2" t="s">
        <v>11</v>
      </c>
      <c r="R150" s="2" t="s">
        <v>76</v>
      </c>
      <c r="T150" s="2" t="s">
        <v>1367</v>
      </c>
      <c r="U150" s="3">
        <v>7</v>
      </c>
      <c r="V150" s="3">
        <v>8</v>
      </c>
      <c r="W150" s="4" t="s">
        <v>2086</v>
      </c>
      <c r="X150" s="4" t="s">
        <v>2086</v>
      </c>
      <c r="Y150" s="4" t="s">
        <v>15</v>
      </c>
      <c r="Z150" s="4" t="s">
        <v>15</v>
      </c>
      <c r="AA150" s="3">
        <v>2323</v>
      </c>
      <c r="AB150" s="3">
        <v>2198</v>
      </c>
      <c r="AC150" s="3">
        <v>2240</v>
      </c>
      <c r="AD150" s="3">
        <v>10</v>
      </c>
      <c r="AE150" s="7">
        <v>11</v>
      </c>
      <c r="AF150" s="7">
        <v>61</v>
      </c>
      <c r="AG150" s="7">
        <v>62</v>
      </c>
      <c r="AH150" s="3">
        <v>22</v>
      </c>
      <c r="AI150" s="3">
        <v>22</v>
      </c>
      <c r="AJ150" s="3">
        <v>6</v>
      </c>
      <c r="AK150" s="3">
        <v>6</v>
      </c>
      <c r="AL150" s="3">
        <v>22</v>
      </c>
      <c r="AM150" s="3">
        <v>22</v>
      </c>
      <c r="AN150" s="3">
        <v>6</v>
      </c>
      <c r="AO150" s="3">
        <v>6</v>
      </c>
      <c r="AP150" s="3">
        <v>16</v>
      </c>
      <c r="AQ150" s="3">
        <v>17</v>
      </c>
      <c r="AR150" s="2" t="s">
        <v>5</v>
      </c>
      <c r="AS150" s="2" t="s">
        <v>5</v>
      </c>
      <c r="AU150" s="5" t="str">
        <f>HYPERLINK("https://creighton-primo.hosted.exlibrisgroup.com/primo-explore/search?tab=default_tab&amp;search_scope=EVERYTHING&amp;vid=01CRU&amp;lang=en_US&amp;offset=0&amp;query=any,contains,991001799619702656","Catalog Record")</f>
        <v>Catalog Record</v>
      </c>
      <c r="AV150" s="5" t="str">
        <f>HYPERLINK("http://www.worldcat.org/oclc/4804529","WorldCat Record")</f>
        <v>WorldCat Record</v>
      </c>
      <c r="AW150" s="2" t="s">
        <v>2087</v>
      </c>
      <c r="AX150" s="2" t="s">
        <v>2088</v>
      </c>
      <c r="AY150" s="2" t="s">
        <v>2089</v>
      </c>
      <c r="AZ150" s="2" t="s">
        <v>2089</v>
      </c>
      <c r="BA150" s="2" t="s">
        <v>2090</v>
      </c>
      <c r="BB150" s="2" t="s">
        <v>21</v>
      </c>
      <c r="BD150" s="2" t="s">
        <v>2091</v>
      </c>
      <c r="BE150" s="2" t="s">
        <v>2092</v>
      </c>
      <c r="BF150" s="2" t="s">
        <v>2093</v>
      </c>
    </row>
    <row r="151" spans="1:58" ht="39.75" customHeight="1" x14ac:dyDescent="0.25">
      <c r="A151" s="1"/>
      <c r="B151" s="1" t="s">
        <v>0</v>
      </c>
      <c r="C151" s="1" t="s">
        <v>1</v>
      </c>
      <c r="D151" s="1" t="s">
        <v>2094</v>
      </c>
      <c r="E151" s="1" t="s">
        <v>2095</v>
      </c>
      <c r="F151" s="1" t="s">
        <v>2096</v>
      </c>
      <c r="H151" s="2" t="s">
        <v>5</v>
      </c>
      <c r="I151" s="2" t="s">
        <v>6</v>
      </c>
      <c r="J151" s="2" t="s">
        <v>16</v>
      </c>
      <c r="K151" s="2" t="s">
        <v>5</v>
      </c>
      <c r="L151" s="2" t="s">
        <v>7</v>
      </c>
      <c r="M151" s="1" t="s">
        <v>2097</v>
      </c>
      <c r="N151" s="1" t="s">
        <v>1562</v>
      </c>
      <c r="O151" s="2" t="s">
        <v>530</v>
      </c>
      <c r="Q151" s="2" t="s">
        <v>11</v>
      </c>
      <c r="R151" s="2" t="s">
        <v>76</v>
      </c>
      <c r="T151" s="2" t="s">
        <v>1367</v>
      </c>
      <c r="U151" s="3">
        <v>3</v>
      </c>
      <c r="V151" s="3">
        <v>4</v>
      </c>
      <c r="W151" s="4" t="s">
        <v>2098</v>
      </c>
      <c r="X151" s="4" t="s">
        <v>2098</v>
      </c>
      <c r="Y151" s="4" t="s">
        <v>15</v>
      </c>
      <c r="Z151" s="4" t="s">
        <v>15</v>
      </c>
      <c r="AA151" s="3">
        <v>1006</v>
      </c>
      <c r="AB151" s="3">
        <v>946</v>
      </c>
      <c r="AC151" s="3">
        <v>953</v>
      </c>
      <c r="AD151" s="3">
        <v>4</v>
      </c>
      <c r="AE151" s="7">
        <v>4</v>
      </c>
      <c r="AF151" s="7">
        <v>48</v>
      </c>
      <c r="AG151" s="7">
        <v>48</v>
      </c>
      <c r="AH151" s="3">
        <v>12</v>
      </c>
      <c r="AI151" s="3">
        <v>12</v>
      </c>
      <c r="AJ151" s="3">
        <v>6</v>
      </c>
      <c r="AK151" s="3">
        <v>6</v>
      </c>
      <c r="AL151" s="3">
        <v>15</v>
      </c>
      <c r="AM151" s="3">
        <v>15</v>
      </c>
      <c r="AN151" s="3">
        <v>2</v>
      </c>
      <c r="AO151" s="3">
        <v>2</v>
      </c>
      <c r="AP151" s="3">
        <v>21</v>
      </c>
      <c r="AQ151" s="3">
        <v>21</v>
      </c>
      <c r="AR151" s="2" t="s">
        <v>5</v>
      </c>
      <c r="AS151" s="2" t="s">
        <v>16</v>
      </c>
      <c r="AT151" s="5" t="str">
        <f>HYPERLINK("http://catalog.hathitrust.org/Record/000471579","HathiTrust Record")</f>
        <v>HathiTrust Record</v>
      </c>
      <c r="AU151" s="5" t="str">
        <f>HYPERLINK("https://creighton-primo.hosted.exlibrisgroup.com/primo-explore/search?tab=default_tab&amp;search_scope=EVERYTHING&amp;vid=01CRU&amp;lang=en_US&amp;offset=0&amp;query=any,contains,991001632049702656","Catalog Record")</f>
        <v>Catalog Record</v>
      </c>
      <c r="AV151" s="5" t="str">
        <f>HYPERLINK("http://www.worldcat.org/oclc/12978361","WorldCat Record")</f>
        <v>WorldCat Record</v>
      </c>
      <c r="AW151" s="2" t="s">
        <v>2099</v>
      </c>
      <c r="AX151" s="2" t="s">
        <v>2100</v>
      </c>
      <c r="AY151" s="2" t="s">
        <v>2101</v>
      </c>
      <c r="AZ151" s="2" t="s">
        <v>2101</v>
      </c>
      <c r="BA151" s="2" t="s">
        <v>2102</v>
      </c>
      <c r="BB151" s="2" t="s">
        <v>21</v>
      </c>
      <c r="BD151" s="2" t="s">
        <v>2103</v>
      </c>
      <c r="BE151" s="2" t="s">
        <v>2104</v>
      </c>
      <c r="BF151" s="2" t="s">
        <v>2105</v>
      </c>
    </row>
    <row r="152" spans="1:58" ht="39.75" customHeight="1" x14ac:dyDescent="0.25">
      <c r="A152" s="1"/>
      <c r="B152" s="1" t="s">
        <v>0</v>
      </c>
      <c r="C152" s="1" t="s">
        <v>1</v>
      </c>
      <c r="D152" s="1" t="s">
        <v>2106</v>
      </c>
      <c r="E152" s="1" t="s">
        <v>2107</v>
      </c>
      <c r="F152" s="1" t="s">
        <v>2108</v>
      </c>
      <c r="H152" s="2" t="s">
        <v>5</v>
      </c>
      <c r="I152" s="2" t="s">
        <v>6</v>
      </c>
      <c r="J152" s="2" t="s">
        <v>5</v>
      </c>
      <c r="K152" s="2" t="s">
        <v>5</v>
      </c>
      <c r="L152" s="2" t="s">
        <v>7</v>
      </c>
      <c r="M152" s="1" t="s">
        <v>2109</v>
      </c>
      <c r="N152" s="1" t="s">
        <v>2110</v>
      </c>
      <c r="O152" s="2" t="s">
        <v>629</v>
      </c>
      <c r="Q152" s="2" t="s">
        <v>11</v>
      </c>
      <c r="R152" s="2" t="s">
        <v>76</v>
      </c>
      <c r="T152" s="2" t="s">
        <v>1367</v>
      </c>
      <c r="U152" s="3">
        <v>10</v>
      </c>
      <c r="V152" s="3">
        <v>10</v>
      </c>
      <c r="W152" s="4" t="s">
        <v>2111</v>
      </c>
      <c r="X152" s="4" t="s">
        <v>2111</v>
      </c>
      <c r="Y152" s="4" t="s">
        <v>15</v>
      </c>
      <c r="Z152" s="4" t="s">
        <v>15</v>
      </c>
      <c r="AA152" s="3">
        <v>449</v>
      </c>
      <c r="AB152" s="3">
        <v>423</v>
      </c>
      <c r="AC152" s="3">
        <v>466</v>
      </c>
      <c r="AD152" s="3">
        <v>5</v>
      </c>
      <c r="AE152" s="7">
        <v>5</v>
      </c>
      <c r="AF152" s="7">
        <v>9</v>
      </c>
      <c r="AG152" s="7">
        <v>12</v>
      </c>
      <c r="AH152" s="3">
        <v>3</v>
      </c>
      <c r="AI152" s="3">
        <v>4</v>
      </c>
      <c r="AJ152" s="3">
        <v>1</v>
      </c>
      <c r="AK152" s="3">
        <v>2</v>
      </c>
      <c r="AL152" s="3">
        <v>5</v>
      </c>
      <c r="AM152" s="3">
        <v>6</v>
      </c>
      <c r="AN152" s="3">
        <v>1</v>
      </c>
      <c r="AO152" s="3">
        <v>1</v>
      </c>
      <c r="AP152" s="3">
        <v>2</v>
      </c>
      <c r="AQ152" s="3">
        <v>2</v>
      </c>
      <c r="AR152" s="2" t="s">
        <v>5</v>
      </c>
      <c r="AS152" s="2" t="s">
        <v>16</v>
      </c>
      <c r="AT152" s="5" t="str">
        <f>HYPERLINK("http://catalog.hathitrust.org/Record/000874191","HathiTrust Record")</f>
        <v>HathiTrust Record</v>
      </c>
      <c r="AU152" s="5" t="str">
        <f>HYPERLINK("https://creighton-primo.hosted.exlibrisgroup.com/primo-explore/search?tab=default_tab&amp;search_scope=EVERYTHING&amp;vid=01CRU&amp;lang=en_US&amp;offset=0&amp;query=any,contains,991001096329702656","Catalog Record")</f>
        <v>Catalog Record</v>
      </c>
      <c r="AV152" s="5" t="str">
        <f>HYPERLINK("http://www.worldcat.org/oclc/16269492","WorldCat Record")</f>
        <v>WorldCat Record</v>
      </c>
      <c r="AW152" s="2" t="s">
        <v>2112</v>
      </c>
      <c r="AX152" s="2" t="s">
        <v>2113</v>
      </c>
      <c r="AY152" s="2" t="s">
        <v>2114</v>
      </c>
      <c r="AZ152" s="2" t="s">
        <v>2114</v>
      </c>
      <c r="BA152" s="2" t="s">
        <v>2115</v>
      </c>
      <c r="BB152" s="2" t="s">
        <v>21</v>
      </c>
      <c r="BD152" s="2" t="s">
        <v>2116</v>
      </c>
      <c r="BE152" s="2" t="s">
        <v>2117</v>
      </c>
      <c r="BF152" s="2" t="s">
        <v>2118</v>
      </c>
    </row>
    <row r="153" spans="1:58" ht="39.75" customHeight="1" x14ac:dyDescent="0.25">
      <c r="A153" s="1"/>
      <c r="B153" s="1" t="s">
        <v>0</v>
      </c>
      <c r="C153" s="1" t="s">
        <v>1</v>
      </c>
      <c r="D153" s="1" t="s">
        <v>2119</v>
      </c>
      <c r="E153" s="1" t="s">
        <v>2120</v>
      </c>
      <c r="F153" s="1" t="s">
        <v>2121</v>
      </c>
      <c r="H153" s="2" t="s">
        <v>5</v>
      </c>
      <c r="I153" s="2" t="s">
        <v>6</v>
      </c>
      <c r="J153" s="2" t="s">
        <v>5</v>
      </c>
      <c r="K153" s="2" t="s">
        <v>16</v>
      </c>
      <c r="L153" s="2" t="s">
        <v>7</v>
      </c>
      <c r="M153" s="1" t="s">
        <v>2122</v>
      </c>
      <c r="N153" s="1" t="s">
        <v>2123</v>
      </c>
      <c r="O153" s="2" t="s">
        <v>2124</v>
      </c>
      <c r="Q153" s="2" t="s">
        <v>11</v>
      </c>
      <c r="R153" s="2" t="s">
        <v>62</v>
      </c>
      <c r="T153" s="2" t="s">
        <v>1367</v>
      </c>
      <c r="U153" s="3">
        <v>8</v>
      </c>
      <c r="V153" s="3">
        <v>8</v>
      </c>
      <c r="W153" s="4" t="s">
        <v>2125</v>
      </c>
      <c r="X153" s="4" t="s">
        <v>2125</v>
      </c>
      <c r="Y153" s="4" t="s">
        <v>2126</v>
      </c>
      <c r="Z153" s="4" t="s">
        <v>2126</v>
      </c>
      <c r="AA153" s="3">
        <v>108</v>
      </c>
      <c r="AB153" s="3">
        <v>90</v>
      </c>
      <c r="AC153" s="3">
        <v>419</v>
      </c>
      <c r="AD153" s="3">
        <v>2</v>
      </c>
      <c r="AE153" s="7">
        <v>4</v>
      </c>
      <c r="AF153" s="7">
        <v>8</v>
      </c>
      <c r="AG153" s="7">
        <v>30</v>
      </c>
      <c r="AH153" s="3">
        <v>0</v>
      </c>
      <c r="AI153" s="3">
        <v>4</v>
      </c>
      <c r="AJ153" s="3">
        <v>0</v>
      </c>
      <c r="AK153" s="3">
        <v>3</v>
      </c>
      <c r="AL153" s="3">
        <v>0</v>
      </c>
      <c r="AM153" s="3">
        <v>3</v>
      </c>
      <c r="AN153" s="3">
        <v>0</v>
      </c>
      <c r="AO153" s="3">
        <v>1</v>
      </c>
      <c r="AP153" s="3">
        <v>8</v>
      </c>
      <c r="AQ153" s="3">
        <v>21</v>
      </c>
      <c r="AR153" s="2" t="s">
        <v>16</v>
      </c>
      <c r="AS153" s="2" t="s">
        <v>5</v>
      </c>
      <c r="AT153" s="5" t="str">
        <f>HYPERLINK("http://catalog.hathitrust.org/Record/004429952","HathiTrust Record")</f>
        <v>HathiTrust Record</v>
      </c>
      <c r="AU153" s="5" t="str">
        <f>HYPERLINK("https://creighton-primo.hosted.exlibrisgroup.com/primo-explore/search?tab=default_tab&amp;search_scope=EVERYTHING&amp;vid=01CRU&amp;lang=en_US&amp;offset=0&amp;query=any,contains,991003192569702656","Catalog Record")</f>
        <v>Catalog Record</v>
      </c>
      <c r="AV153" s="5" t="str">
        <f>HYPERLINK("http://www.worldcat.org/oclc/717776","WorldCat Record")</f>
        <v>WorldCat Record</v>
      </c>
      <c r="AW153" s="2" t="s">
        <v>2127</v>
      </c>
      <c r="AX153" s="2" t="s">
        <v>2128</v>
      </c>
      <c r="AY153" s="2" t="s">
        <v>2129</v>
      </c>
      <c r="AZ153" s="2" t="s">
        <v>2129</v>
      </c>
      <c r="BA153" s="2" t="s">
        <v>2130</v>
      </c>
      <c r="BB153" s="2" t="s">
        <v>21</v>
      </c>
      <c r="BE153" s="2" t="s">
        <v>2131</v>
      </c>
      <c r="BF153" s="2" t="s">
        <v>2132</v>
      </c>
    </row>
    <row r="154" spans="1:58" ht="39.75" customHeight="1" x14ac:dyDescent="0.25">
      <c r="A154" s="1"/>
      <c r="B154" s="1" t="s">
        <v>0</v>
      </c>
      <c r="C154" s="1" t="s">
        <v>1</v>
      </c>
      <c r="D154" s="1" t="s">
        <v>2133</v>
      </c>
      <c r="E154" s="1" t="s">
        <v>2134</v>
      </c>
      <c r="F154" s="1" t="s">
        <v>2135</v>
      </c>
      <c r="H154" s="2" t="s">
        <v>5</v>
      </c>
      <c r="I154" s="2" t="s">
        <v>6</v>
      </c>
      <c r="J154" s="2" t="s">
        <v>5</v>
      </c>
      <c r="K154" s="2" t="s">
        <v>16</v>
      </c>
      <c r="L154" s="2" t="s">
        <v>7</v>
      </c>
      <c r="M154" s="1" t="s">
        <v>2136</v>
      </c>
      <c r="O154" s="2" t="s">
        <v>2137</v>
      </c>
      <c r="Q154" s="2" t="s">
        <v>11</v>
      </c>
      <c r="R154" s="2" t="s">
        <v>76</v>
      </c>
      <c r="S154" s="1" t="s">
        <v>2138</v>
      </c>
      <c r="T154" s="2" t="s">
        <v>1367</v>
      </c>
      <c r="U154" s="3">
        <v>1</v>
      </c>
      <c r="V154" s="3">
        <v>1</v>
      </c>
      <c r="W154" s="4" t="s">
        <v>2139</v>
      </c>
      <c r="X154" s="4" t="s">
        <v>2139</v>
      </c>
      <c r="Y154" s="4" t="s">
        <v>1993</v>
      </c>
      <c r="Z154" s="4" t="s">
        <v>1993</v>
      </c>
      <c r="AA154" s="3">
        <v>264</v>
      </c>
      <c r="AB154" s="3">
        <v>230</v>
      </c>
      <c r="AC154" s="3">
        <v>459</v>
      </c>
      <c r="AD154" s="3">
        <v>3</v>
      </c>
      <c r="AE154" s="7">
        <v>5</v>
      </c>
      <c r="AF154" s="7">
        <v>17</v>
      </c>
      <c r="AG154" s="7">
        <v>30</v>
      </c>
      <c r="AH154" s="3">
        <v>2</v>
      </c>
      <c r="AI154" s="3">
        <v>5</v>
      </c>
      <c r="AJ154" s="3">
        <v>0</v>
      </c>
      <c r="AK154" s="3">
        <v>3</v>
      </c>
      <c r="AL154" s="3">
        <v>3</v>
      </c>
      <c r="AM154" s="3">
        <v>5</v>
      </c>
      <c r="AN154" s="3">
        <v>1</v>
      </c>
      <c r="AO154" s="3">
        <v>2</v>
      </c>
      <c r="AP154" s="3">
        <v>11</v>
      </c>
      <c r="AQ154" s="3">
        <v>17</v>
      </c>
      <c r="AR154" s="2" t="s">
        <v>5</v>
      </c>
      <c r="AS154" s="2" t="s">
        <v>5</v>
      </c>
      <c r="AU154" s="5" t="str">
        <f>HYPERLINK("https://creighton-primo.hosted.exlibrisgroup.com/primo-explore/search?tab=default_tab&amp;search_scope=EVERYTHING&amp;vid=01CRU&amp;lang=en_US&amp;offset=0&amp;query=any,contains,991000945519702656","Catalog Record")</f>
        <v>Catalog Record</v>
      </c>
      <c r="AV154" s="5" t="str">
        <f>HYPERLINK("http://www.worldcat.org/oclc/167016","WorldCat Record")</f>
        <v>WorldCat Record</v>
      </c>
      <c r="AW154" s="2" t="s">
        <v>2140</v>
      </c>
      <c r="AX154" s="2" t="s">
        <v>2141</v>
      </c>
      <c r="AY154" s="2" t="s">
        <v>2142</v>
      </c>
      <c r="AZ154" s="2" t="s">
        <v>2142</v>
      </c>
      <c r="BA154" s="2" t="s">
        <v>2143</v>
      </c>
      <c r="BB154" s="2" t="s">
        <v>21</v>
      </c>
      <c r="BE154" s="2" t="s">
        <v>2144</v>
      </c>
      <c r="BF154" s="2" t="s">
        <v>2145</v>
      </c>
    </row>
    <row r="155" spans="1:58" ht="39.75" customHeight="1" x14ac:dyDescent="0.25">
      <c r="A155" s="1"/>
      <c r="B155" s="1" t="s">
        <v>0</v>
      </c>
      <c r="C155" s="1" t="s">
        <v>1</v>
      </c>
      <c r="D155" s="1" t="s">
        <v>2146</v>
      </c>
      <c r="E155" s="1" t="s">
        <v>2147</v>
      </c>
      <c r="F155" s="1" t="s">
        <v>2148</v>
      </c>
      <c r="H155" s="2" t="s">
        <v>5</v>
      </c>
      <c r="I155" s="2" t="s">
        <v>6</v>
      </c>
      <c r="J155" s="2" t="s">
        <v>5</v>
      </c>
      <c r="K155" s="2" t="s">
        <v>5</v>
      </c>
      <c r="L155" s="2" t="s">
        <v>7</v>
      </c>
      <c r="M155" s="1" t="s">
        <v>2149</v>
      </c>
      <c r="N155" s="1" t="s">
        <v>2150</v>
      </c>
      <c r="O155" s="2" t="s">
        <v>918</v>
      </c>
      <c r="Q155" s="2" t="s">
        <v>11</v>
      </c>
      <c r="R155" s="2" t="s">
        <v>543</v>
      </c>
      <c r="T155" s="2" t="s">
        <v>1367</v>
      </c>
      <c r="U155" s="3">
        <v>3</v>
      </c>
      <c r="V155" s="3">
        <v>3</v>
      </c>
      <c r="W155" s="4" t="s">
        <v>2151</v>
      </c>
      <c r="X155" s="4" t="s">
        <v>2151</v>
      </c>
      <c r="Y155" s="4" t="s">
        <v>2151</v>
      </c>
      <c r="Z155" s="4" t="s">
        <v>2151</v>
      </c>
      <c r="AA155" s="3">
        <v>206</v>
      </c>
      <c r="AB155" s="3">
        <v>201</v>
      </c>
      <c r="AC155" s="3">
        <v>245</v>
      </c>
      <c r="AD155" s="3">
        <v>2</v>
      </c>
      <c r="AE155" s="7">
        <v>2</v>
      </c>
      <c r="AF155" s="7">
        <v>20</v>
      </c>
      <c r="AG155" s="7">
        <v>26</v>
      </c>
      <c r="AH155" s="3">
        <v>3</v>
      </c>
      <c r="AI155" s="3">
        <v>3</v>
      </c>
      <c r="AJ155" s="3">
        <v>1</v>
      </c>
      <c r="AK155" s="3">
        <v>1</v>
      </c>
      <c r="AL155" s="3">
        <v>0</v>
      </c>
      <c r="AM155" s="3">
        <v>1</v>
      </c>
      <c r="AN155" s="3">
        <v>0</v>
      </c>
      <c r="AO155" s="3">
        <v>0</v>
      </c>
      <c r="AP155" s="3">
        <v>17</v>
      </c>
      <c r="AQ155" s="3">
        <v>22</v>
      </c>
      <c r="AR155" s="2" t="s">
        <v>5</v>
      </c>
      <c r="AS155" s="2" t="s">
        <v>5</v>
      </c>
      <c r="AU155" s="5" t="str">
        <f>HYPERLINK("https://creighton-primo.hosted.exlibrisgroup.com/primo-explore/search?tab=default_tab&amp;search_scope=EVERYTHING&amp;vid=01CRU&amp;lang=en_US&amp;offset=0&amp;query=any,contains,991005397459702656","Catalog Record")</f>
        <v>Catalog Record</v>
      </c>
      <c r="AV155" s="5" t="str">
        <f>HYPERLINK("http://www.worldcat.org/oclc/36663043","WorldCat Record")</f>
        <v>WorldCat Record</v>
      </c>
      <c r="AW155" s="2" t="s">
        <v>2152</v>
      </c>
      <c r="AX155" s="2" t="s">
        <v>2153</v>
      </c>
      <c r="AY155" s="2" t="s">
        <v>2154</v>
      </c>
      <c r="AZ155" s="2" t="s">
        <v>2154</v>
      </c>
      <c r="BA155" s="2" t="s">
        <v>2155</v>
      </c>
      <c r="BB155" s="2" t="s">
        <v>21</v>
      </c>
      <c r="BD155" s="2" t="s">
        <v>2156</v>
      </c>
      <c r="BE155" s="2" t="s">
        <v>2157</v>
      </c>
      <c r="BF155" s="2" t="s">
        <v>2158</v>
      </c>
    </row>
    <row r="156" spans="1:58" ht="39.75" customHeight="1" x14ac:dyDescent="0.25">
      <c r="A156" s="1"/>
      <c r="B156" s="1" t="s">
        <v>0</v>
      </c>
      <c r="C156" s="1" t="s">
        <v>1</v>
      </c>
      <c r="D156" s="1" t="s">
        <v>2159</v>
      </c>
      <c r="E156" s="1" t="s">
        <v>2160</v>
      </c>
      <c r="F156" s="1" t="s">
        <v>2161</v>
      </c>
      <c r="H156" s="2" t="s">
        <v>5</v>
      </c>
      <c r="I156" s="2" t="s">
        <v>6</v>
      </c>
      <c r="J156" s="2" t="s">
        <v>5</v>
      </c>
      <c r="K156" s="2" t="s">
        <v>5</v>
      </c>
      <c r="L156" s="2" t="s">
        <v>7</v>
      </c>
      <c r="N156" s="1" t="s">
        <v>2162</v>
      </c>
      <c r="O156" s="2" t="s">
        <v>486</v>
      </c>
      <c r="Q156" s="2" t="s">
        <v>11</v>
      </c>
      <c r="R156" s="2" t="s">
        <v>260</v>
      </c>
      <c r="T156" s="2" t="s">
        <v>1367</v>
      </c>
      <c r="U156" s="3">
        <v>13</v>
      </c>
      <c r="V156" s="3">
        <v>13</v>
      </c>
      <c r="W156" s="4" t="s">
        <v>2163</v>
      </c>
      <c r="X156" s="4" t="s">
        <v>2163</v>
      </c>
      <c r="Y156" s="4" t="s">
        <v>1936</v>
      </c>
      <c r="Z156" s="4" t="s">
        <v>1936</v>
      </c>
      <c r="AA156" s="3">
        <v>218</v>
      </c>
      <c r="AB156" s="3">
        <v>208</v>
      </c>
      <c r="AC156" s="3">
        <v>208</v>
      </c>
      <c r="AD156" s="3">
        <v>4</v>
      </c>
      <c r="AE156" s="7">
        <v>4</v>
      </c>
      <c r="AF156" s="7">
        <v>17</v>
      </c>
      <c r="AG156" s="7">
        <v>17</v>
      </c>
      <c r="AH156" s="3">
        <v>5</v>
      </c>
      <c r="AI156" s="3">
        <v>5</v>
      </c>
      <c r="AJ156" s="3">
        <v>0</v>
      </c>
      <c r="AK156" s="3">
        <v>0</v>
      </c>
      <c r="AL156" s="3">
        <v>3</v>
      </c>
      <c r="AM156" s="3">
        <v>3</v>
      </c>
      <c r="AN156" s="3">
        <v>2</v>
      </c>
      <c r="AO156" s="3">
        <v>2</v>
      </c>
      <c r="AP156" s="3">
        <v>8</v>
      </c>
      <c r="AQ156" s="3">
        <v>8</v>
      </c>
      <c r="AR156" s="2" t="s">
        <v>5</v>
      </c>
      <c r="AS156" s="2" t="s">
        <v>5</v>
      </c>
      <c r="AU156" s="5" t="str">
        <f>HYPERLINK("https://creighton-primo.hosted.exlibrisgroup.com/primo-explore/search?tab=default_tab&amp;search_scope=EVERYTHING&amp;vid=01CRU&amp;lang=en_US&amp;offset=0&amp;query=any,contains,991000329889702656","Catalog Record")</f>
        <v>Catalog Record</v>
      </c>
      <c r="AV156" s="5" t="str">
        <f>HYPERLINK("http://www.worldcat.org/oclc/10190297","WorldCat Record")</f>
        <v>WorldCat Record</v>
      </c>
      <c r="AW156" s="2" t="s">
        <v>2164</v>
      </c>
      <c r="AX156" s="2" t="s">
        <v>2165</v>
      </c>
      <c r="AY156" s="2" t="s">
        <v>2166</v>
      </c>
      <c r="AZ156" s="2" t="s">
        <v>2166</v>
      </c>
      <c r="BA156" s="2" t="s">
        <v>2167</v>
      </c>
      <c r="BB156" s="2" t="s">
        <v>21</v>
      </c>
      <c r="BD156" s="2" t="s">
        <v>2168</v>
      </c>
      <c r="BE156" s="2" t="s">
        <v>2169</v>
      </c>
      <c r="BF156" s="2" t="s">
        <v>2170</v>
      </c>
    </row>
    <row r="157" spans="1:58" ht="39.75" customHeight="1" x14ac:dyDescent="0.25">
      <c r="A157" s="1"/>
      <c r="B157" s="1" t="s">
        <v>0</v>
      </c>
      <c r="C157" s="1" t="s">
        <v>1</v>
      </c>
      <c r="D157" s="1" t="s">
        <v>2171</v>
      </c>
      <c r="E157" s="1" t="s">
        <v>2172</v>
      </c>
      <c r="F157" s="1" t="s">
        <v>2173</v>
      </c>
      <c r="H157" s="2" t="s">
        <v>5</v>
      </c>
      <c r="I157" s="2" t="s">
        <v>6</v>
      </c>
      <c r="J157" s="2" t="s">
        <v>5</v>
      </c>
      <c r="K157" s="2" t="s">
        <v>5</v>
      </c>
      <c r="L157" s="2" t="s">
        <v>7</v>
      </c>
      <c r="M157" s="1" t="s">
        <v>2174</v>
      </c>
      <c r="N157" s="1" t="s">
        <v>2175</v>
      </c>
      <c r="O157" s="2" t="s">
        <v>228</v>
      </c>
      <c r="P157" s="1" t="s">
        <v>2176</v>
      </c>
      <c r="Q157" s="2" t="s">
        <v>11</v>
      </c>
      <c r="R157" s="2" t="s">
        <v>76</v>
      </c>
      <c r="T157" s="2" t="s">
        <v>1367</v>
      </c>
      <c r="U157" s="3">
        <v>4</v>
      </c>
      <c r="V157" s="3">
        <v>4</v>
      </c>
      <c r="W157" s="4" t="s">
        <v>2177</v>
      </c>
      <c r="X157" s="4" t="s">
        <v>2177</v>
      </c>
      <c r="Y157" s="4" t="s">
        <v>2178</v>
      </c>
      <c r="Z157" s="4" t="s">
        <v>2178</v>
      </c>
      <c r="AA157" s="3">
        <v>177</v>
      </c>
      <c r="AB157" s="3">
        <v>146</v>
      </c>
      <c r="AC157" s="3">
        <v>563</v>
      </c>
      <c r="AD157" s="3">
        <v>2</v>
      </c>
      <c r="AE157" s="7">
        <v>9</v>
      </c>
      <c r="AF157" s="7">
        <v>9</v>
      </c>
      <c r="AG157" s="7">
        <v>36</v>
      </c>
      <c r="AH157" s="3">
        <v>1</v>
      </c>
      <c r="AI157" s="3">
        <v>6</v>
      </c>
      <c r="AJ157" s="3">
        <v>1</v>
      </c>
      <c r="AK157" s="3">
        <v>2</v>
      </c>
      <c r="AL157" s="3">
        <v>2</v>
      </c>
      <c r="AM157" s="3">
        <v>9</v>
      </c>
      <c r="AN157" s="3">
        <v>1</v>
      </c>
      <c r="AO157" s="3">
        <v>5</v>
      </c>
      <c r="AP157" s="3">
        <v>5</v>
      </c>
      <c r="AQ157" s="3">
        <v>17</v>
      </c>
      <c r="AR157" s="2" t="s">
        <v>5</v>
      </c>
      <c r="AS157" s="2" t="s">
        <v>16</v>
      </c>
      <c r="AT157" s="5" t="str">
        <f>HYPERLINK("http://catalog.hathitrust.org/Record/011353754","HathiTrust Record")</f>
        <v>HathiTrust Record</v>
      </c>
      <c r="AU157" s="5" t="str">
        <f>HYPERLINK("https://creighton-primo.hosted.exlibrisgroup.com/primo-explore/search?tab=default_tab&amp;search_scope=EVERYTHING&amp;vid=01CRU&amp;lang=en_US&amp;offset=0&amp;query=any,contains,991001468309702656","Catalog Record")</f>
        <v>Catalog Record</v>
      </c>
      <c r="AV157" s="5" t="str">
        <f>HYPERLINK("http://www.worldcat.org/oclc/19516367","WorldCat Record")</f>
        <v>WorldCat Record</v>
      </c>
      <c r="AW157" s="2" t="s">
        <v>2179</v>
      </c>
      <c r="AX157" s="2" t="s">
        <v>2180</v>
      </c>
      <c r="AY157" s="2" t="s">
        <v>2181</v>
      </c>
      <c r="AZ157" s="2" t="s">
        <v>2181</v>
      </c>
      <c r="BA157" s="2" t="s">
        <v>2182</v>
      </c>
      <c r="BB157" s="2" t="s">
        <v>21</v>
      </c>
      <c r="BD157" s="2" t="s">
        <v>2183</v>
      </c>
      <c r="BE157" s="2" t="s">
        <v>2184</v>
      </c>
      <c r="BF157" s="2" t="s">
        <v>2185</v>
      </c>
    </row>
    <row r="158" spans="1:58" ht="39.75" customHeight="1" x14ac:dyDescent="0.25">
      <c r="A158" s="1"/>
      <c r="B158" s="1" t="s">
        <v>0</v>
      </c>
      <c r="C158" s="1" t="s">
        <v>1</v>
      </c>
      <c r="D158" s="1" t="s">
        <v>2186</v>
      </c>
      <c r="E158" s="1" t="s">
        <v>2187</v>
      </c>
      <c r="F158" s="1" t="s">
        <v>2188</v>
      </c>
      <c r="H158" s="2" t="s">
        <v>5</v>
      </c>
      <c r="I158" s="2" t="s">
        <v>6</v>
      </c>
      <c r="J158" s="2" t="s">
        <v>5</v>
      </c>
      <c r="K158" s="2" t="s">
        <v>5</v>
      </c>
      <c r="L158" s="2" t="s">
        <v>7</v>
      </c>
      <c r="M158" s="1" t="s">
        <v>2189</v>
      </c>
      <c r="N158" s="1" t="s">
        <v>2190</v>
      </c>
      <c r="O158" s="2" t="s">
        <v>75</v>
      </c>
      <c r="Q158" s="2" t="s">
        <v>11</v>
      </c>
      <c r="R158" s="2" t="s">
        <v>2191</v>
      </c>
      <c r="T158" s="2" t="s">
        <v>1367</v>
      </c>
      <c r="U158" s="3">
        <v>1</v>
      </c>
      <c r="V158" s="3">
        <v>1</v>
      </c>
      <c r="W158" s="4" t="s">
        <v>810</v>
      </c>
      <c r="X158" s="4" t="s">
        <v>810</v>
      </c>
      <c r="Y158" s="4" t="s">
        <v>2192</v>
      </c>
      <c r="Z158" s="4" t="s">
        <v>2192</v>
      </c>
      <c r="AA158" s="3">
        <v>70</v>
      </c>
      <c r="AB158" s="3">
        <v>66</v>
      </c>
      <c r="AC158" s="3">
        <v>138</v>
      </c>
      <c r="AD158" s="3">
        <v>1</v>
      </c>
      <c r="AE158" s="7">
        <v>2</v>
      </c>
      <c r="AF158" s="7">
        <v>2</v>
      </c>
      <c r="AG158" s="7">
        <v>11</v>
      </c>
      <c r="AH158" s="3">
        <v>0</v>
      </c>
      <c r="AI158" s="3">
        <v>1</v>
      </c>
      <c r="AJ158" s="3">
        <v>0</v>
      </c>
      <c r="AK158" s="3">
        <v>1</v>
      </c>
      <c r="AL158" s="3">
        <v>0</v>
      </c>
      <c r="AM158" s="3">
        <v>2</v>
      </c>
      <c r="AN158" s="3">
        <v>0</v>
      </c>
      <c r="AO158" s="3">
        <v>1</v>
      </c>
      <c r="AP158" s="3">
        <v>2</v>
      </c>
      <c r="AQ158" s="3">
        <v>7</v>
      </c>
      <c r="AR158" s="2" t="s">
        <v>5</v>
      </c>
      <c r="AS158" s="2" t="s">
        <v>5</v>
      </c>
      <c r="AU158" s="5" t="str">
        <f>HYPERLINK("https://creighton-primo.hosted.exlibrisgroup.com/primo-explore/search?tab=default_tab&amp;search_scope=EVERYTHING&amp;vid=01CRU&amp;lang=en_US&amp;offset=0&amp;query=any,contains,991002228199702656","Catalog Record")</f>
        <v>Catalog Record</v>
      </c>
      <c r="AV158" s="5" t="str">
        <f>HYPERLINK("http://www.worldcat.org/oclc/292530","WorldCat Record")</f>
        <v>WorldCat Record</v>
      </c>
      <c r="AW158" s="2" t="s">
        <v>2193</v>
      </c>
      <c r="AX158" s="2" t="s">
        <v>2194</v>
      </c>
      <c r="AY158" s="2" t="s">
        <v>2195</v>
      </c>
      <c r="AZ158" s="2" t="s">
        <v>2195</v>
      </c>
      <c r="BA158" s="2" t="s">
        <v>2196</v>
      </c>
      <c r="BB158" s="2" t="s">
        <v>21</v>
      </c>
      <c r="BD158" s="2" t="s">
        <v>2197</v>
      </c>
      <c r="BE158" s="2" t="s">
        <v>2198</v>
      </c>
      <c r="BF158" s="2" t="s">
        <v>2199</v>
      </c>
    </row>
    <row r="159" spans="1:58" ht="39.75" customHeight="1" x14ac:dyDescent="0.25">
      <c r="A159" s="1"/>
      <c r="B159" s="1" t="s">
        <v>0</v>
      </c>
      <c r="C159" s="1" t="s">
        <v>1</v>
      </c>
      <c r="D159" s="1" t="s">
        <v>2200</v>
      </c>
      <c r="E159" s="1" t="s">
        <v>2201</v>
      </c>
      <c r="F159" s="1" t="s">
        <v>2202</v>
      </c>
      <c r="H159" s="2" t="s">
        <v>5</v>
      </c>
      <c r="I159" s="2" t="s">
        <v>6</v>
      </c>
      <c r="J159" s="2" t="s">
        <v>5</v>
      </c>
      <c r="K159" s="2" t="s">
        <v>5</v>
      </c>
      <c r="L159" s="2" t="s">
        <v>7</v>
      </c>
      <c r="M159" s="1" t="s">
        <v>2203</v>
      </c>
      <c r="N159" s="1" t="s">
        <v>2204</v>
      </c>
      <c r="O159" s="2" t="s">
        <v>152</v>
      </c>
      <c r="Q159" s="2" t="s">
        <v>11</v>
      </c>
      <c r="R159" s="2" t="s">
        <v>76</v>
      </c>
      <c r="T159" s="2" t="s">
        <v>1367</v>
      </c>
      <c r="U159" s="3">
        <v>3</v>
      </c>
      <c r="V159" s="3">
        <v>3</v>
      </c>
      <c r="W159" s="4" t="s">
        <v>2205</v>
      </c>
      <c r="X159" s="4" t="s">
        <v>2205</v>
      </c>
      <c r="Y159" s="4" t="s">
        <v>2206</v>
      </c>
      <c r="Z159" s="4" t="s">
        <v>2206</v>
      </c>
      <c r="AA159" s="3">
        <v>588</v>
      </c>
      <c r="AB159" s="3">
        <v>540</v>
      </c>
      <c r="AC159" s="3">
        <v>553</v>
      </c>
      <c r="AD159" s="3">
        <v>4</v>
      </c>
      <c r="AE159" s="7">
        <v>4</v>
      </c>
      <c r="AF159" s="7">
        <v>32</v>
      </c>
      <c r="AG159" s="7">
        <v>33</v>
      </c>
      <c r="AH159" s="3">
        <v>11</v>
      </c>
      <c r="AI159" s="3">
        <v>11</v>
      </c>
      <c r="AJ159" s="3">
        <v>5</v>
      </c>
      <c r="AK159" s="3">
        <v>5</v>
      </c>
      <c r="AL159" s="3">
        <v>11</v>
      </c>
      <c r="AM159" s="3">
        <v>11</v>
      </c>
      <c r="AN159" s="3">
        <v>3</v>
      </c>
      <c r="AO159" s="3">
        <v>3</v>
      </c>
      <c r="AP159" s="3">
        <v>8</v>
      </c>
      <c r="AQ159" s="3">
        <v>9</v>
      </c>
      <c r="AR159" s="2" t="s">
        <v>5</v>
      </c>
      <c r="AS159" s="2" t="s">
        <v>16</v>
      </c>
      <c r="AT159" s="5" t="str">
        <f>HYPERLINK("http://catalog.hathitrust.org/Record/002182296","HathiTrust Record")</f>
        <v>HathiTrust Record</v>
      </c>
      <c r="AU159" s="5" t="str">
        <f>HYPERLINK("https://creighton-primo.hosted.exlibrisgroup.com/primo-explore/search?tab=default_tab&amp;search_scope=EVERYTHING&amp;vid=01CRU&amp;lang=en_US&amp;offset=0&amp;query=any,contains,991001604019702656","Catalog Record")</f>
        <v>Catalog Record</v>
      </c>
      <c r="AV159" s="5" t="str">
        <f>HYPERLINK("http://www.worldcat.org/oclc/20690322","WorldCat Record")</f>
        <v>WorldCat Record</v>
      </c>
      <c r="AW159" s="2" t="s">
        <v>2207</v>
      </c>
      <c r="AX159" s="2" t="s">
        <v>2208</v>
      </c>
      <c r="AY159" s="2" t="s">
        <v>2209</v>
      </c>
      <c r="AZ159" s="2" t="s">
        <v>2209</v>
      </c>
      <c r="BA159" s="2" t="s">
        <v>2210</v>
      </c>
      <c r="BB159" s="2" t="s">
        <v>21</v>
      </c>
      <c r="BD159" s="2" t="s">
        <v>2211</v>
      </c>
      <c r="BE159" s="2" t="s">
        <v>2212</v>
      </c>
      <c r="BF159" s="2" t="s">
        <v>2213</v>
      </c>
    </row>
    <row r="160" spans="1:58" ht="39.75" customHeight="1" x14ac:dyDescent="0.25">
      <c r="A160" s="1"/>
      <c r="B160" s="1" t="s">
        <v>0</v>
      </c>
      <c r="C160" s="1" t="s">
        <v>1</v>
      </c>
      <c r="D160" s="1" t="s">
        <v>2214</v>
      </c>
      <c r="E160" s="1" t="s">
        <v>2215</v>
      </c>
      <c r="F160" s="1" t="s">
        <v>2216</v>
      </c>
      <c r="H160" s="2" t="s">
        <v>5</v>
      </c>
      <c r="I160" s="2" t="s">
        <v>6</v>
      </c>
      <c r="J160" s="2" t="s">
        <v>16</v>
      </c>
      <c r="K160" s="2" t="s">
        <v>5</v>
      </c>
      <c r="L160" s="2" t="s">
        <v>7</v>
      </c>
      <c r="M160" s="1" t="s">
        <v>2217</v>
      </c>
      <c r="N160" s="1" t="s">
        <v>2218</v>
      </c>
      <c r="O160" s="2" t="s">
        <v>387</v>
      </c>
      <c r="Q160" s="2" t="s">
        <v>11</v>
      </c>
      <c r="R160" s="2" t="s">
        <v>1483</v>
      </c>
      <c r="T160" s="2" t="s">
        <v>1367</v>
      </c>
      <c r="U160" s="3">
        <v>5</v>
      </c>
      <c r="V160" s="3">
        <v>8</v>
      </c>
      <c r="W160" s="4" t="s">
        <v>2177</v>
      </c>
      <c r="X160" s="4" t="s">
        <v>2177</v>
      </c>
      <c r="Y160" s="4" t="s">
        <v>2219</v>
      </c>
      <c r="Z160" s="4" t="s">
        <v>2220</v>
      </c>
      <c r="AA160" s="3">
        <v>81</v>
      </c>
      <c r="AB160" s="3">
        <v>81</v>
      </c>
      <c r="AC160" s="3">
        <v>82</v>
      </c>
      <c r="AD160" s="3">
        <v>6</v>
      </c>
      <c r="AE160" s="7">
        <v>6</v>
      </c>
      <c r="AF160" s="7">
        <v>12</v>
      </c>
      <c r="AG160" s="7">
        <v>12</v>
      </c>
      <c r="AH160" s="3">
        <v>2</v>
      </c>
      <c r="AI160" s="3">
        <v>2</v>
      </c>
      <c r="AJ160" s="3">
        <v>0</v>
      </c>
      <c r="AK160" s="3">
        <v>0</v>
      </c>
      <c r="AL160" s="3">
        <v>1</v>
      </c>
      <c r="AM160" s="3">
        <v>1</v>
      </c>
      <c r="AN160" s="3">
        <v>2</v>
      </c>
      <c r="AO160" s="3">
        <v>2</v>
      </c>
      <c r="AP160" s="3">
        <v>8</v>
      </c>
      <c r="AQ160" s="3">
        <v>8</v>
      </c>
      <c r="AR160" s="2" t="s">
        <v>5</v>
      </c>
      <c r="AS160" s="2" t="s">
        <v>16</v>
      </c>
      <c r="AT160" s="5" t="str">
        <f>HYPERLINK("http://catalog.hathitrust.org/Record/007550967","HathiTrust Record")</f>
        <v>HathiTrust Record</v>
      </c>
      <c r="AU160" s="5" t="str">
        <f>HYPERLINK("https://creighton-primo.hosted.exlibrisgroup.com/primo-explore/search?tab=default_tab&amp;search_scope=EVERYTHING&amp;vid=01CRU&amp;lang=en_US&amp;offset=0&amp;query=any,contains,991001629309702656","Catalog Record")</f>
        <v>Catalog Record</v>
      </c>
      <c r="AV160" s="5" t="str">
        <f>HYPERLINK("http://www.worldcat.org/oclc/11546789","WorldCat Record")</f>
        <v>WorldCat Record</v>
      </c>
      <c r="AW160" s="2" t="s">
        <v>2221</v>
      </c>
      <c r="AX160" s="2" t="s">
        <v>2222</v>
      </c>
      <c r="AY160" s="2" t="s">
        <v>2223</v>
      </c>
      <c r="AZ160" s="2" t="s">
        <v>2223</v>
      </c>
      <c r="BA160" s="2" t="s">
        <v>2224</v>
      </c>
      <c r="BB160" s="2" t="s">
        <v>21</v>
      </c>
      <c r="BD160" s="2" t="s">
        <v>2225</v>
      </c>
      <c r="BE160" s="2" t="s">
        <v>2226</v>
      </c>
      <c r="BF160" s="2" t="s">
        <v>2227</v>
      </c>
    </row>
    <row r="161" spans="1:58" ht="39.75" customHeight="1" x14ac:dyDescent="0.25">
      <c r="A161" s="1"/>
      <c r="B161" s="1" t="s">
        <v>0</v>
      </c>
      <c r="C161" s="1" t="s">
        <v>1</v>
      </c>
      <c r="D161" s="1" t="s">
        <v>2228</v>
      </c>
      <c r="E161" s="1" t="s">
        <v>2229</v>
      </c>
      <c r="F161" s="1" t="s">
        <v>2230</v>
      </c>
      <c r="H161" s="2" t="s">
        <v>5</v>
      </c>
      <c r="I161" s="2" t="s">
        <v>6</v>
      </c>
      <c r="J161" s="2" t="s">
        <v>5</v>
      </c>
      <c r="K161" s="2" t="s">
        <v>5</v>
      </c>
      <c r="L161" s="2" t="s">
        <v>7</v>
      </c>
      <c r="N161" s="1" t="s">
        <v>2231</v>
      </c>
      <c r="O161" s="2" t="s">
        <v>228</v>
      </c>
      <c r="Q161" s="2" t="s">
        <v>11</v>
      </c>
      <c r="R161" s="2" t="s">
        <v>76</v>
      </c>
      <c r="T161" s="2" t="s">
        <v>1367</v>
      </c>
      <c r="U161" s="3">
        <v>4</v>
      </c>
      <c r="V161" s="3">
        <v>4</v>
      </c>
      <c r="W161" s="4" t="s">
        <v>2232</v>
      </c>
      <c r="X161" s="4" t="s">
        <v>2232</v>
      </c>
      <c r="Y161" s="4" t="s">
        <v>2233</v>
      </c>
      <c r="Z161" s="4" t="s">
        <v>2233</v>
      </c>
      <c r="AA161" s="3">
        <v>383</v>
      </c>
      <c r="AB161" s="3">
        <v>363</v>
      </c>
      <c r="AC161" s="3">
        <v>371</v>
      </c>
      <c r="AD161" s="3">
        <v>2</v>
      </c>
      <c r="AE161" s="7">
        <v>2</v>
      </c>
      <c r="AF161" s="7">
        <v>28</v>
      </c>
      <c r="AG161" s="7">
        <v>28</v>
      </c>
      <c r="AH161" s="3">
        <v>4</v>
      </c>
      <c r="AI161" s="3">
        <v>4</v>
      </c>
      <c r="AJ161" s="3">
        <v>1</v>
      </c>
      <c r="AK161" s="3">
        <v>1</v>
      </c>
      <c r="AL161" s="3">
        <v>5</v>
      </c>
      <c r="AM161" s="3">
        <v>5</v>
      </c>
      <c r="AN161" s="3">
        <v>0</v>
      </c>
      <c r="AO161" s="3">
        <v>0</v>
      </c>
      <c r="AP161" s="3">
        <v>19</v>
      </c>
      <c r="AQ161" s="3">
        <v>19</v>
      </c>
      <c r="AR161" s="2" t="s">
        <v>5</v>
      </c>
      <c r="AS161" s="2" t="s">
        <v>5</v>
      </c>
      <c r="AU161" s="5" t="str">
        <f>HYPERLINK("https://creighton-primo.hosted.exlibrisgroup.com/primo-explore/search?tab=default_tab&amp;search_scope=EVERYTHING&amp;vid=01CRU&amp;lang=en_US&amp;offset=0&amp;query=any,contains,991001256929702656","Catalog Record")</f>
        <v>Catalog Record</v>
      </c>
      <c r="AV161" s="5" t="str">
        <f>HYPERLINK("http://www.worldcat.org/oclc/17732250","WorldCat Record")</f>
        <v>WorldCat Record</v>
      </c>
      <c r="AW161" s="2" t="s">
        <v>2234</v>
      </c>
      <c r="AX161" s="2" t="s">
        <v>2235</v>
      </c>
      <c r="AY161" s="2" t="s">
        <v>2236</v>
      </c>
      <c r="AZ161" s="2" t="s">
        <v>2236</v>
      </c>
      <c r="BA161" s="2" t="s">
        <v>2237</v>
      </c>
      <c r="BB161" s="2" t="s">
        <v>21</v>
      </c>
      <c r="BD161" s="2" t="s">
        <v>2238</v>
      </c>
      <c r="BE161" s="2" t="s">
        <v>2239</v>
      </c>
      <c r="BF161" s="2" t="s">
        <v>2240</v>
      </c>
    </row>
    <row r="162" spans="1:58" ht="39.75" customHeight="1" x14ac:dyDescent="0.25">
      <c r="A162" s="1"/>
      <c r="B162" s="1" t="s">
        <v>0</v>
      </c>
      <c r="C162" s="1" t="s">
        <v>1</v>
      </c>
      <c r="D162" s="1" t="s">
        <v>2241</v>
      </c>
      <c r="E162" s="1" t="s">
        <v>2242</v>
      </c>
      <c r="F162" s="1" t="s">
        <v>2243</v>
      </c>
      <c r="H162" s="2" t="s">
        <v>5</v>
      </c>
      <c r="I162" s="2" t="s">
        <v>6</v>
      </c>
      <c r="J162" s="2" t="s">
        <v>16</v>
      </c>
      <c r="K162" s="2" t="s">
        <v>5</v>
      </c>
      <c r="L162" s="2" t="s">
        <v>7</v>
      </c>
      <c r="M162" s="1" t="s">
        <v>2244</v>
      </c>
      <c r="N162" s="1" t="s">
        <v>2245</v>
      </c>
      <c r="O162" s="2" t="s">
        <v>228</v>
      </c>
      <c r="Q162" s="2" t="s">
        <v>11</v>
      </c>
      <c r="R162" s="2" t="s">
        <v>244</v>
      </c>
      <c r="T162" s="2" t="s">
        <v>1367</v>
      </c>
      <c r="U162" s="3">
        <v>11</v>
      </c>
      <c r="V162" s="3">
        <v>11</v>
      </c>
      <c r="W162" s="4" t="s">
        <v>2246</v>
      </c>
      <c r="X162" s="4" t="s">
        <v>2246</v>
      </c>
      <c r="Y162" s="4" t="s">
        <v>2006</v>
      </c>
      <c r="Z162" s="4" t="s">
        <v>1705</v>
      </c>
      <c r="AA162" s="3">
        <v>672</v>
      </c>
      <c r="AB162" s="3">
        <v>607</v>
      </c>
      <c r="AC162" s="3">
        <v>622</v>
      </c>
      <c r="AD162" s="3">
        <v>6</v>
      </c>
      <c r="AE162" s="7">
        <v>6</v>
      </c>
      <c r="AF162" s="7">
        <v>43</v>
      </c>
      <c r="AG162" s="7">
        <v>43</v>
      </c>
      <c r="AH162" s="3">
        <v>11</v>
      </c>
      <c r="AI162" s="3">
        <v>11</v>
      </c>
      <c r="AJ162" s="3">
        <v>8</v>
      </c>
      <c r="AK162" s="3">
        <v>8</v>
      </c>
      <c r="AL162" s="3">
        <v>14</v>
      </c>
      <c r="AM162" s="3">
        <v>14</v>
      </c>
      <c r="AN162" s="3">
        <v>4</v>
      </c>
      <c r="AO162" s="3">
        <v>4</v>
      </c>
      <c r="AP162" s="3">
        <v>13</v>
      </c>
      <c r="AQ162" s="3">
        <v>13</v>
      </c>
      <c r="AR162" s="2" t="s">
        <v>5</v>
      </c>
      <c r="AS162" s="2" t="s">
        <v>5</v>
      </c>
      <c r="AU162" s="5" t="str">
        <f>HYPERLINK("https://creighton-primo.hosted.exlibrisgroup.com/primo-explore/search?tab=default_tab&amp;search_scope=EVERYTHING&amp;vid=01CRU&amp;lang=en_US&amp;offset=0&amp;query=any,contains,991001639419702656","Catalog Record")</f>
        <v>Catalog Record</v>
      </c>
      <c r="AV162" s="5" t="str">
        <f>HYPERLINK("http://www.worldcat.org/oclc/18191686","WorldCat Record")</f>
        <v>WorldCat Record</v>
      </c>
      <c r="AW162" s="2" t="s">
        <v>2247</v>
      </c>
      <c r="AX162" s="2" t="s">
        <v>2248</v>
      </c>
      <c r="AY162" s="2" t="s">
        <v>2249</v>
      </c>
      <c r="AZ162" s="2" t="s">
        <v>2249</v>
      </c>
      <c r="BA162" s="2" t="s">
        <v>2250</v>
      </c>
      <c r="BB162" s="2" t="s">
        <v>21</v>
      </c>
      <c r="BD162" s="2" t="s">
        <v>2251</v>
      </c>
      <c r="BE162" s="2" t="s">
        <v>2252</v>
      </c>
      <c r="BF162" s="2" t="s">
        <v>2253</v>
      </c>
    </row>
    <row r="163" spans="1:58" ht="39.75" customHeight="1" x14ac:dyDescent="0.25">
      <c r="A163" s="1"/>
      <c r="B163" s="1" t="s">
        <v>0</v>
      </c>
      <c r="C163" s="1" t="s">
        <v>1</v>
      </c>
      <c r="D163" s="1" t="s">
        <v>2254</v>
      </c>
      <c r="E163" s="1" t="s">
        <v>2255</v>
      </c>
      <c r="F163" s="1" t="s">
        <v>2256</v>
      </c>
      <c r="H163" s="2" t="s">
        <v>5</v>
      </c>
      <c r="I163" s="2" t="s">
        <v>6</v>
      </c>
      <c r="J163" s="2" t="s">
        <v>5</v>
      </c>
      <c r="K163" s="2" t="s">
        <v>5</v>
      </c>
      <c r="L163" s="2" t="s">
        <v>7</v>
      </c>
      <c r="N163" s="1" t="s">
        <v>2257</v>
      </c>
      <c r="O163" s="2" t="s">
        <v>228</v>
      </c>
      <c r="Q163" s="2" t="s">
        <v>11</v>
      </c>
      <c r="R163" s="2" t="s">
        <v>260</v>
      </c>
      <c r="S163" s="1" t="s">
        <v>2258</v>
      </c>
      <c r="T163" s="2" t="s">
        <v>1367</v>
      </c>
      <c r="U163" s="3">
        <v>2</v>
      </c>
      <c r="V163" s="3">
        <v>2</v>
      </c>
      <c r="W163" s="4" t="s">
        <v>2259</v>
      </c>
      <c r="X163" s="4" t="s">
        <v>2259</v>
      </c>
      <c r="Y163" s="4" t="s">
        <v>2260</v>
      </c>
      <c r="Z163" s="4" t="s">
        <v>2260</v>
      </c>
      <c r="AA163" s="3">
        <v>75</v>
      </c>
      <c r="AB163" s="3">
        <v>74</v>
      </c>
      <c r="AC163" s="3">
        <v>79</v>
      </c>
      <c r="AD163" s="3">
        <v>1</v>
      </c>
      <c r="AE163" s="7">
        <v>1</v>
      </c>
      <c r="AF163" s="7">
        <v>7</v>
      </c>
      <c r="AG163" s="7">
        <v>7</v>
      </c>
      <c r="AH163" s="3">
        <v>0</v>
      </c>
      <c r="AI163" s="3">
        <v>0</v>
      </c>
      <c r="AJ163" s="3">
        <v>1</v>
      </c>
      <c r="AK163" s="3">
        <v>1</v>
      </c>
      <c r="AL163" s="3">
        <v>4</v>
      </c>
      <c r="AM163" s="3">
        <v>4</v>
      </c>
      <c r="AN163" s="3">
        <v>0</v>
      </c>
      <c r="AO163" s="3">
        <v>0</v>
      </c>
      <c r="AP163" s="3">
        <v>3</v>
      </c>
      <c r="AQ163" s="3">
        <v>3</v>
      </c>
      <c r="AR163" s="2" t="s">
        <v>5</v>
      </c>
      <c r="AS163" s="2" t="s">
        <v>5</v>
      </c>
      <c r="AU163" s="5" t="str">
        <f>HYPERLINK("https://creighton-primo.hosted.exlibrisgroup.com/primo-explore/search?tab=default_tab&amp;search_scope=EVERYTHING&amp;vid=01CRU&amp;lang=en_US&amp;offset=0&amp;query=any,contains,991001793839702656","Catalog Record")</f>
        <v>Catalog Record</v>
      </c>
      <c r="AV163" s="5" t="str">
        <f>HYPERLINK("http://www.worldcat.org/oclc/22590460","WorldCat Record")</f>
        <v>WorldCat Record</v>
      </c>
      <c r="AW163" s="2" t="s">
        <v>2261</v>
      </c>
      <c r="AX163" s="2" t="s">
        <v>2262</v>
      </c>
      <c r="AY163" s="2" t="s">
        <v>2263</v>
      </c>
      <c r="AZ163" s="2" t="s">
        <v>2263</v>
      </c>
      <c r="BA163" s="2" t="s">
        <v>2264</v>
      </c>
      <c r="BB163" s="2" t="s">
        <v>21</v>
      </c>
      <c r="BD163" s="2" t="s">
        <v>2265</v>
      </c>
      <c r="BE163" s="2" t="s">
        <v>2266</v>
      </c>
      <c r="BF163" s="2" t="s">
        <v>2267</v>
      </c>
    </row>
    <row r="164" spans="1:58" ht="39.75" customHeight="1" x14ac:dyDescent="0.25">
      <c r="A164" s="1"/>
      <c r="B164" s="1" t="s">
        <v>0</v>
      </c>
      <c r="C164" s="1" t="s">
        <v>1</v>
      </c>
      <c r="D164" s="1" t="s">
        <v>2268</v>
      </c>
      <c r="E164" s="1" t="s">
        <v>2269</v>
      </c>
      <c r="F164" s="1" t="s">
        <v>2270</v>
      </c>
      <c r="H164" s="2" t="s">
        <v>5</v>
      </c>
      <c r="I164" s="2" t="s">
        <v>6</v>
      </c>
      <c r="J164" s="2" t="s">
        <v>16</v>
      </c>
      <c r="K164" s="2" t="s">
        <v>5</v>
      </c>
      <c r="L164" s="2" t="s">
        <v>7</v>
      </c>
      <c r="N164" s="1" t="s">
        <v>2271</v>
      </c>
      <c r="O164" s="2" t="s">
        <v>1745</v>
      </c>
      <c r="Q164" s="2" t="s">
        <v>11</v>
      </c>
      <c r="R164" s="2" t="s">
        <v>244</v>
      </c>
      <c r="T164" s="2" t="s">
        <v>1367</v>
      </c>
      <c r="U164" s="3">
        <v>4</v>
      </c>
      <c r="V164" s="3">
        <v>13</v>
      </c>
      <c r="W164" s="4" t="s">
        <v>2272</v>
      </c>
      <c r="X164" s="4" t="s">
        <v>2273</v>
      </c>
      <c r="Y164" s="4" t="s">
        <v>2274</v>
      </c>
      <c r="Z164" s="4" t="s">
        <v>2274</v>
      </c>
      <c r="AA164" s="3">
        <v>402</v>
      </c>
      <c r="AB164" s="3">
        <v>337</v>
      </c>
      <c r="AC164" s="3">
        <v>339</v>
      </c>
      <c r="AD164" s="3">
        <v>4</v>
      </c>
      <c r="AE164" s="7">
        <v>4</v>
      </c>
      <c r="AF164" s="7">
        <v>26</v>
      </c>
      <c r="AG164" s="7">
        <v>26</v>
      </c>
      <c r="AH164" s="3">
        <v>4</v>
      </c>
      <c r="AI164" s="3">
        <v>4</v>
      </c>
      <c r="AJ164" s="3">
        <v>0</v>
      </c>
      <c r="AK164" s="3">
        <v>0</v>
      </c>
      <c r="AL164" s="3">
        <v>2</v>
      </c>
      <c r="AM164" s="3">
        <v>2</v>
      </c>
      <c r="AN164" s="3">
        <v>1</v>
      </c>
      <c r="AO164" s="3">
        <v>1</v>
      </c>
      <c r="AP164" s="3">
        <v>20</v>
      </c>
      <c r="AQ164" s="3">
        <v>20</v>
      </c>
      <c r="AR164" s="2" t="s">
        <v>5</v>
      </c>
      <c r="AS164" s="2" t="s">
        <v>16</v>
      </c>
      <c r="AT164" s="5" t="str">
        <f>HYPERLINK("http://catalog.hathitrust.org/Record/002647718","HathiTrust Record")</f>
        <v>HathiTrust Record</v>
      </c>
      <c r="AU164" s="5" t="str">
        <f>HYPERLINK("https://creighton-primo.hosted.exlibrisgroup.com/primo-explore/search?tab=default_tab&amp;search_scope=EVERYTHING&amp;vid=01CRU&amp;lang=en_US&amp;offset=0&amp;query=any,contains,991001653559702656","Catalog Record")</f>
        <v>Catalog Record</v>
      </c>
      <c r="AV164" s="5" t="str">
        <f>HYPERLINK("http://www.worldcat.org/oclc/26213672","WorldCat Record")</f>
        <v>WorldCat Record</v>
      </c>
      <c r="AW164" s="2" t="s">
        <v>2275</v>
      </c>
      <c r="AX164" s="2" t="s">
        <v>2276</v>
      </c>
      <c r="AY164" s="2" t="s">
        <v>2277</v>
      </c>
      <c r="AZ164" s="2" t="s">
        <v>2277</v>
      </c>
      <c r="BA164" s="2" t="s">
        <v>2278</v>
      </c>
      <c r="BB164" s="2" t="s">
        <v>21</v>
      </c>
      <c r="BD164" s="2" t="s">
        <v>2279</v>
      </c>
      <c r="BE164" s="2" t="s">
        <v>2280</v>
      </c>
      <c r="BF164" s="2" t="s">
        <v>2281</v>
      </c>
    </row>
    <row r="165" spans="1:58" ht="39.75" customHeight="1" x14ac:dyDescent="0.25">
      <c r="A165" s="1"/>
      <c r="B165" s="1" t="s">
        <v>0</v>
      </c>
      <c r="C165" s="1" t="s">
        <v>1</v>
      </c>
      <c r="D165" s="1" t="s">
        <v>2282</v>
      </c>
      <c r="E165" s="1" t="s">
        <v>2283</v>
      </c>
      <c r="F165" s="1" t="s">
        <v>2284</v>
      </c>
      <c r="H165" s="2" t="s">
        <v>5</v>
      </c>
      <c r="I165" s="2" t="s">
        <v>6</v>
      </c>
      <c r="J165" s="2" t="s">
        <v>16</v>
      </c>
      <c r="K165" s="2" t="s">
        <v>5</v>
      </c>
      <c r="L165" s="2" t="s">
        <v>7</v>
      </c>
      <c r="N165" s="1" t="s">
        <v>2285</v>
      </c>
      <c r="O165" s="2" t="s">
        <v>1745</v>
      </c>
      <c r="Q165" s="2" t="s">
        <v>11</v>
      </c>
      <c r="R165" s="2" t="s">
        <v>501</v>
      </c>
      <c r="T165" s="2" t="s">
        <v>1367</v>
      </c>
      <c r="U165" s="3">
        <v>4</v>
      </c>
      <c r="V165" s="3">
        <v>10</v>
      </c>
      <c r="W165" s="4" t="s">
        <v>2286</v>
      </c>
      <c r="X165" s="4" t="s">
        <v>2287</v>
      </c>
      <c r="Y165" s="4" t="s">
        <v>2288</v>
      </c>
      <c r="Z165" s="4" t="s">
        <v>2288</v>
      </c>
      <c r="AA165" s="3">
        <v>288</v>
      </c>
      <c r="AB165" s="3">
        <v>266</v>
      </c>
      <c r="AC165" s="3">
        <v>266</v>
      </c>
      <c r="AD165" s="3">
        <v>3</v>
      </c>
      <c r="AE165" s="7">
        <v>3</v>
      </c>
      <c r="AF165" s="7">
        <v>25</v>
      </c>
      <c r="AG165" s="7">
        <v>25</v>
      </c>
      <c r="AH165" s="3">
        <v>3</v>
      </c>
      <c r="AI165" s="3">
        <v>3</v>
      </c>
      <c r="AJ165" s="3">
        <v>3</v>
      </c>
      <c r="AK165" s="3">
        <v>3</v>
      </c>
      <c r="AL165" s="3">
        <v>4</v>
      </c>
      <c r="AM165" s="3">
        <v>4</v>
      </c>
      <c r="AN165" s="3">
        <v>1</v>
      </c>
      <c r="AO165" s="3">
        <v>1</v>
      </c>
      <c r="AP165" s="3">
        <v>16</v>
      </c>
      <c r="AQ165" s="3">
        <v>16</v>
      </c>
      <c r="AR165" s="2" t="s">
        <v>5</v>
      </c>
      <c r="AS165" s="2" t="s">
        <v>5</v>
      </c>
      <c r="AU165" s="5" t="str">
        <f>HYPERLINK("https://creighton-primo.hosted.exlibrisgroup.com/primo-explore/search?tab=default_tab&amp;search_scope=EVERYTHING&amp;vid=01CRU&amp;lang=en_US&amp;offset=0&amp;query=any,contains,991001656289702656","Catalog Record")</f>
        <v>Catalog Record</v>
      </c>
      <c r="AV165" s="5" t="str">
        <f>HYPERLINK("http://www.worldcat.org/oclc/27147648","WorldCat Record")</f>
        <v>WorldCat Record</v>
      </c>
      <c r="AW165" s="2" t="s">
        <v>2289</v>
      </c>
      <c r="AX165" s="2" t="s">
        <v>2290</v>
      </c>
      <c r="AY165" s="2" t="s">
        <v>2291</v>
      </c>
      <c r="AZ165" s="2" t="s">
        <v>2291</v>
      </c>
      <c r="BA165" s="2" t="s">
        <v>2292</v>
      </c>
      <c r="BB165" s="2" t="s">
        <v>21</v>
      </c>
      <c r="BD165" s="2" t="s">
        <v>2293</v>
      </c>
      <c r="BE165" s="2" t="s">
        <v>2294</v>
      </c>
      <c r="BF165" s="2" t="s">
        <v>2295</v>
      </c>
    </row>
    <row r="166" spans="1:58" ht="39.75" customHeight="1" x14ac:dyDescent="0.25">
      <c r="A166" s="1"/>
      <c r="B166" s="1" t="s">
        <v>0</v>
      </c>
      <c r="C166" s="1" t="s">
        <v>1</v>
      </c>
      <c r="D166" s="1" t="s">
        <v>2296</v>
      </c>
      <c r="E166" s="1" t="s">
        <v>2297</v>
      </c>
      <c r="F166" s="1" t="s">
        <v>2298</v>
      </c>
      <c r="H166" s="2" t="s">
        <v>5</v>
      </c>
      <c r="I166" s="2" t="s">
        <v>6</v>
      </c>
      <c r="J166" s="2" t="s">
        <v>16</v>
      </c>
      <c r="K166" s="2" t="s">
        <v>5</v>
      </c>
      <c r="L166" s="2" t="s">
        <v>7</v>
      </c>
      <c r="M166" s="1" t="s">
        <v>2299</v>
      </c>
      <c r="N166" s="1" t="s">
        <v>2300</v>
      </c>
      <c r="O166" s="2" t="s">
        <v>45</v>
      </c>
      <c r="Q166" s="2" t="s">
        <v>11</v>
      </c>
      <c r="R166" s="2" t="s">
        <v>124</v>
      </c>
      <c r="S166" s="1" t="s">
        <v>2301</v>
      </c>
      <c r="T166" s="2" t="s">
        <v>1367</v>
      </c>
      <c r="U166" s="3">
        <v>4</v>
      </c>
      <c r="V166" s="3">
        <v>7</v>
      </c>
      <c r="W166" s="4" t="s">
        <v>2302</v>
      </c>
      <c r="X166" s="4" t="s">
        <v>2303</v>
      </c>
      <c r="Y166" s="4" t="s">
        <v>2304</v>
      </c>
      <c r="Z166" s="4" t="s">
        <v>2305</v>
      </c>
      <c r="AA166" s="3">
        <v>541</v>
      </c>
      <c r="AB166" s="3">
        <v>493</v>
      </c>
      <c r="AC166" s="3">
        <v>500</v>
      </c>
      <c r="AD166" s="3">
        <v>4</v>
      </c>
      <c r="AE166" s="7">
        <v>4</v>
      </c>
      <c r="AF166" s="7">
        <v>36</v>
      </c>
      <c r="AG166" s="7">
        <v>36</v>
      </c>
      <c r="AH166" s="3">
        <v>7</v>
      </c>
      <c r="AI166" s="3">
        <v>7</v>
      </c>
      <c r="AJ166" s="3">
        <v>4</v>
      </c>
      <c r="AK166" s="3">
        <v>4</v>
      </c>
      <c r="AL166" s="3">
        <v>11</v>
      </c>
      <c r="AM166" s="3">
        <v>11</v>
      </c>
      <c r="AN166" s="3">
        <v>1</v>
      </c>
      <c r="AO166" s="3">
        <v>1</v>
      </c>
      <c r="AP166" s="3">
        <v>18</v>
      </c>
      <c r="AQ166" s="3">
        <v>18</v>
      </c>
      <c r="AR166" s="2" t="s">
        <v>5</v>
      </c>
      <c r="AS166" s="2" t="s">
        <v>16</v>
      </c>
      <c r="AT166" s="5" t="str">
        <f>HYPERLINK("http://catalog.hathitrust.org/Record/000350790","HathiTrust Record")</f>
        <v>HathiTrust Record</v>
      </c>
      <c r="AU166" s="5" t="str">
        <f>HYPERLINK("https://creighton-primo.hosted.exlibrisgroup.com/primo-explore/search?tab=default_tab&amp;search_scope=EVERYTHING&amp;vid=01CRU&amp;lang=en_US&amp;offset=0&amp;query=any,contains,991001680579702656","Catalog Record")</f>
        <v>Catalog Record</v>
      </c>
      <c r="AV166" s="5" t="str">
        <f>HYPERLINK("http://www.worldcat.org/oclc/11133016","WorldCat Record")</f>
        <v>WorldCat Record</v>
      </c>
      <c r="AW166" s="2" t="s">
        <v>2306</v>
      </c>
      <c r="AX166" s="2" t="s">
        <v>2307</v>
      </c>
      <c r="AY166" s="2" t="s">
        <v>2308</v>
      </c>
      <c r="AZ166" s="2" t="s">
        <v>2308</v>
      </c>
      <c r="BA166" s="2" t="s">
        <v>2309</v>
      </c>
      <c r="BB166" s="2" t="s">
        <v>21</v>
      </c>
      <c r="BD166" s="2" t="s">
        <v>2310</v>
      </c>
      <c r="BE166" s="2" t="s">
        <v>2311</v>
      </c>
      <c r="BF166" s="2" t="s">
        <v>2312</v>
      </c>
    </row>
    <row r="167" spans="1:58" ht="39.75" customHeight="1" x14ac:dyDescent="0.25">
      <c r="A167" s="1"/>
      <c r="B167" s="1" t="s">
        <v>0</v>
      </c>
      <c r="C167" s="1" t="s">
        <v>1</v>
      </c>
      <c r="D167" s="1" t="s">
        <v>2313</v>
      </c>
      <c r="E167" s="1" t="s">
        <v>2314</v>
      </c>
      <c r="F167" s="1" t="s">
        <v>2315</v>
      </c>
      <c r="H167" s="2" t="s">
        <v>5</v>
      </c>
      <c r="I167" s="2" t="s">
        <v>6</v>
      </c>
      <c r="J167" s="2" t="s">
        <v>5</v>
      </c>
      <c r="K167" s="2" t="s">
        <v>5</v>
      </c>
      <c r="L167" s="2" t="s">
        <v>7</v>
      </c>
      <c r="M167" s="1" t="s">
        <v>2316</v>
      </c>
      <c r="N167" s="1" t="s">
        <v>2317</v>
      </c>
      <c r="O167" s="2" t="s">
        <v>184</v>
      </c>
      <c r="P167" s="1" t="s">
        <v>2318</v>
      </c>
      <c r="Q167" s="2" t="s">
        <v>11</v>
      </c>
      <c r="R167" s="2" t="s">
        <v>501</v>
      </c>
      <c r="T167" s="2" t="s">
        <v>1367</v>
      </c>
      <c r="U167" s="3">
        <v>5</v>
      </c>
      <c r="V167" s="3">
        <v>5</v>
      </c>
      <c r="W167" s="4" t="s">
        <v>2319</v>
      </c>
      <c r="X167" s="4" t="s">
        <v>2319</v>
      </c>
      <c r="Y167" s="4" t="s">
        <v>1936</v>
      </c>
      <c r="Z167" s="4" t="s">
        <v>1936</v>
      </c>
      <c r="AA167" s="3">
        <v>358</v>
      </c>
      <c r="AB167" s="3">
        <v>318</v>
      </c>
      <c r="AC167" s="3">
        <v>682</v>
      </c>
      <c r="AD167" s="3">
        <v>5</v>
      </c>
      <c r="AE167" s="7">
        <v>7</v>
      </c>
      <c r="AF167" s="7">
        <v>15</v>
      </c>
      <c r="AG167" s="7">
        <v>40</v>
      </c>
      <c r="AH167" s="3">
        <v>2</v>
      </c>
      <c r="AI167" s="3">
        <v>11</v>
      </c>
      <c r="AJ167" s="3">
        <v>3</v>
      </c>
      <c r="AK167" s="3">
        <v>3</v>
      </c>
      <c r="AL167" s="3">
        <v>7</v>
      </c>
      <c r="AM167" s="3">
        <v>16</v>
      </c>
      <c r="AN167" s="3">
        <v>4</v>
      </c>
      <c r="AO167" s="3">
        <v>5</v>
      </c>
      <c r="AP167" s="3">
        <v>3</v>
      </c>
      <c r="AQ167" s="3">
        <v>13</v>
      </c>
      <c r="AR167" s="2" t="s">
        <v>5</v>
      </c>
      <c r="AS167" s="2" t="s">
        <v>5</v>
      </c>
      <c r="AU167" s="5" t="str">
        <f>HYPERLINK("https://creighton-primo.hosted.exlibrisgroup.com/primo-explore/search?tab=default_tab&amp;search_scope=EVERYTHING&amp;vid=01CRU&amp;lang=en_US&amp;offset=0&amp;query=any,contains,991000063259702656","Catalog Record")</f>
        <v>Catalog Record</v>
      </c>
      <c r="AV167" s="5" t="str">
        <f>HYPERLINK("http://www.worldcat.org/oclc/8752355","WorldCat Record")</f>
        <v>WorldCat Record</v>
      </c>
      <c r="AW167" s="2" t="s">
        <v>2320</v>
      </c>
      <c r="AX167" s="2" t="s">
        <v>2321</v>
      </c>
      <c r="AY167" s="2" t="s">
        <v>2322</v>
      </c>
      <c r="AZ167" s="2" t="s">
        <v>2322</v>
      </c>
      <c r="BA167" s="2" t="s">
        <v>2323</v>
      </c>
      <c r="BB167" s="2" t="s">
        <v>21</v>
      </c>
      <c r="BD167" s="2" t="s">
        <v>2324</v>
      </c>
      <c r="BE167" s="2" t="s">
        <v>2325</v>
      </c>
      <c r="BF167" s="2" t="s">
        <v>2326</v>
      </c>
    </row>
    <row r="168" spans="1:58" ht="39.75" customHeight="1" x14ac:dyDescent="0.25">
      <c r="A168" s="1"/>
      <c r="B168" s="1" t="s">
        <v>0</v>
      </c>
      <c r="C168" s="1" t="s">
        <v>1</v>
      </c>
      <c r="D168" s="1" t="s">
        <v>2327</v>
      </c>
      <c r="E168" s="1" t="s">
        <v>2328</v>
      </c>
      <c r="F168" s="1" t="s">
        <v>2329</v>
      </c>
      <c r="H168" s="2" t="s">
        <v>5</v>
      </c>
      <c r="I168" s="2" t="s">
        <v>6</v>
      </c>
      <c r="J168" s="2" t="s">
        <v>5</v>
      </c>
      <c r="K168" s="2" t="s">
        <v>5</v>
      </c>
      <c r="L168" s="2" t="s">
        <v>7</v>
      </c>
      <c r="M168" s="1" t="s">
        <v>2330</v>
      </c>
      <c r="O168" s="2" t="s">
        <v>2331</v>
      </c>
      <c r="P168" s="1" t="s">
        <v>2332</v>
      </c>
      <c r="Q168" s="2" t="s">
        <v>11</v>
      </c>
      <c r="R168" s="2" t="s">
        <v>12</v>
      </c>
      <c r="T168" s="2" t="s">
        <v>1367</v>
      </c>
      <c r="U168" s="3">
        <v>1</v>
      </c>
      <c r="V168" s="3">
        <v>1</v>
      </c>
      <c r="W168" s="4" t="s">
        <v>2333</v>
      </c>
      <c r="X168" s="4" t="s">
        <v>2333</v>
      </c>
      <c r="Y168" s="4" t="s">
        <v>2334</v>
      </c>
      <c r="Z168" s="4" t="s">
        <v>2334</v>
      </c>
      <c r="AA168" s="3">
        <v>139</v>
      </c>
      <c r="AB168" s="3">
        <v>134</v>
      </c>
      <c r="AC168" s="3">
        <v>208</v>
      </c>
      <c r="AD168" s="3">
        <v>1</v>
      </c>
      <c r="AE168" s="7">
        <v>2</v>
      </c>
      <c r="AF168" s="7">
        <v>5</v>
      </c>
      <c r="AG168" s="7">
        <v>9</v>
      </c>
      <c r="AH168" s="3">
        <v>0</v>
      </c>
      <c r="AI168" s="3">
        <v>1</v>
      </c>
      <c r="AJ168" s="3">
        <v>1</v>
      </c>
      <c r="AK168" s="3">
        <v>1</v>
      </c>
      <c r="AL168" s="3">
        <v>1</v>
      </c>
      <c r="AM168" s="3">
        <v>4</v>
      </c>
      <c r="AN168" s="3">
        <v>0</v>
      </c>
      <c r="AO168" s="3">
        <v>1</v>
      </c>
      <c r="AP168" s="3">
        <v>3</v>
      </c>
      <c r="AQ168" s="3">
        <v>3</v>
      </c>
      <c r="AR168" s="2" t="s">
        <v>5</v>
      </c>
      <c r="AS168" s="2" t="s">
        <v>5</v>
      </c>
      <c r="AU168" s="5" t="str">
        <f>HYPERLINK("https://creighton-primo.hosted.exlibrisgroup.com/primo-explore/search?tab=default_tab&amp;search_scope=EVERYTHING&amp;vid=01CRU&amp;lang=en_US&amp;offset=0&amp;query=any,contains,991004074039702656","Catalog Record")</f>
        <v>Catalog Record</v>
      </c>
      <c r="AV168" s="5" t="str">
        <f>HYPERLINK("http://www.worldcat.org/oclc/2313471","WorldCat Record")</f>
        <v>WorldCat Record</v>
      </c>
      <c r="AW168" s="2" t="s">
        <v>2335</v>
      </c>
      <c r="AX168" s="2" t="s">
        <v>2336</v>
      </c>
      <c r="AY168" s="2" t="s">
        <v>2337</v>
      </c>
      <c r="AZ168" s="2" t="s">
        <v>2337</v>
      </c>
      <c r="BA168" s="2" t="s">
        <v>2338</v>
      </c>
      <c r="BB168" s="2" t="s">
        <v>21</v>
      </c>
      <c r="BE168" s="2" t="s">
        <v>2339</v>
      </c>
      <c r="BF168" s="2" t="s">
        <v>2340</v>
      </c>
    </row>
    <row r="169" spans="1:58" ht="39.75" customHeight="1" x14ac:dyDescent="0.25">
      <c r="A169" s="1"/>
      <c r="B169" s="1" t="s">
        <v>0</v>
      </c>
      <c r="C169" s="1" t="s">
        <v>1</v>
      </c>
      <c r="D169" s="1" t="s">
        <v>2341</v>
      </c>
      <c r="E169" s="1" t="s">
        <v>2342</v>
      </c>
      <c r="F169" s="1" t="s">
        <v>2343</v>
      </c>
      <c r="H169" s="2" t="s">
        <v>5</v>
      </c>
      <c r="I169" s="2" t="s">
        <v>6</v>
      </c>
      <c r="J169" s="2" t="s">
        <v>16</v>
      </c>
      <c r="K169" s="2" t="s">
        <v>5</v>
      </c>
      <c r="L169" s="2" t="s">
        <v>7</v>
      </c>
      <c r="N169" s="1" t="s">
        <v>2344</v>
      </c>
      <c r="O169" s="2" t="s">
        <v>1001</v>
      </c>
      <c r="Q169" s="2" t="s">
        <v>11</v>
      </c>
      <c r="R169" s="2" t="s">
        <v>244</v>
      </c>
      <c r="T169" s="2" t="s">
        <v>1367</v>
      </c>
      <c r="U169" s="3">
        <v>18</v>
      </c>
      <c r="V169" s="3">
        <v>19</v>
      </c>
      <c r="W169" s="4" t="s">
        <v>2345</v>
      </c>
      <c r="X169" s="4" t="s">
        <v>2345</v>
      </c>
      <c r="Y169" s="4" t="s">
        <v>2346</v>
      </c>
      <c r="Z169" s="4" t="s">
        <v>2347</v>
      </c>
      <c r="AA169" s="3">
        <v>316</v>
      </c>
      <c r="AB169" s="3">
        <v>295</v>
      </c>
      <c r="AC169" s="3">
        <v>311</v>
      </c>
      <c r="AD169" s="3">
        <v>4</v>
      </c>
      <c r="AE169" s="7">
        <v>4</v>
      </c>
      <c r="AF169" s="7">
        <v>29</v>
      </c>
      <c r="AG169" s="7">
        <v>31</v>
      </c>
      <c r="AH169" s="3">
        <v>1</v>
      </c>
      <c r="AI169" s="3">
        <v>2</v>
      </c>
      <c r="AJ169" s="3">
        <v>1</v>
      </c>
      <c r="AK169" s="3">
        <v>2</v>
      </c>
      <c r="AL169" s="3">
        <v>8</v>
      </c>
      <c r="AM169" s="3">
        <v>8</v>
      </c>
      <c r="AN169" s="3">
        <v>2</v>
      </c>
      <c r="AO169" s="3">
        <v>2</v>
      </c>
      <c r="AP169" s="3">
        <v>19</v>
      </c>
      <c r="AQ169" s="3">
        <v>19</v>
      </c>
      <c r="AR169" s="2" t="s">
        <v>5</v>
      </c>
      <c r="AS169" s="2" t="s">
        <v>16</v>
      </c>
      <c r="AT169" s="5" t="str">
        <f>HYPERLINK("http://catalog.hathitrust.org/Record/000030580","HathiTrust Record")</f>
        <v>HathiTrust Record</v>
      </c>
      <c r="AU169" s="5" t="str">
        <f>HYPERLINK("https://creighton-primo.hosted.exlibrisgroup.com/primo-explore/search?tab=default_tab&amp;search_scope=EVERYTHING&amp;vid=01CRU&amp;lang=en_US&amp;offset=0&amp;query=any,contains,991001740359702656","Catalog Record")</f>
        <v>Catalog Record</v>
      </c>
      <c r="AV169" s="5" t="str">
        <f>HYPERLINK("http://www.worldcat.org/oclc/1974986","WorldCat Record")</f>
        <v>WorldCat Record</v>
      </c>
      <c r="AW169" s="2" t="s">
        <v>2348</v>
      </c>
      <c r="AX169" s="2" t="s">
        <v>2349</v>
      </c>
      <c r="AY169" s="2" t="s">
        <v>2350</v>
      </c>
      <c r="AZ169" s="2" t="s">
        <v>2350</v>
      </c>
      <c r="BA169" s="2" t="s">
        <v>2351</v>
      </c>
      <c r="BB169" s="2" t="s">
        <v>21</v>
      </c>
      <c r="BE169" s="2" t="s">
        <v>2352</v>
      </c>
      <c r="BF169" s="2" t="s">
        <v>2353</v>
      </c>
    </row>
    <row r="170" spans="1:58" ht="39.75" customHeight="1" x14ac:dyDescent="0.25">
      <c r="A170" s="1"/>
      <c r="B170" s="1" t="s">
        <v>0</v>
      </c>
      <c r="C170" s="1" t="s">
        <v>1</v>
      </c>
      <c r="D170" s="1" t="s">
        <v>2354</v>
      </c>
      <c r="E170" s="1" t="s">
        <v>2355</v>
      </c>
      <c r="F170" s="1" t="s">
        <v>2356</v>
      </c>
      <c r="H170" s="2" t="s">
        <v>5</v>
      </c>
      <c r="I170" s="2" t="s">
        <v>6</v>
      </c>
      <c r="J170" s="2" t="s">
        <v>16</v>
      </c>
      <c r="K170" s="2" t="s">
        <v>5</v>
      </c>
      <c r="L170" s="2" t="s">
        <v>7</v>
      </c>
      <c r="M170" s="1" t="s">
        <v>2357</v>
      </c>
      <c r="N170" s="1" t="s">
        <v>2358</v>
      </c>
      <c r="O170" s="2" t="s">
        <v>1469</v>
      </c>
      <c r="P170" s="1" t="s">
        <v>1907</v>
      </c>
      <c r="Q170" s="2" t="s">
        <v>11</v>
      </c>
      <c r="R170" s="2" t="s">
        <v>76</v>
      </c>
      <c r="T170" s="2" t="s">
        <v>1367</v>
      </c>
      <c r="U170" s="3">
        <v>5</v>
      </c>
      <c r="V170" s="3">
        <v>6</v>
      </c>
      <c r="W170" s="4" t="s">
        <v>2359</v>
      </c>
      <c r="X170" s="4" t="s">
        <v>2360</v>
      </c>
      <c r="Y170" s="4" t="s">
        <v>2361</v>
      </c>
      <c r="Z170" s="4" t="s">
        <v>2362</v>
      </c>
      <c r="AA170" s="3">
        <v>987</v>
      </c>
      <c r="AB170" s="3">
        <v>927</v>
      </c>
      <c r="AC170" s="3">
        <v>991</v>
      </c>
      <c r="AD170" s="3">
        <v>8</v>
      </c>
      <c r="AE170" s="7">
        <v>9</v>
      </c>
      <c r="AF170" s="7">
        <v>46</v>
      </c>
      <c r="AG170" s="7">
        <v>49</v>
      </c>
      <c r="AH170" s="3">
        <v>6</v>
      </c>
      <c r="AI170" s="3">
        <v>6</v>
      </c>
      <c r="AJ170" s="3">
        <v>7</v>
      </c>
      <c r="AK170" s="3">
        <v>7</v>
      </c>
      <c r="AL170" s="3">
        <v>16</v>
      </c>
      <c r="AM170" s="3">
        <v>16</v>
      </c>
      <c r="AN170" s="3">
        <v>3</v>
      </c>
      <c r="AO170" s="3">
        <v>3</v>
      </c>
      <c r="AP170" s="3">
        <v>21</v>
      </c>
      <c r="AQ170" s="3">
        <v>24</v>
      </c>
      <c r="AR170" s="2" t="s">
        <v>5</v>
      </c>
      <c r="AS170" s="2" t="s">
        <v>16</v>
      </c>
      <c r="AT170" s="5" t="str">
        <f>HYPERLINK("http://catalog.hathitrust.org/Record/001278421","HathiTrust Record")</f>
        <v>HathiTrust Record</v>
      </c>
      <c r="AU170" s="5" t="str">
        <f>HYPERLINK("https://creighton-primo.hosted.exlibrisgroup.com/primo-explore/search?tab=default_tab&amp;search_scope=EVERYTHING&amp;vid=01CRU&amp;lang=en_US&amp;offset=0&amp;query=any,contains,991001649529702656","Catalog Record")</f>
        <v>Catalog Record</v>
      </c>
      <c r="AV170" s="5" t="str">
        <f>HYPERLINK("http://www.worldcat.org/oclc/510192","WorldCat Record")</f>
        <v>WorldCat Record</v>
      </c>
      <c r="AW170" s="2" t="s">
        <v>2363</v>
      </c>
      <c r="AX170" s="2" t="s">
        <v>2364</v>
      </c>
      <c r="AY170" s="2" t="s">
        <v>2365</v>
      </c>
      <c r="AZ170" s="2" t="s">
        <v>2365</v>
      </c>
      <c r="BA170" s="2" t="s">
        <v>2366</v>
      </c>
      <c r="BB170" s="2" t="s">
        <v>21</v>
      </c>
      <c r="BE170" s="2" t="s">
        <v>2367</v>
      </c>
      <c r="BF170" s="2" t="s">
        <v>2368</v>
      </c>
    </row>
    <row r="171" spans="1:58" ht="39.75" customHeight="1" x14ac:dyDescent="0.25">
      <c r="A171" s="1"/>
      <c r="B171" s="1" t="s">
        <v>0</v>
      </c>
      <c r="C171" s="1" t="s">
        <v>1</v>
      </c>
      <c r="D171" s="1" t="s">
        <v>2369</v>
      </c>
      <c r="E171" s="1" t="s">
        <v>2370</v>
      </c>
      <c r="F171" s="1" t="s">
        <v>2371</v>
      </c>
      <c r="H171" s="2" t="s">
        <v>5</v>
      </c>
      <c r="I171" s="2" t="s">
        <v>6</v>
      </c>
      <c r="J171" s="2" t="s">
        <v>16</v>
      </c>
      <c r="K171" s="2" t="s">
        <v>5</v>
      </c>
      <c r="L171" s="2" t="s">
        <v>7</v>
      </c>
      <c r="M171" s="1" t="s">
        <v>2372</v>
      </c>
      <c r="N171" s="1" t="s">
        <v>2373</v>
      </c>
      <c r="O171" s="2" t="s">
        <v>530</v>
      </c>
      <c r="Q171" s="2" t="s">
        <v>11</v>
      </c>
      <c r="R171" s="2" t="s">
        <v>306</v>
      </c>
      <c r="T171" s="2" t="s">
        <v>1367</v>
      </c>
      <c r="U171" s="3">
        <v>4</v>
      </c>
      <c r="V171" s="3">
        <v>4</v>
      </c>
      <c r="W171" s="4" t="s">
        <v>2374</v>
      </c>
      <c r="X171" s="4" t="s">
        <v>2374</v>
      </c>
      <c r="Y171" s="4" t="s">
        <v>2375</v>
      </c>
      <c r="Z171" s="4" t="s">
        <v>2376</v>
      </c>
      <c r="AA171" s="3">
        <v>449</v>
      </c>
      <c r="AB171" s="3">
        <v>399</v>
      </c>
      <c r="AC171" s="3">
        <v>400</v>
      </c>
      <c r="AD171" s="3">
        <v>4</v>
      </c>
      <c r="AE171" s="7">
        <v>4</v>
      </c>
      <c r="AF171" s="7">
        <v>27</v>
      </c>
      <c r="AG171" s="7">
        <v>27</v>
      </c>
      <c r="AH171" s="3">
        <v>1</v>
      </c>
      <c r="AI171" s="3">
        <v>1</v>
      </c>
      <c r="AJ171" s="3">
        <v>6</v>
      </c>
      <c r="AK171" s="3">
        <v>6</v>
      </c>
      <c r="AL171" s="3">
        <v>6</v>
      </c>
      <c r="AM171" s="3">
        <v>6</v>
      </c>
      <c r="AN171" s="3">
        <v>1</v>
      </c>
      <c r="AO171" s="3">
        <v>1</v>
      </c>
      <c r="AP171" s="3">
        <v>17</v>
      </c>
      <c r="AQ171" s="3">
        <v>17</v>
      </c>
      <c r="AR171" s="2" t="s">
        <v>5</v>
      </c>
      <c r="AS171" s="2" t="s">
        <v>5</v>
      </c>
      <c r="AU171" s="5" t="str">
        <f>HYPERLINK("https://creighton-primo.hosted.exlibrisgroup.com/primo-explore/search?tab=default_tab&amp;search_scope=EVERYTHING&amp;vid=01CRU&amp;lang=en_US&amp;offset=0&amp;query=any,contains,991001630739702656","Catalog Record")</f>
        <v>Catalog Record</v>
      </c>
      <c r="AV171" s="5" t="str">
        <f>HYPERLINK("http://www.worldcat.org/oclc/12262013","WorldCat Record")</f>
        <v>WorldCat Record</v>
      </c>
      <c r="AW171" s="2" t="s">
        <v>2377</v>
      </c>
      <c r="AX171" s="2" t="s">
        <v>2378</v>
      </c>
      <c r="AY171" s="2" t="s">
        <v>2379</v>
      </c>
      <c r="AZ171" s="2" t="s">
        <v>2379</v>
      </c>
      <c r="BA171" s="2" t="s">
        <v>2380</v>
      </c>
      <c r="BB171" s="2" t="s">
        <v>21</v>
      </c>
      <c r="BD171" s="2" t="s">
        <v>2381</v>
      </c>
      <c r="BE171" s="2" t="s">
        <v>2382</v>
      </c>
      <c r="BF171" s="2" t="s">
        <v>2383</v>
      </c>
    </row>
    <row r="172" spans="1:58" ht="39.75" customHeight="1" x14ac:dyDescent="0.25">
      <c r="A172" s="1"/>
      <c r="B172" s="1" t="s">
        <v>0</v>
      </c>
      <c r="C172" s="1" t="s">
        <v>1</v>
      </c>
      <c r="D172" s="1" t="s">
        <v>2384</v>
      </c>
      <c r="E172" s="1" t="s">
        <v>2385</v>
      </c>
      <c r="F172" s="1" t="s">
        <v>2386</v>
      </c>
      <c r="H172" s="2" t="s">
        <v>5</v>
      </c>
      <c r="I172" s="2" t="s">
        <v>6</v>
      </c>
      <c r="J172" s="2" t="s">
        <v>5</v>
      </c>
      <c r="K172" s="2" t="s">
        <v>5</v>
      </c>
      <c r="L172" s="2" t="s">
        <v>7</v>
      </c>
      <c r="M172" s="1" t="s">
        <v>2387</v>
      </c>
      <c r="N172" s="1" t="s">
        <v>2388</v>
      </c>
      <c r="O172" s="2" t="s">
        <v>629</v>
      </c>
      <c r="Q172" s="2" t="s">
        <v>11</v>
      </c>
      <c r="R172" s="2" t="s">
        <v>260</v>
      </c>
      <c r="S172" s="1" t="s">
        <v>2389</v>
      </c>
      <c r="T172" s="2" t="s">
        <v>1367</v>
      </c>
      <c r="U172" s="3">
        <v>9</v>
      </c>
      <c r="V172" s="3">
        <v>9</v>
      </c>
      <c r="W172" s="4" t="s">
        <v>2390</v>
      </c>
      <c r="X172" s="4" t="s">
        <v>2390</v>
      </c>
      <c r="Y172" s="4" t="s">
        <v>2391</v>
      </c>
      <c r="Z172" s="4" t="s">
        <v>2391</v>
      </c>
      <c r="AA172" s="3">
        <v>421</v>
      </c>
      <c r="AB172" s="3">
        <v>372</v>
      </c>
      <c r="AC172" s="3">
        <v>390</v>
      </c>
      <c r="AD172" s="3">
        <v>5</v>
      </c>
      <c r="AE172" s="7">
        <v>5</v>
      </c>
      <c r="AF172" s="7">
        <v>24</v>
      </c>
      <c r="AG172" s="7">
        <v>24</v>
      </c>
      <c r="AH172" s="3">
        <v>5</v>
      </c>
      <c r="AI172" s="3">
        <v>5</v>
      </c>
      <c r="AJ172" s="3">
        <v>3</v>
      </c>
      <c r="AK172" s="3">
        <v>3</v>
      </c>
      <c r="AL172" s="3">
        <v>7</v>
      </c>
      <c r="AM172" s="3">
        <v>7</v>
      </c>
      <c r="AN172" s="3">
        <v>3</v>
      </c>
      <c r="AO172" s="3">
        <v>3</v>
      </c>
      <c r="AP172" s="3">
        <v>9</v>
      </c>
      <c r="AQ172" s="3">
        <v>9</v>
      </c>
      <c r="AR172" s="2" t="s">
        <v>5</v>
      </c>
      <c r="AS172" s="2" t="s">
        <v>16</v>
      </c>
      <c r="AT172" s="5" t="str">
        <f>HYPERLINK("http://catalog.hathitrust.org/Record/000826867","HathiTrust Record")</f>
        <v>HathiTrust Record</v>
      </c>
      <c r="AU172" s="5" t="str">
        <f>HYPERLINK("https://creighton-primo.hosted.exlibrisgroup.com/primo-explore/search?tab=default_tab&amp;search_scope=EVERYTHING&amp;vid=01CRU&amp;lang=en_US&amp;offset=0&amp;query=any,contains,991000977319702656","Catalog Record")</f>
        <v>Catalog Record</v>
      </c>
      <c r="AV172" s="5" t="str">
        <f>HYPERLINK("http://www.worldcat.org/oclc/15016747","WorldCat Record")</f>
        <v>WorldCat Record</v>
      </c>
      <c r="AW172" s="2" t="s">
        <v>2392</v>
      </c>
      <c r="AX172" s="2" t="s">
        <v>2393</v>
      </c>
      <c r="AY172" s="2" t="s">
        <v>2394</v>
      </c>
      <c r="AZ172" s="2" t="s">
        <v>2394</v>
      </c>
      <c r="BA172" s="2" t="s">
        <v>2395</v>
      </c>
      <c r="BB172" s="2" t="s">
        <v>21</v>
      </c>
      <c r="BD172" s="2" t="s">
        <v>2396</v>
      </c>
      <c r="BE172" s="2" t="s">
        <v>2397</v>
      </c>
      <c r="BF172" s="2" t="s">
        <v>2398</v>
      </c>
    </row>
    <row r="173" spans="1:58" ht="39.75" customHeight="1" x14ac:dyDescent="0.25">
      <c r="A173" s="1"/>
      <c r="B173" s="1" t="s">
        <v>0</v>
      </c>
      <c r="C173" s="1" t="s">
        <v>1</v>
      </c>
      <c r="D173" s="1" t="s">
        <v>2399</v>
      </c>
      <c r="E173" s="1" t="s">
        <v>2400</v>
      </c>
      <c r="F173" s="1" t="s">
        <v>2401</v>
      </c>
      <c r="H173" s="2" t="s">
        <v>5</v>
      </c>
      <c r="I173" s="2" t="s">
        <v>6</v>
      </c>
      <c r="J173" s="2" t="s">
        <v>5</v>
      </c>
      <c r="K173" s="2" t="s">
        <v>5</v>
      </c>
      <c r="L173" s="2" t="s">
        <v>7</v>
      </c>
      <c r="M173" s="1" t="s">
        <v>2402</v>
      </c>
      <c r="N173" s="1" t="s">
        <v>2403</v>
      </c>
      <c r="O173" s="2" t="s">
        <v>1071</v>
      </c>
      <c r="Q173" s="2" t="s">
        <v>11</v>
      </c>
      <c r="R173" s="2" t="s">
        <v>501</v>
      </c>
      <c r="T173" s="2" t="s">
        <v>1367</v>
      </c>
      <c r="U173" s="3">
        <v>1</v>
      </c>
      <c r="V173" s="3">
        <v>1</v>
      </c>
      <c r="W173" s="4" t="s">
        <v>2404</v>
      </c>
      <c r="X173" s="4" t="s">
        <v>2404</v>
      </c>
      <c r="Y173" s="4" t="s">
        <v>1993</v>
      </c>
      <c r="Z173" s="4" t="s">
        <v>1993</v>
      </c>
      <c r="AA173" s="3">
        <v>439</v>
      </c>
      <c r="AB173" s="3">
        <v>383</v>
      </c>
      <c r="AC173" s="3">
        <v>389</v>
      </c>
      <c r="AD173" s="3">
        <v>3</v>
      </c>
      <c r="AE173" s="7">
        <v>3</v>
      </c>
      <c r="AF173" s="7">
        <v>28</v>
      </c>
      <c r="AG173" s="7">
        <v>28</v>
      </c>
      <c r="AH173" s="3">
        <v>3</v>
      </c>
      <c r="AI173" s="3">
        <v>3</v>
      </c>
      <c r="AJ173" s="3">
        <v>5</v>
      </c>
      <c r="AK173" s="3">
        <v>5</v>
      </c>
      <c r="AL173" s="3">
        <v>16</v>
      </c>
      <c r="AM173" s="3">
        <v>16</v>
      </c>
      <c r="AN173" s="3">
        <v>1</v>
      </c>
      <c r="AO173" s="3">
        <v>1</v>
      </c>
      <c r="AP173" s="3">
        <v>9</v>
      </c>
      <c r="AQ173" s="3">
        <v>9</v>
      </c>
      <c r="AR173" s="2" t="s">
        <v>5</v>
      </c>
      <c r="AS173" s="2" t="s">
        <v>16</v>
      </c>
      <c r="AT173" s="5" t="str">
        <f>HYPERLINK("http://catalog.hathitrust.org/Record/001625535","HathiTrust Record")</f>
        <v>HathiTrust Record</v>
      </c>
      <c r="AU173" s="5" t="str">
        <f>HYPERLINK("https://creighton-primo.hosted.exlibrisgroup.com/primo-explore/search?tab=default_tab&amp;search_scope=EVERYTHING&amp;vid=01CRU&amp;lang=en_US&amp;offset=0&amp;query=any,contains,991002869809702656","Catalog Record")</f>
        <v>Catalog Record</v>
      </c>
      <c r="AV173" s="5" t="str">
        <f>HYPERLINK("http://www.worldcat.org/oclc/498372","WorldCat Record")</f>
        <v>WorldCat Record</v>
      </c>
      <c r="AW173" s="2" t="s">
        <v>2405</v>
      </c>
      <c r="AX173" s="2" t="s">
        <v>2406</v>
      </c>
      <c r="AY173" s="2" t="s">
        <v>2407</v>
      </c>
      <c r="AZ173" s="2" t="s">
        <v>2407</v>
      </c>
      <c r="BA173" s="2" t="s">
        <v>2408</v>
      </c>
      <c r="BB173" s="2" t="s">
        <v>21</v>
      </c>
      <c r="BE173" s="2" t="s">
        <v>2409</v>
      </c>
      <c r="BF173" s="2" t="s">
        <v>2410</v>
      </c>
    </row>
    <row r="174" spans="1:58" ht="39.75" customHeight="1" x14ac:dyDescent="0.25">
      <c r="A174" s="1"/>
      <c r="B174" s="1" t="s">
        <v>0</v>
      </c>
      <c r="C174" s="1" t="s">
        <v>1</v>
      </c>
      <c r="D174" s="1" t="s">
        <v>2411</v>
      </c>
      <c r="E174" s="1" t="s">
        <v>2412</v>
      </c>
      <c r="F174" s="1" t="s">
        <v>2413</v>
      </c>
      <c r="H174" s="2" t="s">
        <v>5</v>
      </c>
      <c r="I174" s="2" t="s">
        <v>6</v>
      </c>
      <c r="J174" s="2" t="s">
        <v>5</v>
      </c>
      <c r="K174" s="2" t="s">
        <v>5</v>
      </c>
      <c r="L174" s="2" t="s">
        <v>7</v>
      </c>
      <c r="M174" s="1" t="s">
        <v>2414</v>
      </c>
      <c r="N174" s="1" t="s">
        <v>2415</v>
      </c>
      <c r="O174" s="2" t="s">
        <v>29</v>
      </c>
      <c r="Q174" s="2" t="s">
        <v>11</v>
      </c>
      <c r="R174" s="2" t="s">
        <v>76</v>
      </c>
      <c r="S174" s="1" t="s">
        <v>2416</v>
      </c>
      <c r="T174" s="2" t="s">
        <v>1367</v>
      </c>
      <c r="U174" s="3">
        <v>8</v>
      </c>
      <c r="V174" s="3">
        <v>8</v>
      </c>
      <c r="W174" s="4" t="s">
        <v>31</v>
      </c>
      <c r="X174" s="4" t="s">
        <v>31</v>
      </c>
      <c r="Y174" s="4" t="s">
        <v>2391</v>
      </c>
      <c r="Z174" s="4" t="s">
        <v>2391</v>
      </c>
      <c r="AA174" s="3">
        <v>382</v>
      </c>
      <c r="AB174" s="3">
        <v>363</v>
      </c>
      <c r="AC174" s="3">
        <v>371</v>
      </c>
      <c r="AD174" s="3">
        <v>3</v>
      </c>
      <c r="AE174" s="7">
        <v>3</v>
      </c>
      <c r="AF174" s="7">
        <v>13</v>
      </c>
      <c r="AG174" s="7">
        <v>13</v>
      </c>
      <c r="AH174" s="3">
        <v>1</v>
      </c>
      <c r="AI174" s="3">
        <v>1</v>
      </c>
      <c r="AJ174" s="3">
        <v>1</v>
      </c>
      <c r="AK174" s="3">
        <v>1</v>
      </c>
      <c r="AL174" s="3">
        <v>2</v>
      </c>
      <c r="AM174" s="3">
        <v>2</v>
      </c>
      <c r="AN174" s="3">
        <v>1</v>
      </c>
      <c r="AO174" s="3">
        <v>1</v>
      </c>
      <c r="AP174" s="3">
        <v>10</v>
      </c>
      <c r="AQ174" s="3">
        <v>10</v>
      </c>
      <c r="AR174" s="2" t="s">
        <v>5</v>
      </c>
      <c r="AS174" s="2" t="s">
        <v>16</v>
      </c>
      <c r="AT174" s="5" t="str">
        <f>HYPERLINK("http://catalog.hathitrust.org/Record/007302394","HathiTrust Record")</f>
        <v>HathiTrust Record</v>
      </c>
      <c r="AU174" s="5" t="str">
        <f>HYPERLINK("https://creighton-primo.hosted.exlibrisgroup.com/primo-explore/search?tab=default_tab&amp;search_scope=EVERYTHING&amp;vid=01CRU&amp;lang=en_US&amp;offset=0&amp;query=any,contains,991004981599702656","Catalog Record")</f>
        <v>Catalog Record</v>
      </c>
      <c r="AV174" s="5" t="str">
        <f>HYPERLINK("http://www.worldcat.org/oclc/6422925","WorldCat Record")</f>
        <v>WorldCat Record</v>
      </c>
      <c r="AW174" s="2" t="s">
        <v>2417</v>
      </c>
      <c r="AX174" s="2" t="s">
        <v>2418</v>
      </c>
      <c r="AY174" s="2" t="s">
        <v>2419</v>
      </c>
      <c r="AZ174" s="2" t="s">
        <v>2419</v>
      </c>
      <c r="BA174" s="2" t="s">
        <v>2420</v>
      </c>
      <c r="BB174" s="2" t="s">
        <v>21</v>
      </c>
      <c r="BD174" s="2" t="s">
        <v>2421</v>
      </c>
      <c r="BE174" s="2" t="s">
        <v>2422</v>
      </c>
      <c r="BF174" s="2" t="s">
        <v>2423</v>
      </c>
    </row>
    <row r="175" spans="1:58" ht="39.75" customHeight="1" x14ac:dyDescent="0.25">
      <c r="A175" s="1"/>
      <c r="B175" s="1" t="s">
        <v>0</v>
      </c>
      <c r="C175" s="1" t="s">
        <v>1</v>
      </c>
      <c r="D175" s="1" t="s">
        <v>2424</v>
      </c>
      <c r="E175" s="1" t="s">
        <v>2425</v>
      </c>
      <c r="F175" s="1" t="s">
        <v>2426</v>
      </c>
      <c r="H175" s="2" t="s">
        <v>5</v>
      </c>
      <c r="I175" s="2" t="s">
        <v>6</v>
      </c>
      <c r="J175" s="2" t="s">
        <v>5</v>
      </c>
      <c r="K175" s="2" t="s">
        <v>5</v>
      </c>
      <c r="L175" s="2" t="s">
        <v>7</v>
      </c>
      <c r="M175" s="1" t="s">
        <v>2427</v>
      </c>
      <c r="N175" s="1" t="s">
        <v>2428</v>
      </c>
      <c r="O175" s="2" t="s">
        <v>500</v>
      </c>
      <c r="Q175" s="2" t="s">
        <v>11</v>
      </c>
      <c r="R175" s="2" t="s">
        <v>260</v>
      </c>
      <c r="T175" s="2" t="s">
        <v>1367</v>
      </c>
      <c r="U175" s="3">
        <v>1</v>
      </c>
      <c r="V175" s="3">
        <v>1</v>
      </c>
      <c r="W175" s="4" t="s">
        <v>2429</v>
      </c>
      <c r="X175" s="4" t="s">
        <v>2429</v>
      </c>
      <c r="Y175" s="4" t="s">
        <v>2391</v>
      </c>
      <c r="Z175" s="4" t="s">
        <v>2391</v>
      </c>
      <c r="AA175" s="3">
        <v>200</v>
      </c>
      <c r="AB175" s="3">
        <v>180</v>
      </c>
      <c r="AC175" s="3">
        <v>181</v>
      </c>
      <c r="AD175" s="3">
        <v>2</v>
      </c>
      <c r="AE175" s="7">
        <v>2</v>
      </c>
      <c r="AF175" s="7">
        <v>14</v>
      </c>
      <c r="AG175" s="7">
        <v>14</v>
      </c>
      <c r="AH175" s="3">
        <v>2</v>
      </c>
      <c r="AI175" s="3">
        <v>2</v>
      </c>
      <c r="AJ175" s="3">
        <v>1</v>
      </c>
      <c r="AK175" s="3">
        <v>1</v>
      </c>
      <c r="AL175" s="3">
        <v>5</v>
      </c>
      <c r="AM175" s="3">
        <v>5</v>
      </c>
      <c r="AN175" s="3">
        <v>1</v>
      </c>
      <c r="AO175" s="3">
        <v>1</v>
      </c>
      <c r="AP175" s="3">
        <v>7</v>
      </c>
      <c r="AQ175" s="3">
        <v>7</v>
      </c>
      <c r="AR175" s="2" t="s">
        <v>5</v>
      </c>
      <c r="AS175" s="2" t="s">
        <v>5</v>
      </c>
      <c r="AU175" s="5" t="str">
        <f>HYPERLINK("https://creighton-primo.hosted.exlibrisgroup.com/primo-explore/search?tab=default_tab&amp;search_scope=EVERYTHING&amp;vid=01CRU&amp;lang=en_US&amp;offset=0&amp;query=any,contains,991004574729702656","Catalog Record")</f>
        <v>Catalog Record</v>
      </c>
      <c r="AV175" s="5" t="str">
        <f>HYPERLINK("http://www.worldcat.org/oclc/4037147","WorldCat Record")</f>
        <v>WorldCat Record</v>
      </c>
      <c r="AW175" s="2" t="s">
        <v>2430</v>
      </c>
      <c r="AX175" s="2" t="s">
        <v>2431</v>
      </c>
      <c r="AY175" s="2" t="s">
        <v>2432</v>
      </c>
      <c r="AZ175" s="2" t="s">
        <v>2432</v>
      </c>
      <c r="BA175" s="2" t="s">
        <v>2433</v>
      </c>
      <c r="BB175" s="2" t="s">
        <v>21</v>
      </c>
      <c r="BD175" s="2" t="s">
        <v>2434</v>
      </c>
      <c r="BE175" s="2" t="s">
        <v>2435</v>
      </c>
      <c r="BF175" s="2" t="s">
        <v>2436</v>
      </c>
    </row>
    <row r="176" spans="1:58" ht="39.75" customHeight="1" x14ac:dyDescent="0.25">
      <c r="A176" s="1"/>
      <c r="B176" s="1" t="s">
        <v>0</v>
      </c>
      <c r="C176" s="1" t="s">
        <v>1</v>
      </c>
      <c r="D176" s="1" t="s">
        <v>2437</v>
      </c>
      <c r="E176" s="1" t="s">
        <v>2438</v>
      </c>
      <c r="F176" s="1" t="s">
        <v>2439</v>
      </c>
      <c r="H176" s="2" t="s">
        <v>5</v>
      </c>
      <c r="I176" s="2" t="s">
        <v>6</v>
      </c>
      <c r="J176" s="2" t="s">
        <v>5</v>
      </c>
      <c r="K176" s="2" t="s">
        <v>5</v>
      </c>
      <c r="L176" s="2" t="s">
        <v>7</v>
      </c>
      <c r="M176" s="1" t="s">
        <v>2440</v>
      </c>
      <c r="N176" s="1" t="s">
        <v>2441</v>
      </c>
      <c r="O176" s="2" t="s">
        <v>586</v>
      </c>
      <c r="Q176" s="2" t="s">
        <v>11</v>
      </c>
      <c r="R176" s="2" t="s">
        <v>543</v>
      </c>
      <c r="T176" s="2" t="s">
        <v>1367</v>
      </c>
      <c r="U176" s="3">
        <v>3</v>
      </c>
      <c r="V176" s="3">
        <v>3</v>
      </c>
      <c r="W176" s="4" t="s">
        <v>2442</v>
      </c>
      <c r="X176" s="4" t="s">
        <v>2442</v>
      </c>
      <c r="Y176" s="4" t="s">
        <v>2443</v>
      </c>
      <c r="Z176" s="4" t="s">
        <v>2443</v>
      </c>
      <c r="AA176" s="3">
        <v>582</v>
      </c>
      <c r="AB176" s="3">
        <v>549</v>
      </c>
      <c r="AC176" s="3">
        <v>557</v>
      </c>
      <c r="AD176" s="3">
        <v>7</v>
      </c>
      <c r="AE176" s="7">
        <v>7</v>
      </c>
      <c r="AF176" s="7">
        <v>26</v>
      </c>
      <c r="AG176" s="7">
        <v>26</v>
      </c>
      <c r="AH176" s="3">
        <v>5</v>
      </c>
      <c r="AI176" s="3">
        <v>5</v>
      </c>
      <c r="AJ176" s="3">
        <v>2</v>
      </c>
      <c r="AK176" s="3">
        <v>2</v>
      </c>
      <c r="AL176" s="3">
        <v>7</v>
      </c>
      <c r="AM176" s="3">
        <v>7</v>
      </c>
      <c r="AN176" s="3">
        <v>3</v>
      </c>
      <c r="AO176" s="3">
        <v>3</v>
      </c>
      <c r="AP176" s="3">
        <v>12</v>
      </c>
      <c r="AQ176" s="3">
        <v>12</v>
      </c>
      <c r="AR176" s="2" t="s">
        <v>5</v>
      </c>
      <c r="AS176" s="2" t="s">
        <v>16</v>
      </c>
      <c r="AT176" s="5" t="str">
        <f>HYPERLINK("http://catalog.hathitrust.org/Record/003115812","HathiTrust Record")</f>
        <v>HathiTrust Record</v>
      </c>
      <c r="AU176" s="5" t="str">
        <f>HYPERLINK("https://creighton-primo.hosted.exlibrisgroup.com/primo-explore/search?tab=default_tab&amp;search_scope=EVERYTHING&amp;vid=01CRU&amp;lang=en_US&amp;offset=0&amp;query=any,contains,991005424439702656","Catalog Record")</f>
        <v>Catalog Record</v>
      </c>
      <c r="AV176" s="5" t="str">
        <f>HYPERLINK("http://www.worldcat.org/oclc/35128167","WorldCat Record")</f>
        <v>WorldCat Record</v>
      </c>
      <c r="AW176" s="2" t="s">
        <v>2444</v>
      </c>
      <c r="AX176" s="2" t="s">
        <v>2445</v>
      </c>
      <c r="AY176" s="2" t="s">
        <v>2446</v>
      </c>
      <c r="AZ176" s="2" t="s">
        <v>2446</v>
      </c>
      <c r="BA176" s="2" t="s">
        <v>2447</v>
      </c>
      <c r="BB176" s="2" t="s">
        <v>21</v>
      </c>
      <c r="BD176" s="2" t="s">
        <v>2448</v>
      </c>
      <c r="BE176" s="2" t="s">
        <v>2449</v>
      </c>
      <c r="BF176" s="2" t="s">
        <v>2450</v>
      </c>
    </row>
    <row r="177" spans="1:58" ht="39.75" customHeight="1" x14ac:dyDescent="0.25">
      <c r="A177" s="1"/>
      <c r="B177" s="1" t="s">
        <v>0</v>
      </c>
      <c r="C177" s="1" t="s">
        <v>1</v>
      </c>
      <c r="D177" s="1" t="s">
        <v>2451</v>
      </c>
      <c r="E177" s="1" t="s">
        <v>2452</v>
      </c>
      <c r="F177" s="1" t="s">
        <v>2453</v>
      </c>
      <c r="H177" s="2" t="s">
        <v>5</v>
      </c>
      <c r="I177" s="2" t="s">
        <v>6</v>
      </c>
      <c r="J177" s="2" t="s">
        <v>5</v>
      </c>
      <c r="K177" s="2" t="s">
        <v>5</v>
      </c>
      <c r="L177" s="2" t="s">
        <v>7</v>
      </c>
      <c r="M177" s="1" t="s">
        <v>2454</v>
      </c>
      <c r="N177" s="1" t="s">
        <v>2455</v>
      </c>
      <c r="O177" s="2" t="s">
        <v>45</v>
      </c>
      <c r="Q177" s="2" t="s">
        <v>11</v>
      </c>
      <c r="R177" s="2" t="s">
        <v>260</v>
      </c>
      <c r="T177" s="2" t="s">
        <v>1367</v>
      </c>
      <c r="U177" s="3">
        <v>2</v>
      </c>
      <c r="V177" s="3">
        <v>2</v>
      </c>
      <c r="W177" s="4" t="s">
        <v>2456</v>
      </c>
      <c r="X177" s="4" t="s">
        <v>2456</v>
      </c>
      <c r="Y177" s="4" t="s">
        <v>2061</v>
      </c>
      <c r="Z177" s="4" t="s">
        <v>2061</v>
      </c>
      <c r="AA177" s="3">
        <v>406</v>
      </c>
      <c r="AB177" s="3">
        <v>354</v>
      </c>
      <c r="AC177" s="3">
        <v>482</v>
      </c>
      <c r="AD177" s="3">
        <v>3</v>
      </c>
      <c r="AE177" s="7">
        <v>3</v>
      </c>
      <c r="AF177" s="7">
        <v>20</v>
      </c>
      <c r="AG177" s="7">
        <v>32</v>
      </c>
      <c r="AH177" s="3">
        <v>2</v>
      </c>
      <c r="AI177" s="3">
        <v>4</v>
      </c>
      <c r="AJ177" s="3">
        <v>1</v>
      </c>
      <c r="AK177" s="3">
        <v>4</v>
      </c>
      <c r="AL177" s="3">
        <v>1</v>
      </c>
      <c r="AM177" s="3">
        <v>4</v>
      </c>
      <c r="AN177" s="3">
        <v>1</v>
      </c>
      <c r="AO177" s="3">
        <v>1</v>
      </c>
      <c r="AP177" s="3">
        <v>16</v>
      </c>
      <c r="AQ177" s="3">
        <v>23</v>
      </c>
      <c r="AR177" s="2" t="s">
        <v>5</v>
      </c>
      <c r="AS177" s="2" t="s">
        <v>16</v>
      </c>
      <c r="AT177" s="5" t="str">
        <f>HYPERLINK("http://catalog.hathitrust.org/Record/000461202","HathiTrust Record")</f>
        <v>HathiTrust Record</v>
      </c>
      <c r="AU177" s="5" t="str">
        <f>HYPERLINK("https://creighton-primo.hosted.exlibrisgroup.com/primo-explore/search?tab=default_tab&amp;search_scope=EVERYTHING&amp;vid=01CRU&amp;lang=en_US&amp;offset=0&amp;query=any,contains,991000584399702656","Catalog Record")</f>
        <v>Catalog Record</v>
      </c>
      <c r="AV177" s="5" t="str">
        <f>HYPERLINK("http://www.worldcat.org/oclc/11755830","WorldCat Record")</f>
        <v>WorldCat Record</v>
      </c>
      <c r="AW177" s="2" t="s">
        <v>2457</v>
      </c>
      <c r="AX177" s="2" t="s">
        <v>2458</v>
      </c>
      <c r="AY177" s="2" t="s">
        <v>2459</v>
      </c>
      <c r="AZ177" s="2" t="s">
        <v>2459</v>
      </c>
      <c r="BA177" s="2" t="s">
        <v>2460</v>
      </c>
      <c r="BB177" s="2" t="s">
        <v>21</v>
      </c>
      <c r="BD177" s="2" t="s">
        <v>2461</v>
      </c>
      <c r="BE177" s="2" t="s">
        <v>2462</v>
      </c>
      <c r="BF177" s="2" t="s">
        <v>2463</v>
      </c>
    </row>
    <row r="178" spans="1:58" ht="39.75" customHeight="1" x14ac:dyDescent="0.25">
      <c r="A178" s="1"/>
      <c r="B178" s="1" t="s">
        <v>0</v>
      </c>
      <c r="C178" s="1" t="s">
        <v>1</v>
      </c>
      <c r="D178" s="1" t="s">
        <v>2464</v>
      </c>
      <c r="E178" s="1" t="s">
        <v>2465</v>
      </c>
      <c r="F178" s="1" t="s">
        <v>2466</v>
      </c>
      <c r="H178" s="2" t="s">
        <v>5</v>
      </c>
      <c r="I178" s="2" t="s">
        <v>6</v>
      </c>
      <c r="J178" s="2" t="s">
        <v>5</v>
      </c>
      <c r="K178" s="2" t="s">
        <v>5</v>
      </c>
      <c r="L178" s="2" t="s">
        <v>7</v>
      </c>
      <c r="M178" s="1" t="s">
        <v>2467</v>
      </c>
      <c r="N178" s="1" t="s">
        <v>2468</v>
      </c>
      <c r="O178" s="2" t="s">
        <v>387</v>
      </c>
      <c r="Q178" s="2" t="s">
        <v>11</v>
      </c>
      <c r="R178" s="2" t="s">
        <v>76</v>
      </c>
      <c r="T178" s="2" t="s">
        <v>1367</v>
      </c>
      <c r="U178" s="3">
        <v>2</v>
      </c>
      <c r="V178" s="3">
        <v>2</v>
      </c>
      <c r="W178" s="4" t="s">
        <v>2469</v>
      </c>
      <c r="X178" s="4" t="s">
        <v>2469</v>
      </c>
      <c r="Y178" s="4" t="s">
        <v>2219</v>
      </c>
      <c r="Z178" s="4" t="s">
        <v>2219</v>
      </c>
      <c r="AA178" s="3">
        <v>650</v>
      </c>
      <c r="AB178" s="3">
        <v>618</v>
      </c>
      <c r="AC178" s="3">
        <v>624</v>
      </c>
      <c r="AD178" s="3">
        <v>8</v>
      </c>
      <c r="AE178" s="7">
        <v>8</v>
      </c>
      <c r="AF178" s="7">
        <v>27</v>
      </c>
      <c r="AG178" s="7">
        <v>27</v>
      </c>
      <c r="AH178" s="3">
        <v>7</v>
      </c>
      <c r="AI178" s="3">
        <v>7</v>
      </c>
      <c r="AJ178" s="3">
        <v>5</v>
      </c>
      <c r="AK178" s="3">
        <v>5</v>
      </c>
      <c r="AL178" s="3">
        <v>9</v>
      </c>
      <c r="AM178" s="3">
        <v>9</v>
      </c>
      <c r="AN178" s="3">
        <v>4</v>
      </c>
      <c r="AO178" s="3">
        <v>4</v>
      </c>
      <c r="AP178" s="3">
        <v>7</v>
      </c>
      <c r="AQ178" s="3">
        <v>7</v>
      </c>
      <c r="AR178" s="2" t="s">
        <v>5</v>
      </c>
      <c r="AS178" s="2" t="s">
        <v>16</v>
      </c>
      <c r="AT178" s="5" t="str">
        <f>HYPERLINK("http://catalog.hathitrust.org/Record/000340858","HathiTrust Record")</f>
        <v>HathiTrust Record</v>
      </c>
      <c r="AU178" s="5" t="str">
        <f>HYPERLINK("https://creighton-primo.hosted.exlibrisgroup.com/primo-explore/search?tab=default_tab&amp;search_scope=EVERYTHING&amp;vid=01CRU&amp;lang=en_US&amp;offset=0&amp;query=any,contains,991005404409702656","Catalog Record")</f>
        <v>Catalog Record</v>
      </c>
      <c r="AV178" s="5" t="str">
        <f>HYPERLINK("http://www.worldcat.org/oclc/11090255","WorldCat Record")</f>
        <v>WorldCat Record</v>
      </c>
      <c r="AW178" s="2" t="s">
        <v>2470</v>
      </c>
      <c r="AX178" s="2" t="s">
        <v>2471</v>
      </c>
      <c r="AY178" s="2" t="s">
        <v>2472</v>
      </c>
      <c r="AZ178" s="2" t="s">
        <v>2472</v>
      </c>
      <c r="BA178" s="2" t="s">
        <v>2473</v>
      </c>
      <c r="BB178" s="2" t="s">
        <v>21</v>
      </c>
      <c r="BD178" s="2" t="s">
        <v>2474</v>
      </c>
      <c r="BE178" s="2" t="s">
        <v>2475</v>
      </c>
      <c r="BF178" s="2" t="s">
        <v>2476</v>
      </c>
    </row>
    <row r="179" spans="1:58" ht="39.75" customHeight="1" x14ac:dyDescent="0.25">
      <c r="A179" s="1"/>
      <c r="B179" s="1" t="s">
        <v>0</v>
      </c>
      <c r="C179" s="1" t="s">
        <v>1</v>
      </c>
      <c r="D179" s="1" t="s">
        <v>2477</v>
      </c>
      <c r="E179" s="1" t="s">
        <v>2478</v>
      </c>
      <c r="F179" s="1" t="s">
        <v>2479</v>
      </c>
      <c r="H179" s="2" t="s">
        <v>5</v>
      </c>
      <c r="I179" s="2" t="s">
        <v>6</v>
      </c>
      <c r="J179" s="2" t="s">
        <v>16</v>
      </c>
      <c r="K179" s="2" t="s">
        <v>5</v>
      </c>
      <c r="L179" s="2" t="s">
        <v>7</v>
      </c>
      <c r="N179" s="1" t="s">
        <v>2480</v>
      </c>
      <c r="O179" s="2" t="s">
        <v>530</v>
      </c>
      <c r="Q179" s="2" t="s">
        <v>11</v>
      </c>
      <c r="R179" s="2" t="s">
        <v>76</v>
      </c>
      <c r="T179" s="2" t="s">
        <v>1367</v>
      </c>
      <c r="U179" s="3">
        <v>11</v>
      </c>
      <c r="V179" s="3">
        <v>13</v>
      </c>
      <c r="W179" s="4" t="s">
        <v>2481</v>
      </c>
      <c r="X179" s="4" t="s">
        <v>2481</v>
      </c>
      <c r="Y179" s="4" t="s">
        <v>2482</v>
      </c>
      <c r="Z179" s="4" t="s">
        <v>2483</v>
      </c>
      <c r="AA179" s="3">
        <v>340</v>
      </c>
      <c r="AB179" s="3">
        <v>292</v>
      </c>
      <c r="AC179" s="3">
        <v>353</v>
      </c>
      <c r="AD179" s="3">
        <v>4</v>
      </c>
      <c r="AE179" s="7">
        <v>4</v>
      </c>
      <c r="AF179" s="7">
        <v>27</v>
      </c>
      <c r="AG179" s="7">
        <v>31</v>
      </c>
      <c r="AH179" s="3">
        <v>5</v>
      </c>
      <c r="AI179" s="3">
        <v>6</v>
      </c>
      <c r="AJ179" s="3">
        <v>0</v>
      </c>
      <c r="AK179" s="3">
        <v>0</v>
      </c>
      <c r="AL179" s="3">
        <v>8</v>
      </c>
      <c r="AM179" s="3">
        <v>8</v>
      </c>
      <c r="AN179" s="3">
        <v>1</v>
      </c>
      <c r="AO179" s="3">
        <v>1</v>
      </c>
      <c r="AP179" s="3">
        <v>16</v>
      </c>
      <c r="AQ179" s="3">
        <v>19</v>
      </c>
      <c r="AR179" s="2" t="s">
        <v>5</v>
      </c>
      <c r="AS179" s="2" t="s">
        <v>5</v>
      </c>
      <c r="AU179" s="5" t="str">
        <f>HYPERLINK("https://creighton-primo.hosted.exlibrisgroup.com/primo-explore/search?tab=default_tab&amp;search_scope=EVERYTHING&amp;vid=01CRU&amp;lang=en_US&amp;offset=0&amp;query=any,contains,991001636089702656","Catalog Record")</f>
        <v>Catalog Record</v>
      </c>
      <c r="AV179" s="5" t="str">
        <f>HYPERLINK("http://www.worldcat.org/oclc/15595109","WorldCat Record")</f>
        <v>WorldCat Record</v>
      </c>
      <c r="AW179" s="2" t="s">
        <v>2484</v>
      </c>
      <c r="AX179" s="2" t="s">
        <v>2485</v>
      </c>
      <c r="AY179" s="2" t="s">
        <v>2486</v>
      </c>
      <c r="AZ179" s="2" t="s">
        <v>2486</v>
      </c>
      <c r="BA179" s="2" t="s">
        <v>2487</v>
      </c>
      <c r="BB179" s="2" t="s">
        <v>21</v>
      </c>
      <c r="BD179" s="2" t="s">
        <v>2488</v>
      </c>
      <c r="BE179" s="2" t="s">
        <v>2489</v>
      </c>
      <c r="BF179" s="2" t="s">
        <v>2490</v>
      </c>
    </row>
    <row r="180" spans="1:58" ht="39.75" customHeight="1" x14ac:dyDescent="0.25">
      <c r="A180" s="1"/>
      <c r="B180" s="1" t="s">
        <v>0</v>
      </c>
      <c r="C180" s="1" t="s">
        <v>1</v>
      </c>
      <c r="D180" s="1" t="s">
        <v>2491</v>
      </c>
      <c r="E180" s="1" t="s">
        <v>2492</v>
      </c>
      <c r="F180" s="1" t="s">
        <v>2493</v>
      </c>
      <c r="H180" s="2" t="s">
        <v>5</v>
      </c>
      <c r="I180" s="2" t="s">
        <v>6</v>
      </c>
      <c r="J180" s="2" t="s">
        <v>5</v>
      </c>
      <c r="K180" s="2" t="s">
        <v>5</v>
      </c>
      <c r="L180" s="2" t="s">
        <v>7</v>
      </c>
      <c r="M180" s="1" t="s">
        <v>2494</v>
      </c>
      <c r="N180" s="1" t="s">
        <v>2495</v>
      </c>
      <c r="O180" s="2" t="s">
        <v>228</v>
      </c>
      <c r="Q180" s="2" t="s">
        <v>11</v>
      </c>
      <c r="R180" s="2" t="s">
        <v>76</v>
      </c>
      <c r="T180" s="2" t="s">
        <v>1367</v>
      </c>
      <c r="U180" s="3">
        <v>8</v>
      </c>
      <c r="V180" s="3">
        <v>8</v>
      </c>
      <c r="W180" s="4" t="s">
        <v>2496</v>
      </c>
      <c r="X180" s="4" t="s">
        <v>2496</v>
      </c>
      <c r="Y180" s="4" t="s">
        <v>2391</v>
      </c>
      <c r="Z180" s="4" t="s">
        <v>2391</v>
      </c>
      <c r="AA180" s="3">
        <v>197</v>
      </c>
      <c r="AB180" s="3">
        <v>188</v>
      </c>
      <c r="AC180" s="3">
        <v>188</v>
      </c>
      <c r="AD180" s="3">
        <v>2</v>
      </c>
      <c r="AE180" s="7">
        <v>2</v>
      </c>
      <c r="AF180" s="7">
        <v>12</v>
      </c>
      <c r="AG180" s="7">
        <v>12</v>
      </c>
      <c r="AH180" s="3">
        <v>2</v>
      </c>
      <c r="AI180" s="3">
        <v>2</v>
      </c>
      <c r="AJ180" s="3">
        <v>2</v>
      </c>
      <c r="AK180" s="3">
        <v>2</v>
      </c>
      <c r="AL180" s="3">
        <v>5</v>
      </c>
      <c r="AM180" s="3">
        <v>5</v>
      </c>
      <c r="AN180" s="3">
        <v>1</v>
      </c>
      <c r="AO180" s="3">
        <v>1</v>
      </c>
      <c r="AP180" s="3">
        <v>5</v>
      </c>
      <c r="AQ180" s="3">
        <v>5</v>
      </c>
      <c r="AR180" s="2" t="s">
        <v>5</v>
      </c>
      <c r="AS180" s="2" t="s">
        <v>5</v>
      </c>
      <c r="AU180" s="5" t="str">
        <f>HYPERLINK("https://creighton-primo.hosted.exlibrisgroup.com/primo-explore/search?tab=default_tab&amp;search_scope=EVERYTHING&amp;vid=01CRU&amp;lang=en_US&amp;offset=0&amp;query=any,contains,991001479949702656","Catalog Record")</f>
        <v>Catalog Record</v>
      </c>
      <c r="AV180" s="5" t="str">
        <f>HYPERLINK("http://www.worldcat.org/oclc/19623602","WorldCat Record")</f>
        <v>WorldCat Record</v>
      </c>
      <c r="AW180" s="2" t="s">
        <v>2497</v>
      </c>
      <c r="AX180" s="2" t="s">
        <v>2498</v>
      </c>
      <c r="AY180" s="2" t="s">
        <v>2499</v>
      </c>
      <c r="AZ180" s="2" t="s">
        <v>2499</v>
      </c>
      <c r="BA180" s="2" t="s">
        <v>2500</v>
      </c>
      <c r="BB180" s="2" t="s">
        <v>21</v>
      </c>
      <c r="BD180" s="2" t="s">
        <v>2501</v>
      </c>
      <c r="BE180" s="2" t="s">
        <v>2502</v>
      </c>
      <c r="BF180" s="2" t="s">
        <v>2503</v>
      </c>
    </row>
    <row r="181" spans="1:58" ht="39.75" customHeight="1" x14ac:dyDescent="0.25">
      <c r="A181" s="1"/>
      <c r="B181" s="1" t="s">
        <v>0</v>
      </c>
      <c r="C181" s="1" t="s">
        <v>1</v>
      </c>
      <c r="D181" s="1" t="s">
        <v>2504</v>
      </c>
      <c r="E181" s="1" t="s">
        <v>2505</v>
      </c>
      <c r="F181" s="1" t="s">
        <v>2506</v>
      </c>
      <c r="H181" s="2" t="s">
        <v>5</v>
      </c>
      <c r="I181" s="2" t="s">
        <v>6</v>
      </c>
      <c r="J181" s="2" t="s">
        <v>5</v>
      </c>
      <c r="K181" s="2" t="s">
        <v>5</v>
      </c>
      <c r="L181" s="2" t="s">
        <v>7</v>
      </c>
      <c r="M181" s="1" t="s">
        <v>2507</v>
      </c>
      <c r="N181" s="1" t="s">
        <v>2508</v>
      </c>
      <c r="O181" s="2" t="s">
        <v>387</v>
      </c>
      <c r="Q181" s="2" t="s">
        <v>11</v>
      </c>
      <c r="R181" s="2" t="s">
        <v>260</v>
      </c>
      <c r="T181" s="2" t="s">
        <v>1367</v>
      </c>
      <c r="U181" s="3">
        <v>4</v>
      </c>
      <c r="V181" s="3">
        <v>4</v>
      </c>
      <c r="W181" s="4" t="s">
        <v>1086</v>
      </c>
      <c r="X181" s="4" t="s">
        <v>1086</v>
      </c>
      <c r="Y181" s="4" t="s">
        <v>2509</v>
      </c>
      <c r="Z181" s="4" t="s">
        <v>2509</v>
      </c>
      <c r="AA181" s="3">
        <v>363</v>
      </c>
      <c r="AB181" s="3">
        <v>337</v>
      </c>
      <c r="AC181" s="3">
        <v>588</v>
      </c>
      <c r="AD181" s="3">
        <v>3</v>
      </c>
      <c r="AE181" s="7">
        <v>5</v>
      </c>
      <c r="AF181" s="7">
        <v>22</v>
      </c>
      <c r="AG181" s="7">
        <v>34</v>
      </c>
      <c r="AH181" s="3">
        <v>1</v>
      </c>
      <c r="AI181" s="3">
        <v>4</v>
      </c>
      <c r="AJ181" s="3">
        <v>1</v>
      </c>
      <c r="AK181" s="3">
        <v>5</v>
      </c>
      <c r="AL181" s="3">
        <v>3</v>
      </c>
      <c r="AM181" s="3">
        <v>8</v>
      </c>
      <c r="AN181" s="3">
        <v>2</v>
      </c>
      <c r="AO181" s="3">
        <v>3</v>
      </c>
      <c r="AP181" s="3">
        <v>15</v>
      </c>
      <c r="AQ181" s="3">
        <v>18</v>
      </c>
      <c r="AR181" s="2" t="s">
        <v>5</v>
      </c>
      <c r="AS181" s="2" t="s">
        <v>16</v>
      </c>
      <c r="AT181" s="5" t="str">
        <f>HYPERLINK("http://catalog.hathitrust.org/Record/006209905","HathiTrust Record")</f>
        <v>HathiTrust Record</v>
      </c>
      <c r="AU181" s="5" t="str">
        <f>HYPERLINK("https://creighton-primo.hosted.exlibrisgroup.com/primo-explore/search?tab=default_tab&amp;search_scope=EVERYTHING&amp;vid=01CRU&amp;lang=en_US&amp;offset=0&amp;query=any,contains,991000416639702656","Catalog Record")</f>
        <v>Catalog Record</v>
      </c>
      <c r="AV181" s="5" t="str">
        <f>HYPERLINK("http://www.worldcat.org/oclc/10724891","WorldCat Record")</f>
        <v>WorldCat Record</v>
      </c>
      <c r="AW181" s="2" t="s">
        <v>2510</v>
      </c>
      <c r="AX181" s="2" t="s">
        <v>2511</v>
      </c>
      <c r="AY181" s="2" t="s">
        <v>2512</v>
      </c>
      <c r="AZ181" s="2" t="s">
        <v>2512</v>
      </c>
      <c r="BA181" s="2" t="s">
        <v>2513</v>
      </c>
      <c r="BB181" s="2" t="s">
        <v>21</v>
      </c>
      <c r="BD181" s="2" t="s">
        <v>2514</v>
      </c>
      <c r="BE181" s="2" t="s">
        <v>2515</v>
      </c>
      <c r="BF181" s="2" t="s">
        <v>2516</v>
      </c>
    </row>
    <row r="182" spans="1:58" ht="39.75" customHeight="1" x14ac:dyDescent="0.25">
      <c r="A182" s="1"/>
      <c r="B182" s="1" t="s">
        <v>0</v>
      </c>
      <c r="C182" s="1" t="s">
        <v>1</v>
      </c>
      <c r="D182" s="1" t="s">
        <v>2517</v>
      </c>
      <c r="E182" s="1" t="s">
        <v>2518</v>
      </c>
      <c r="F182" s="1" t="s">
        <v>2519</v>
      </c>
      <c r="H182" s="2" t="s">
        <v>5</v>
      </c>
      <c r="I182" s="2" t="s">
        <v>6</v>
      </c>
      <c r="J182" s="2" t="s">
        <v>16</v>
      </c>
      <c r="K182" s="2" t="s">
        <v>5</v>
      </c>
      <c r="L182" s="2" t="s">
        <v>7</v>
      </c>
      <c r="M182" s="1" t="s">
        <v>2520</v>
      </c>
      <c r="N182" s="1" t="s">
        <v>2521</v>
      </c>
      <c r="O182" s="2" t="s">
        <v>275</v>
      </c>
      <c r="Q182" s="2" t="s">
        <v>11</v>
      </c>
      <c r="R182" s="2" t="s">
        <v>260</v>
      </c>
      <c r="T182" s="2" t="s">
        <v>1367</v>
      </c>
      <c r="U182" s="3">
        <v>3</v>
      </c>
      <c r="V182" s="3">
        <v>5</v>
      </c>
      <c r="W182" s="4" t="s">
        <v>1704</v>
      </c>
      <c r="X182" s="4" t="s">
        <v>1704</v>
      </c>
      <c r="Y182" s="4" t="s">
        <v>2522</v>
      </c>
      <c r="Z182" s="4" t="s">
        <v>2523</v>
      </c>
      <c r="AA182" s="3">
        <v>300</v>
      </c>
      <c r="AB182" s="3">
        <v>289</v>
      </c>
      <c r="AC182" s="3">
        <v>552</v>
      </c>
      <c r="AD182" s="3">
        <v>5</v>
      </c>
      <c r="AE182" s="7">
        <v>6</v>
      </c>
      <c r="AF182" s="7">
        <v>23</v>
      </c>
      <c r="AG182" s="7">
        <v>38</v>
      </c>
      <c r="AH182" s="3">
        <v>2</v>
      </c>
      <c r="AI182" s="3">
        <v>6</v>
      </c>
      <c r="AJ182" s="3">
        <v>2</v>
      </c>
      <c r="AK182" s="3">
        <v>3</v>
      </c>
      <c r="AL182" s="3">
        <v>10</v>
      </c>
      <c r="AM182" s="3">
        <v>13</v>
      </c>
      <c r="AN182" s="3">
        <v>2</v>
      </c>
      <c r="AO182" s="3">
        <v>3</v>
      </c>
      <c r="AP182" s="3">
        <v>10</v>
      </c>
      <c r="AQ182" s="3">
        <v>18</v>
      </c>
      <c r="AR182" s="2" t="s">
        <v>5</v>
      </c>
      <c r="AS182" s="2" t="s">
        <v>5</v>
      </c>
      <c r="AU182" s="5" t="str">
        <f>HYPERLINK("https://creighton-primo.hosted.exlibrisgroup.com/primo-explore/search?tab=default_tab&amp;search_scope=EVERYTHING&amp;vid=01CRU&amp;lang=en_US&amp;offset=0&amp;query=any,contains,991001804089702656","Catalog Record")</f>
        <v>Catalog Record</v>
      </c>
      <c r="AV182" s="5" t="str">
        <f>HYPERLINK("http://www.worldcat.org/oclc/5007559","WorldCat Record")</f>
        <v>WorldCat Record</v>
      </c>
      <c r="AW182" s="2" t="s">
        <v>2524</v>
      </c>
      <c r="AX182" s="2" t="s">
        <v>2525</v>
      </c>
      <c r="AY182" s="2" t="s">
        <v>2526</v>
      </c>
      <c r="AZ182" s="2" t="s">
        <v>2526</v>
      </c>
      <c r="BA182" s="2" t="s">
        <v>2527</v>
      </c>
      <c r="BB182" s="2" t="s">
        <v>21</v>
      </c>
      <c r="BD182" s="2" t="s">
        <v>2528</v>
      </c>
      <c r="BE182" s="2" t="s">
        <v>2529</v>
      </c>
      <c r="BF182" s="2" t="s">
        <v>2530</v>
      </c>
    </row>
    <row r="183" spans="1:58" ht="39.75" customHeight="1" x14ac:dyDescent="0.25">
      <c r="A183" s="1"/>
      <c r="B183" s="1" t="s">
        <v>0</v>
      </c>
      <c r="C183" s="1" t="s">
        <v>1</v>
      </c>
      <c r="D183" s="1" t="s">
        <v>2531</v>
      </c>
      <c r="E183" s="1" t="s">
        <v>2532</v>
      </c>
      <c r="F183" s="1" t="s">
        <v>2533</v>
      </c>
      <c r="H183" s="2" t="s">
        <v>5</v>
      </c>
      <c r="I183" s="2" t="s">
        <v>6</v>
      </c>
      <c r="J183" s="2" t="s">
        <v>5</v>
      </c>
      <c r="K183" s="2" t="s">
        <v>16</v>
      </c>
      <c r="L183" s="2" t="s">
        <v>7</v>
      </c>
      <c r="M183" s="1" t="s">
        <v>2534</v>
      </c>
      <c r="N183" s="1" t="s">
        <v>2535</v>
      </c>
      <c r="O183" s="2" t="s">
        <v>45</v>
      </c>
      <c r="Q183" s="2" t="s">
        <v>11</v>
      </c>
      <c r="R183" s="2" t="s">
        <v>501</v>
      </c>
      <c r="T183" s="2" t="s">
        <v>1367</v>
      </c>
      <c r="U183" s="3">
        <v>13</v>
      </c>
      <c r="V183" s="3">
        <v>13</v>
      </c>
      <c r="W183" s="4" t="s">
        <v>2536</v>
      </c>
      <c r="X183" s="4" t="s">
        <v>2536</v>
      </c>
      <c r="Y183" s="4" t="s">
        <v>2537</v>
      </c>
      <c r="Z183" s="4" t="s">
        <v>2537</v>
      </c>
      <c r="AA183" s="3">
        <v>728</v>
      </c>
      <c r="AB183" s="3">
        <v>636</v>
      </c>
      <c r="AC183" s="3">
        <v>717</v>
      </c>
      <c r="AD183" s="3">
        <v>3</v>
      </c>
      <c r="AE183" s="7">
        <v>4</v>
      </c>
      <c r="AF183" s="7">
        <v>40</v>
      </c>
      <c r="AG183" s="7">
        <v>45</v>
      </c>
      <c r="AH183" s="3">
        <v>9</v>
      </c>
      <c r="AI183" s="3">
        <v>10</v>
      </c>
      <c r="AJ183" s="3">
        <v>7</v>
      </c>
      <c r="AK183" s="3">
        <v>7</v>
      </c>
      <c r="AL183" s="3">
        <v>19</v>
      </c>
      <c r="AM183" s="3">
        <v>19</v>
      </c>
      <c r="AN183" s="3">
        <v>2</v>
      </c>
      <c r="AO183" s="3">
        <v>2</v>
      </c>
      <c r="AP183" s="3">
        <v>13</v>
      </c>
      <c r="AQ183" s="3">
        <v>17</v>
      </c>
      <c r="AR183" s="2" t="s">
        <v>5</v>
      </c>
      <c r="AS183" s="2" t="s">
        <v>5</v>
      </c>
      <c r="AU183" s="5" t="str">
        <f>HYPERLINK("https://creighton-primo.hosted.exlibrisgroup.com/primo-explore/search?tab=default_tab&amp;search_scope=EVERYTHING&amp;vid=01CRU&amp;lang=en_US&amp;offset=0&amp;query=any,contains,991000605589702656","Catalog Record")</f>
        <v>Catalog Record</v>
      </c>
      <c r="AV183" s="5" t="str">
        <f>HYPERLINK("http://www.worldcat.org/oclc/11866510","WorldCat Record")</f>
        <v>WorldCat Record</v>
      </c>
      <c r="AW183" s="2" t="s">
        <v>2538</v>
      </c>
      <c r="AX183" s="2" t="s">
        <v>2539</v>
      </c>
      <c r="AY183" s="2" t="s">
        <v>2540</v>
      </c>
      <c r="AZ183" s="2" t="s">
        <v>2540</v>
      </c>
      <c r="BA183" s="2" t="s">
        <v>2541</v>
      </c>
      <c r="BB183" s="2" t="s">
        <v>21</v>
      </c>
      <c r="BD183" s="2" t="s">
        <v>2542</v>
      </c>
      <c r="BE183" s="2" t="s">
        <v>2543</v>
      </c>
      <c r="BF183" s="2" t="s">
        <v>2544</v>
      </c>
    </row>
    <row r="184" spans="1:58" ht="39.75" customHeight="1" x14ac:dyDescent="0.25">
      <c r="A184" s="1"/>
      <c r="B184" s="1" t="s">
        <v>0</v>
      </c>
      <c r="C184" s="1" t="s">
        <v>1</v>
      </c>
      <c r="D184" s="1" t="s">
        <v>2545</v>
      </c>
      <c r="E184" s="1" t="s">
        <v>2546</v>
      </c>
      <c r="F184" s="1" t="s">
        <v>2547</v>
      </c>
      <c r="H184" s="2" t="s">
        <v>5</v>
      </c>
      <c r="I184" s="2" t="s">
        <v>6</v>
      </c>
      <c r="J184" s="2" t="s">
        <v>5</v>
      </c>
      <c r="K184" s="2" t="s">
        <v>5</v>
      </c>
      <c r="L184" s="2" t="s">
        <v>7</v>
      </c>
      <c r="M184" s="1" t="s">
        <v>2548</v>
      </c>
      <c r="N184" s="1" t="s">
        <v>2549</v>
      </c>
      <c r="O184" s="2" t="s">
        <v>500</v>
      </c>
      <c r="Q184" s="2" t="s">
        <v>11</v>
      </c>
      <c r="R184" s="2" t="s">
        <v>76</v>
      </c>
      <c r="T184" s="2" t="s">
        <v>1367</v>
      </c>
      <c r="U184" s="3">
        <v>13</v>
      </c>
      <c r="V184" s="3">
        <v>13</v>
      </c>
      <c r="W184" s="4" t="s">
        <v>2550</v>
      </c>
      <c r="X184" s="4" t="s">
        <v>2550</v>
      </c>
      <c r="Y184" s="4" t="s">
        <v>2551</v>
      </c>
      <c r="Z184" s="4" t="s">
        <v>2551</v>
      </c>
      <c r="AA184" s="3">
        <v>525</v>
      </c>
      <c r="AB184" s="3">
        <v>475</v>
      </c>
      <c r="AC184" s="3">
        <v>477</v>
      </c>
      <c r="AD184" s="3">
        <v>3</v>
      </c>
      <c r="AE184" s="7">
        <v>3</v>
      </c>
      <c r="AF184" s="7">
        <v>22</v>
      </c>
      <c r="AG184" s="7">
        <v>22</v>
      </c>
      <c r="AH184" s="3">
        <v>7</v>
      </c>
      <c r="AI184" s="3">
        <v>7</v>
      </c>
      <c r="AJ184" s="3">
        <v>6</v>
      </c>
      <c r="AK184" s="3">
        <v>6</v>
      </c>
      <c r="AL184" s="3">
        <v>8</v>
      </c>
      <c r="AM184" s="3">
        <v>8</v>
      </c>
      <c r="AN184" s="3">
        <v>1</v>
      </c>
      <c r="AO184" s="3">
        <v>1</v>
      </c>
      <c r="AP184" s="3">
        <v>3</v>
      </c>
      <c r="AQ184" s="3">
        <v>3</v>
      </c>
      <c r="AR184" s="2" t="s">
        <v>5</v>
      </c>
      <c r="AS184" s="2" t="s">
        <v>16</v>
      </c>
      <c r="AT184" s="5" t="str">
        <f>HYPERLINK("http://catalog.hathitrust.org/Record/000253460","HathiTrust Record")</f>
        <v>HathiTrust Record</v>
      </c>
      <c r="AU184" s="5" t="str">
        <f>HYPERLINK("https://creighton-primo.hosted.exlibrisgroup.com/primo-explore/search?tab=default_tab&amp;search_scope=EVERYTHING&amp;vid=01CRU&amp;lang=en_US&amp;offset=0&amp;query=any,contains,991004334429702656","Catalog Record")</f>
        <v>Catalog Record</v>
      </c>
      <c r="AV184" s="5" t="str">
        <f>HYPERLINK("http://www.worldcat.org/oclc/3071951","WorldCat Record")</f>
        <v>WorldCat Record</v>
      </c>
      <c r="AW184" s="2" t="s">
        <v>2552</v>
      </c>
      <c r="AX184" s="2" t="s">
        <v>2553</v>
      </c>
      <c r="AY184" s="2" t="s">
        <v>2554</v>
      </c>
      <c r="AZ184" s="2" t="s">
        <v>2554</v>
      </c>
      <c r="BA184" s="2" t="s">
        <v>2555</v>
      </c>
      <c r="BB184" s="2" t="s">
        <v>21</v>
      </c>
      <c r="BD184" s="2" t="s">
        <v>2556</v>
      </c>
      <c r="BE184" s="2" t="s">
        <v>2557</v>
      </c>
      <c r="BF184" s="2" t="s">
        <v>2558</v>
      </c>
    </row>
    <row r="185" spans="1:58" ht="39.75" customHeight="1" x14ac:dyDescent="0.25">
      <c r="A185" s="1"/>
      <c r="B185" s="1" t="s">
        <v>0</v>
      </c>
      <c r="C185" s="1" t="s">
        <v>1</v>
      </c>
      <c r="D185" s="1" t="s">
        <v>2559</v>
      </c>
      <c r="E185" s="1" t="s">
        <v>2560</v>
      </c>
      <c r="F185" s="1" t="s">
        <v>2561</v>
      </c>
      <c r="H185" s="2" t="s">
        <v>5</v>
      </c>
      <c r="I185" s="2" t="s">
        <v>6</v>
      </c>
      <c r="J185" s="2" t="s">
        <v>16</v>
      </c>
      <c r="K185" s="2" t="s">
        <v>5</v>
      </c>
      <c r="L185" s="2" t="s">
        <v>7</v>
      </c>
      <c r="M185" s="1" t="s">
        <v>2562</v>
      </c>
      <c r="N185" s="1" t="s">
        <v>2563</v>
      </c>
      <c r="O185" s="2" t="s">
        <v>228</v>
      </c>
      <c r="Q185" s="2" t="s">
        <v>11</v>
      </c>
      <c r="R185" s="2" t="s">
        <v>76</v>
      </c>
      <c r="T185" s="2" t="s">
        <v>1367</v>
      </c>
      <c r="U185" s="3">
        <v>6</v>
      </c>
      <c r="V185" s="3">
        <v>9</v>
      </c>
      <c r="W185" s="4" t="s">
        <v>2564</v>
      </c>
      <c r="X185" s="4" t="s">
        <v>2564</v>
      </c>
      <c r="Y185" s="4" t="s">
        <v>2565</v>
      </c>
      <c r="Z185" s="4" t="s">
        <v>2522</v>
      </c>
      <c r="AA185" s="3">
        <v>449</v>
      </c>
      <c r="AB185" s="3">
        <v>416</v>
      </c>
      <c r="AC185" s="3">
        <v>423</v>
      </c>
      <c r="AD185" s="3">
        <v>5</v>
      </c>
      <c r="AE185" s="7">
        <v>5</v>
      </c>
      <c r="AF185" s="7">
        <v>31</v>
      </c>
      <c r="AG185" s="7">
        <v>31</v>
      </c>
      <c r="AH185" s="3">
        <v>7</v>
      </c>
      <c r="AI185" s="3">
        <v>7</v>
      </c>
      <c r="AJ185" s="3">
        <v>6</v>
      </c>
      <c r="AK185" s="3">
        <v>6</v>
      </c>
      <c r="AL185" s="3">
        <v>10</v>
      </c>
      <c r="AM185" s="3">
        <v>10</v>
      </c>
      <c r="AN185" s="3">
        <v>3</v>
      </c>
      <c r="AO185" s="3">
        <v>3</v>
      </c>
      <c r="AP185" s="3">
        <v>12</v>
      </c>
      <c r="AQ185" s="3">
        <v>12</v>
      </c>
      <c r="AR185" s="2" t="s">
        <v>5</v>
      </c>
      <c r="AS185" s="2" t="s">
        <v>16</v>
      </c>
      <c r="AT185" s="5" t="str">
        <f>HYPERLINK("http://catalog.hathitrust.org/Record/001536627","HathiTrust Record")</f>
        <v>HathiTrust Record</v>
      </c>
      <c r="AU185" s="5" t="str">
        <f>HYPERLINK("https://creighton-primo.hosted.exlibrisgroup.com/primo-explore/search?tab=default_tab&amp;search_scope=EVERYTHING&amp;vid=01CRU&amp;lang=en_US&amp;offset=0&amp;query=any,contains,991001640549702656","Catalog Record")</f>
        <v>Catalog Record</v>
      </c>
      <c r="AV185" s="5" t="str">
        <f>HYPERLINK("http://www.worldcat.org/oclc/18949568","WorldCat Record")</f>
        <v>WorldCat Record</v>
      </c>
      <c r="AW185" s="2" t="s">
        <v>2566</v>
      </c>
      <c r="AX185" s="2" t="s">
        <v>2567</v>
      </c>
      <c r="AY185" s="2" t="s">
        <v>2568</v>
      </c>
      <c r="AZ185" s="2" t="s">
        <v>2568</v>
      </c>
      <c r="BA185" s="2" t="s">
        <v>2569</v>
      </c>
      <c r="BB185" s="2" t="s">
        <v>21</v>
      </c>
      <c r="BD185" s="2" t="s">
        <v>2570</v>
      </c>
      <c r="BE185" s="2" t="s">
        <v>2571</v>
      </c>
      <c r="BF185" s="2" t="s">
        <v>2572</v>
      </c>
    </row>
    <row r="186" spans="1:58" ht="39.75" customHeight="1" x14ac:dyDescent="0.25">
      <c r="A186" s="1"/>
      <c r="B186" s="1" t="s">
        <v>0</v>
      </c>
      <c r="C186" s="1" t="s">
        <v>1</v>
      </c>
      <c r="D186" s="1" t="s">
        <v>2573</v>
      </c>
      <c r="E186" s="1" t="s">
        <v>2574</v>
      </c>
      <c r="F186" s="1" t="s">
        <v>2575</v>
      </c>
      <c r="H186" s="2" t="s">
        <v>5</v>
      </c>
      <c r="I186" s="2" t="s">
        <v>6</v>
      </c>
      <c r="J186" s="2" t="s">
        <v>16</v>
      </c>
      <c r="K186" s="2" t="s">
        <v>5</v>
      </c>
      <c r="L186" s="2" t="s">
        <v>7</v>
      </c>
      <c r="M186" s="1" t="s">
        <v>2576</v>
      </c>
      <c r="N186" s="1" t="s">
        <v>2577</v>
      </c>
      <c r="O186" s="2" t="s">
        <v>472</v>
      </c>
      <c r="Q186" s="2" t="s">
        <v>11</v>
      </c>
      <c r="R186" s="2" t="s">
        <v>1977</v>
      </c>
      <c r="T186" s="2" t="s">
        <v>1367</v>
      </c>
      <c r="U186" s="3">
        <v>13</v>
      </c>
      <c r="V186" s="3">
        <v>17</v>
      </c>
      <c r="W186" s="4" t="s">
        <v>2578</v>
      </c>
      <c r="X186" s="4" t="s">
        <v>2578</v>
      </c>
      <c r="Y186" s="4" t="s">
        <v>852</v>
      </c>
      <c r="Z186" s="4" t="s">
        <v>2579</v>
      </c>
      <c r="AA186" s="3">
        <v>270</v>
      </c>
      <c r="AB186" s="3">
        <v>248</v>
      </c>
      <c r="AC186" s="3">
        <v>251</v>
      </c>
      <c r="AD186" s="3">
        <v>3</v>
      </c>
      <c r="AE186" s="7">
        <v>3</v>
      </c>
      <c r="AF186" s="7">
        <v>15</v>
      </c>
      <c r="AG186" s="7">
        <v>15</v>
      </c>
      <c r="AH186" s="3">
        <v>2</v>
      </c>
      <c r="AI186" s="3">
        <v>2</v>
      </c>
      <c r="AJ186" s="3">
        <v>0</v>
      </c>
      <c r="AK186" s="3">
        <v>0</v>
      </c>
      <c r="AL186" s="3">
        <v>0</v>
      </c>
      <c r="AM186" s="3">
        <v>0</v>
      </c>
      <c r="AN186" s="3">
        <v>0</v>
      </c>
      <c r="AO186" s="3">
        <v>0</v>
      </c>
      <c r="AP186" s="3">
        <v>13</v>
      </c>
      <c r="AQ186" s="3">
        <v>13</v>
      </c>
      <c r="AR186" s="2" t="s">
        <v>5</v>
      </c>
      <c r="AS186" s="2" t="s">
        <v>16</v>
      </c>
      <c r="AT186" s="5" t="str">
        <f>HYPERLINK("http://catalog.hathitrust.org/Record/000232217","HathiTrust Record")</f>
        <v>HathiTrust Record</v>
      </c>
      <c r="AU186" s="5" t="str">
        <f>HYPERLINK("https://creighton-primo.hosted.exlibrisgroup.com/primo-explore/search?tab=default_tab&amp;search_scope=EVERYTHING&amp;vid=01CRU&amp;lang=en_US&amp;offset=0&amp;query=any,contains,991001622259702656","Catalog Record")</f>
        <v>Catalog Record</v>
      </c>
      <c r="AV186" s="5" t="str">
        <f>HYPERLINK("http://www.worldcat.org/oclc/8339037","WorldCat Record")</f>
        <v>WorldCat Record</v>
      </c>
      <c r="AW186" s="2" t="s">
        <v>2580</v>
      </c>
      <c r="AX186" s="2" t="s">
        <v>2581</v>
      </c>
      <c r="AY186" s="2" t="s">
        <v>2582</v>
      </c>
      <c r="AZ186" s="2" t="s">
        <v>2582</v>
      </c>
      <c r="BA186" s="2" t="s">
        <v>2583</v>
      </c>
      <c r="BB186" s="2" t="s">
        <v>21</v>
      </c>
      <c r="BD186" s="2" t="s">
        <v>2584</v>
      </c>
      <c r="BE186" s="2" t="s">
        <v>2585</v>
      </c>
      <c r="BF186" s="2" t="s">
        <v>2586</v>
      </c>
    </row>
    <row r="187" spans="1:58" ht="39.75" customHeight="1" x14ac:dyDescent="0.25">
      <c r="A187" s="1"/>
      <c r="B187" s="1" t="s">
        <v>0</v>
      </c>
      <c r="C187" s="1" t="s">
        <v>1</v>
      </c>
      <c r="D187" s="1" t="s">
        <v>2587</v>
      </c>
      <c r="E187" s="1" t="s">
        <v>2588</v>
      </c>
      <c r="F187" s="1" t="s">
        <v>2589</v>
      </c>
      <c r="H187" s="2" t="s">
        <v>5</v>
      </c>
      <c r="I187" s="2" t="s">
        <v>6</v>
      </c>
      <c r="J187" s="2" t="s">
        <v>5</v>
      </c>
      <c r="K187" s="2" t="s">
        <v>5</v>
      </c>
      <c r="L187" s="2" t="s">
        <v>7</v>
      </c>
      <c r="N187" s="1" t="s">
        <v>2590</v>
      </c>
      <c r="O187" s="2" t="s">
        <v>387</v>
      </c>
      <c r="Q187" s="2" t="s">
        <v>11</v>
      </c>
      <c r="R187" s="2" t="s">
        <v>260</v>
      </c>
      <c r="S187" s="1" t="s">
        <v>2591</v>
      </c>
      <c r="T187" s="2" t="s">
        <v>1367</v>
      </c>
      <c r="U187" s="3">
        <v>3</v>
      </c>
      <c r="V187" s="3">
        <v>3</v>
      </c>
      <c r="W187" s="4" t="s">
        <v>2592</v>
      </c>
      <c r="X187" s="4" t="s">
        <v>2592</v>
      </c>
      <c r="Y187" s="4" t="s">
        <v>2593</v>
      </c>
      <c r="Z187" s="4" t="s">
        <v>2593</v>
      </c>
      <c r="AA187" s="3">
        <v>284</v>
      </c>
      <c r="AB187" s="3">
        <v>262</v>
      </c>
      <c r="AC187" s="3">
        <v>280</v>
      </c>
      <c r="AD187" s="3">
        <v>3</v>
      </c>
      <c r="AE187" s="7">
        <v>3</v>
      </c>
      <c r="AF187" s="7">
        <v>20</v>
      </c>
      <c r="AG187" s="7">
        <v>22</v>
      </c>
      <c r="AH187" s="3">
        <v>1</v>
      </c>
      <c r="AI187" s="3">
        <v>2</v>
      </c>
      <c r="AJ187" s="3">
        <v>2</v>
      </c>
      <c r="AK187" s="3">
        <v>3</v>
      </c>
      <c r="AL187" s="3">
        <v>5</v>
      </c>
      <c r="AM187" s="3">
        <v>5</v>
      </c>
      <c r="AN187" s="3">
        <v>1</v>
      </c>
      <c r="AO187" s="3">
        <v>1</v>
      </c>
      <c r="AP187" s="3">
        <v>12</v>
      </c>
      <c r="AQ187" s="3">
        <v>12</v>
      </c>
      <c r="AR187" s="2" t="s">
        <v>5</v>
      </c>
      <c r="AS187" s="2" t="s">
        <v>16</v>
      </c>
      <c r="AT187" s="5" t="str">
        <f>HYPERLINK("http://catalog.hathitrust.org/Record/004508702","HathiTrust Record")</f>
        <v>HathiTrust Record</v>
      </c>
      <c r="AU187" s="5" t="str">
        <f>HYPERLINK("https://creighton-primo.hosted.exlibrisgroup.com/primo-explore/search?tab=default_tab&amp;search_scope=EVERYTHING&amp;vid=01CRU&amp;lang=en_US&amp;offset=0&amp;query=any,contains,991000482529702656","Catalog Record")</f>
        <v>Catalog Record</v>
      </c>
      <c r="AV187" s="5" t="str">
        <f>HYPERLINK("http://www.worldcat.org/oclc/11058544","WorldCat Record")</f>
        <v>WorldCat Record</v>
      </c>
      <c r="AW187" s="2" t="s">
        <v>2594</v>
      </c>
      <c r="AX187" s="2" t="s">
        <v>2595</v>
      </c>
      <c r="AY187" s="2" t="s">
        <v>2596</v>
      </c>
      <c r="AZ187" s="2" t="s">
        <v>2596</v>
      </c>
      <c r="BA187" s="2" t="s">
        <v>2597</v>
      </c>
      <c r="BB187" s="2" t="s">
        <v>21</v>
      </c>
      <c r="BE187" s="2" t="s">
        <v>2598</v>
      </c>
      <c r="BF187" s="2" t="s">
        <v>2599</v>
      </c>
    </row>
    <row r="188" spans="1:58" ht="39.75" customHeight="1" x14ac:dyDescent="0.25">
      <c r="A188" s="1"/>
      <c r="B188" s="1" t="s">
        <v>0</v>
      </c>
      <c r="C188" s="1" t="s">
        <v>1</v>
      </c>
      <c r="D188" s="1" t="s">
        <v>2600</v>
      </c>
      <c r="E188" s="1" t="s">
        <v>2601</v>
      </c>
      <c r="F188" s="1" t="s">
        <v>2602</v>
      </c>
      <c r="H188" s="2" t="s">
        <v>5</v>
      </c>
      <c r="I188" s="2" t="s">
        <v>6</v>
      </c>
      <c r="J188" s="2" t="s">
        <v>5</v>
      </c>
      <c r="K188" s="2" t="s">
        <v>5</v>
      </c>
      <c r="L188" s="2" t="s">
        <v>7</v>
      </c>
      <c r="M188" s="1" t="s">
        <v>2603</v>
      </c>
      <c r="N188" s="1" t="s">
        <v>2604</v>
      </c>
      <c r="O188" s="2" t="s">
        <v>472</v>
      </c>
      <c r="Q188" s="2" t="s">
        <v>11</v>
      </c>
      <c r="R188" s="2" t="s">
        <v>76</v>
      </c>
      <c r="T188" s="2" t="s">
        <v>1367</v>
      </c>
      <c r="U188" s="3">
        <v>2</v>
      </c>
      <c r="V188" s="3">
        <v>2</v>
      </c>
      <c r="W188" s="4" t="s">
        <v>2605</v>
      </c>
      <c r="X188" s="4" t="s">
        <v>2605</v>
      </c>
      <c r="Y188" s="4" t="s">
        <v>2021</v>
      </c>
      <c r="Z188" s="4" t="s">
        <v>2021</v>
      </c>
      <c r="AA188" s="3">
        <v>516</v>
      </c>
      <c r="AB188" s="3">
        <v>495</v>
      </c>
      <c r="AC188" s="3">
        <v>499</v>
      </c>
      <c r="AD188" s="3">
        <v>4</v>
      </c>
      <c r="AE188" s="7">
        <v>4</v>
      </c>
      <c r="AF188" s="7">
        <v>20</v>
      </c>
      <c r="AG188" s="7">
        <v>20</v>
      </c>
      <c r="AH188" s="3">
        <v>5</v>
      </c>
      <c r="AI188" s="3">
        <v>5</v>
      </c>
      <c r="AJ188" s="3">
        <v>2</v>
      </c>
      <c r="AK188" s="3">
        <v>2</v>
      </c>
      <c r="AL188" s="3">
        <v>9</v>
      </c>
      <c r="AM188" s="3">
        <v>9</v>
      </c>
      <c r="AN188" s="3">
        <v>3</v>
      </c>
      <c r="AO188" s="3">
        <v>3</v>
      </c>
      <c r="AP188" s="3">
        <v>5</v>
      </c>
      <c r="AQ188" s="3">
        <v>5</v>
      </c>
      <c r="AR188" s="2" t="s">
        <v>5</v>
      </c>
      <c r="AS188" s="2" t="s">
        <v>5</v>
      </c>
      <c r="AU188" s="5" t="str">
        <f>HYPERLINK("https://creighton-primo.hosted.exlibrisgroup.com/primo-explore/search?tab=default_tab&amp;search_scope=EVERYTHING&amp;vid=01CRU&amp;lang=en_US&amp;offset=0&amp;query=any,contains,991005055009702656","Catalog Record")</f>
        <v>Catalog Record</v>
      </c>
      <c r="AV188" s="5" t="str">
        <f>HYPERLINK("http://www.worldcat.org/oclc/6890632","WorldCat Record")</f>
        <v>WorldCat Record</v>
      </c>
      <c r="AW188" s="2" t="s">
        <v>2606</v>
      </c>
      <c r="AX188" s="2" t="s">
        <v>2607</v>
      </c>
      <c r="AY188" s="2" t="s">
        <v>2608</v>
      </c>
      <c r="AZ188" s="2" t="s">
        <v>2608</v>
      </c>
      <c r="BA188" s="2" t="s">
        <v>2609</v>
      </c>
      <c r="BB188" s="2" t="s">
        <v>21</v>
      </c>
      <c r="BD188" s="2" t="s">
        <v>2610</v>
      </c>
      <c r="BE188" s="2" t="s">
        <v>2611</v>
      </c>
      <c r="BF188" s="2" t="s">
        <v>2612</v>
      </c>
    </row>
    <row r="189" spans="1:58" ht="39.75" customHeight="1" x14ac:dyDescent="0.25">
      <c r="A189" s="1"/>
      <c r="B189" s="1" t="s">
        <v>0</v>
      </c>
      <c r="C189" s="1" t="s">
        <v>1</v>
      </c>
      <c r="D189" s="1" t="s">
        <v>2613</v>
      </c>
      <c r="E189" s="1" t="s">
        <v>2614</v>
      </c>
      <c r="F189" s="1" t="s">
        <v>2615</v>
      </c>
      <c r="H189" s="2" t="s">
        <v>5</v>
      </c>
      <c r="I189" s="2" t="s">
        <v>6</v>
      </c>
      <c r="J189" s="2" t="s">
        <v>5</v>
      </c>
      <c r="K189" s="2" t="s">
        <v>5</v>
      </c>
      <c r="L189" s="2" t="s">
        <v>7</v>
      </c>
      <c r="N189" s="1" t="s">
        <v>2616</v>
      </c>
      <c r="O189" s="2" t="s">
        <v>472</v>
      </c>
      <c r="Q189" s="2" t="s">
        <v>11</v>
      </c>
      <c r="R189" s="2" t="s">
        <v>76</v>
      </c>
      <c r="T189" s="2" t="s">
        <v>1367</v>
      </c>
      <c r="U189" s="3">
        <v>6</v>
      </c>
      <c r="V189" s="3">
        <v>6</v>
      </c>
      <c r="W189" s="4" t="s">
        <v>2564</v>
      </c>
      <c r="X189" s="4" t="s">
        <v>2564</v>
      </c>
      <c r="Y189" s="4" t="s">
        <v>2593</v>
      </c>
      <c r="Z189" s="4" t="s">
        <v>2593</v>
      </c>
      <c r="AA189" s="3">
        <v>143</v>
      </c>
      <c r="AB189" s="3">
        <v>126</v>
      </c>
      <c r="AC189" s="3">
        <v>126</v>
      </c>
      <c r="AD189" s="3">
        <v>2</v>
      </c>
      <c r="AE189" s="7">
        <v>2</v>
      </c>
      <c r="AF189" s="7">
        <v>7</v>
      </c>
      <c r="AG189" s="7">
        <v>7</v>
      </c>
      <c r="AH189" s="3">
        <v>0</v>
      </c>
      <c r="AI189" s="3">
        <v>0</v>
      </c>
      <c r="AJ189" s="3">
        <v>1</v>
      </c>
      <c r="AK189" s="3">
        <v>1</v>
      </c>
      <c r="AL189" s="3">
        <v>2</v>
      </c>
      <c r="AM189" s="3">
        <v>2</v>
      </c>
      <c r="AN189" s="3">
        <v>1</v>
      </c>
      <c r="AO189" s="3">
        <v>1</v>
      </c>
      <c r="AP189" s="3">
        <v>4</v>
      </c>
      <c r="AQ189" s="3">
        <v>4</v>
      </c>
      <c r="AR189" s="2" t="s">
        <v>5</v>
      </c>
      <c r="AS189" s="2" t="s">
        <v>5</v>
      </c>
      <c r="AU189" s="5" t="str">
        <f>HYPERLINK("https://creighton-primo.hosted.exlibrisgroup.com/primo-explore/search?tab=default_tab&amp;search_scope=EVERYTHING&amp;vid=01CRU&amp;lang=en_US&amp;offset=0&amp;query=any,contains,991005181079702656","Catalog Record")</f>
        <v>Catalog Record</v>
      </c>
      <c r="AV189" s="5" t="str">
        <f>HYPERLINK("http://www.worldcat.org/oclc/7946044","WorldCat Record")</f>
        <v>WorldCat Record</v>
      </c>
      <c r="AW189" s="2" t="s">
        <v>2617</v>
      </c>
      <c r="AX189" s="2" t="s">
        <v>2618</v>
      </c>
      <c r="AY189" s="2" t="s">
        <v>2619</v>
      </c>
      <c r="AZ189" s="2" t="s">
        <v>2619</v>
      </c>
      <c r="BA189" s="2" t="s">
        <v>2620</v>
      </c>
      <c r="BB189" s="2" t="s">
        <v>21</v>
      </c>
      <c r="BD189" s="2" t="s">
        <v>2621</v>
      </c>
      <c r="BE189" s="2" t="s">
        <v>2622</v>
      </c>
      <c r="BF189" s="2" t="s">
        <v>2623</v>
      </c>
    </row>
    <row r="190" spans="1:58" ht="39.75" customHeight="1" x14ac:dyDescent="0.25">
      <c r="A190" s="1"/>
      <c r="B190" s="1" t="s">
        <v>0</v>
      </c>
      <c r="C190" s="1" t="s">
        <v>1</v>
      </c>
      <c r="D190" s="1" t="s">
        <v>2624</v>
      </c>
      <c r="E190" s="1" t="s">
        <v>2625</v>
      </c>
      <c r="F190" s="1" t="s">
        <v>2626</v>
      </c>
      <c r="H190" s="2" t="s">
        <v>5</v>
      </c>
      <c r="I190" s="2" t="s">
        <v>6</v>
      </c>
      <c r="J190" s="2" t="s">
        <v>5</v>
      </c>
      <c r="K190" s="2" t="s">
        <v>5</v>
      </c>
      <c r="L190" s="2" t="s">
        <v>7</v>
      </c>
      <c r="M190" s="1" t="s">
        <v>2627</v>
      </c>
      <c r="O190" s="2" t="s">
        <v>516</v>
      </c>
      <c r="Q190" s="2" t="s">
        <v>11</v>
      </c>
      <c r="R190" s="2" t="s">
        <v>76</v>
      </c>
      <c r="T190" s="2" t="s">
        <v>1367</v>
      </c>
      <c r="U190" s="3">
        <v>4</v>
      </c>
      <c r="V190" s="3">
        <v>4</v>
      </c>
      <c r="W190" s="4" t="s">
        <v>2628</v>
      </c>
      <c r="X190" s="4" t="s">
        <v>2628</v>
      </c>
      <c r="Y190" s="4" t="s">
        <v>2334</v>
      </c>
      <c r="Z190" s="4" t="s">
        <v>2334</v>
      </c>
      <c r="AA190" s="3">
        <v>12</v>
      </c>
      <c r="AB190" s="3">
        <v>12</v>
      </c>
      <c r="AC190" s="3">
        <v>12</v>
      </c>
      <c r="AD190" s="3">
        <v>1</v>
      </c>
      <c r="AE190" s="7">
        <v>1</v>
      </c>
      <c r="AF190" s="7">
        <v>0</v>
      </c>
      <c r="AG190" s="7">
        <v>0</v>
      </c>
      <c r="AH190" s="3">
        <v>0</v>
      </c>
      <c r="AI190" s="3">
        <v>0</v>
      </c>
      <c r="AJ190" s="3">
        <v>0</v>
      </c>
      <c r="AK190" s="3">
        <v>0</v>
      </c>
      <c r="AL190" s="3">
        <v>0</v>
      </c>
      <c r="AM190" s="3">
        <v>0</v>
      </c>
      <c r="AN190" s="3">
        <v>0</v>
      </c>
      <c r="AO190" s="3">
        <v>0</v>
      </c>
      <c r="AP190" s="3">
        <v>0</v>
      </c>
      <c r="AQ190" s="3">
        <v>0</v>
      </c>
      <c r="AR190" s="2" t="s">
        <v>5</v>
      </c>
      <c r="AS190" s="2" t="s">
        <v>5</v>
      </c>
      <c r="AU190" s="5" t="str">
        <f>HYPERLINK("https://creighton-primo.hosted.exlibrisgroup.com/primo-explore/search?tab=default_tab&amp;search_scope=EVERYTHING&amp;vid=01CRU&amp;lang=en_US&amp;offset=0&amp;query=any,contains,991001792709702656","Catalog Record")</f>
        <v>Catalog Record</v>
      </c>
      <c r="AV190" s="5" t="str">
        <f>HYPERLINK("http://www.worldcat.org/oclc/22563995","WorldCat Record")</f>
        <v>WorldCat Record</v>
      </c>
      <c r="AW190" s="2" t="s">
        <v>2629</v>
      </c>
      <c r="AX190" s="2" t="s">
        <v>2630</v>
      </c>
      <c r="AY190" s="2" t="s">
        <v>2631</v>
      </c>
      <c r="AZ190" s="2" t="s">
        <v>2631</v>
      </c>
      <c r="BA190" s="2" t="s">
        <v>2632</v>
      </c>
      <c r="BB190" s="2" t="s">
        <v>21</v>
      </c>
      <c r="BE190" s="2" t="s">
        <v>2633</v>
      </c>
      <c r="BF190" s="2" t="s">
        <v>2634</v>
      </c>
    </row>
    <row r="191" spans="1:58" ht="39.75" customHeight="1" x14ac:dyDescent="0.25">
      <c r="A191" s="1"/>
      <c r="B191" s="1" t="s">
        <v>0</v>
      </c>
      <c r="C191" s="1" t="s">
        <v>1</v>
      </c>
      <c r="D191" s="1" t="s">
        <v>2635</v>
      </c>
      <c r="E191" s="1" t="s">
        <v>2636</v>
      </c>
      <c r="F191" s="1" t="s">
        <v>2637</v>
      </c>
      <c r="H191" s="2" t="s">
        <v>5</v>
      </c>
      <c r="I191" s="2" t="s">
        <v>6</v>
      </c>
      <c r="J191" s="2" t="s">
        <v>16</v>
      </c>
      <c r="K191" s="2" t="s">
        <v>16</v>
      </c>
      <c r="L191" s="2" t="s">
        <v>7</v>
      </c>
      <c r="M191" s="1" t="s">
        <v>2638</v>
      </c>
      <c r="N191" s="1" t="s">
        <v>2231</v>
      </c>
      <c r="O191" s="2" t="s">
        <v>228</v>
      </c>
      <c r="Q191" s="2" t="s">
        <v>11</v>
      </c>
      <c r="R191" s="2" t="s">
        <v>76</v>
      </c>
      <c r="T191" s="2" t="s">
        <v>1367</v>
      </c>
      <c r="U191" s="3">
        <v>8</v>
      </c>
      <c r="V191" s="3">
        <v>8</v>
      </c>
      <c r="W191" s="4" t="s">
        <v>2639</v>
      </c>
      <c r="X191" s="4" t="s">
        <v>2639</v>
      </c>
      <c r="Y191" s="4" t="s">
        <v>15</v>
      </c>
      <c r="Z191" s="4" t="s">
        <v>2640</v>
      </c>
      <c r="AA191" s="3">
        <v>929</v>
      </c>
      <c r="AB191" s="3">
        <v>820</v>
      </c>
      <c r="AC191" s="3">
        <v>876</v>
      </c>
      <c r="AD191" s="3">
        <v>6</v>
      </c>
      <c r="AE191" s="7">
        <v>6</v>
      </c>
      <c r="AF191" s="7">
        <v>56</v>
      </c>
      <c r="AG191" s="7">
        <v>58</v>
      </c>
      <c r="AH191" s="3">
        <v>14</v>
      </c>
      <c r="AI191" s="3">
        <v>15</v>
      </c>
      <c r="AJ191" s="3">
        <v>5</v>
      </c>
      <c r="AK191" s="3">
        <v>5</v>
      </c>
      <c r="AL191" s="3">
        <v>16</v>
      </c>
      <c r="AM191" s="3">
        <v>17</v>
      </c>
      <c r="AN191" s="3">
        <v>3</v>
      </c>
      <c r="AO191" s="3">
        <v>3</v>
      </c>
      <c r="AP191" s="3">
        <v>24</v>
      </c>
      <c r="AQ191" s="3">
        <v>24</v>
      </c>
      <c r="AR191" s="2" t="s">
        <v>5</v>
      </c>
      <c r="AS191" s="2" t="s">
        <v>5</v>
      </c>
      <c r="AU191" s="5" t="str">
        <f>HYPERLINK("https://creighton-primo.hosted.exlibrisgroup.com/primo-explore/search?tab=default_tab&amp;search_scope=EVERYTHING&amp;vid=01CRU&amp;lang=en_US&amp;offset=0&amp;query=any,contains,991001685919702656","Catalog Record")</f>
        <v>Catalog Record</v>
      </c>
      <c r="AV191" s="5" t="str">
        <f>HYPERLINK("http://www.worldcat.org/oclc/17983789","WorldCat Record")</f>
        <v>WorldCat Record</v>
      </c>
      <c r="AW191" s="2" t="s">
        <v>2641</v>
      </c>
      <c r="AX191" s="2" t="s">
        <v>2642</v>
      </c>
      <c r="AY191" s="2" t="s">
        <v>2643</v>
      </c>
      <c r="AZ191" s="2" t="s">
        <v>2643</v>
      </c>
      <c r="BA191" s="2" t="s">
        <v>2644</v>
      </c>
      <c r="BB191" s="2" t="s">
        <v>21</v>
      </c>
      <c r="BD191" s="2" t="s">
        <v>2645</v>
      </c>
      <c r="BE191" s="2" t="s">
        <v>2646</v>
      </c>
      <c r="BF191" s="2" t="s">
        <v>2647</v>
      </c>
    </row>
    <row r="192" spans="1:58" ht="39.75" customHeight="1" x14ac:dyDescent="0.25">
      <c r="A192" s="1"/>
      <c r="B192" s="1" t="s">
        <v>0</v>
      </c>
      <c r="C192" s="1" t="s">
        <v>1</v>
      </c>
      <c r="D192" s="1" t="s">
        <v>2648</v>
      </c>
      <c r="E192" s="1" t="s">
        <v>2649</v>
      </c>
      <c r="F192" s="1" t="s">
        <v>2650</v>
      </c>
      <c r="H192" s="2" t="s">
        <v>5</v>
      </c>
      <c r="I192" s="2" t="s">
        <v>6</v>
      </c>
      <c r="J192" s="2" t="s">
        <v>16</v>
      </c>
      <c r="K192" s="2" t="s">
        <v>5</v>
      </c>
      <c r="L192" s="2" t="s">
        <v>7</v>
      </c>
      <c r="M192" s="1" t="s">
        <v>2651</v>
      </c>
      <c r="N192" s="1" t="s">
        <v>2652</v>
      </c>
      <c r="O192" s="2" t="s">
        <v>2653</v>
      </c>
      <c r="Q192" s="2" t="s">
        <v>11</v>
      </c>
      <c r="R192" s="2" t="s">
        <v>1483</v>
      </c>
      <c r="T192" s="2" t="s">
        <v>1367</v>
      </c>
      <c r="U192" s="3">
        <v>1</v>
      </c>
      <c r="V192" s="3">
        <v>3</v>
      </c>
      <c r="W192" s="4" t="s">
        <v>2654</v>
      </c>
      <c r="X192" s="4" t="s">
        <v>2654</v>
      </c>
      <c r="Y192" s="4" t="s">
        <v>2655</v>
      </c>
      <c r="Z192" s="4" t="s">
        <v>2655</v>
      </c>
      <c r="AA192" s="3">
        <v>542</v>
      </c>
      <c r="AB192" s="3">
        <v>483</v>
      </c>
      <c r="AC192" s="3">
        <v>486</v>
      </c>
      <c r="AD192" s="3">
        <v>3</v>
      </c>
      <c r="AE192" s="7">
        <v>3</v>
      </c>
      <c r="AF192" s="7">
        <v>32</v>
      </c>
      <c r="AG192" s="7">
        <v>32</v>
      </c>
      <c r="AH192" s="3">
        <v>4</v>
      </c>
      <c r="AI192" s="3">
        <v>4</v>
      </c>
      <c r="AJ192" s="3">
        <v>1</v>
      </c>
      <c r="AK192" s="3">
        <v>1</v>
      </c>
      <c r="AL192" s="3">
        <v>6</v>
      </c>
      <c r="AM192" s="3">
        <v>6</v>
      </c>
      <c r="AN192" s="3">
        <v>0</v>
      </c>
      <c r="AO192" s="3">
        <v>0</v>
      </c>
      <c r="AP192" s="3">
        <v>23</v>
      </c>
      <c r="AQ192" s="3">
        <v>23</v>
      </c>
      <c r="AR192" s="2" t="s">
        <v>5</v>
      </c>
      <c r="AS192" s="2" t="s">
        <v>16</v>
      </c>
      <c r="AT192" s="5" t="str">
        <f>HYPERLINK("http://catalog.hathitrust.org/Record/001624795","HathiTrust Record")</f>
        <v>HathiTrust Record</v>
      </c>
      <c r="AU192" s="5" t="str">
        <f>HYPERLINK("https://creighton-primo.hosted.exlibrisgroup.com/primo-explore/search?tab=default_tab&amp;search_scope=EVERYTHING&amp;vid=01CRU&amp;lang=en_US&amp;offset=0&amp;query=any,contains,991001686349702656","Catalog Record")</f>
        <v>Catalog Record</v>
      </c>
      <c r="AV192" s="5" t="str">
        <f>HYPERLINK("http://www.worldcat.org/oclc/887980","WorldCat Record")</f>
        <v>WorldCat Record</v>
      </c>
      <c r="AW192" s="2" t="s">
        <v>2656</v>
      </c>
      <c r="AX192" s="2" t="s">
        <v>2657</v>
      </c>
      <c r="AY192" s="2" t="s">
        <v>2658</v>
      </c>
      <c r="AZ192" s="2" t="s">
        <v>2658</v>
      </c>
      <c r="BA192" s="2" t="s">
        <v>2659</v>
      </c>
      <c r="BB192" s="2" t="s">
        <v>21</v>
      </c>
      <c r="BE192" s="2" t="s">
        <v>2660</v>
      </c>
      <c r="BF192" s="2" t="s">
        <v>2661</v>
      </c>
    </row>
    <row r="193" spans="1:58" ht="39.75" customHeight="1" x14ac:dyDescent="0.25">
      <c r="A193" s="1"/>
      <c r="B193" s="1" t="s">
        <v>0</v>
      </c>
      <c r="C193" s="1" t="s">
        <v>1</v>
      </c>
      <c r="D193" s="1" t="s">
        <v>2662</v>
      </c>
      <c r="E193" s="1" t="s">
        <v>2663</v>
      </c>
      <c r="F193" s="1" t="s">
        <v>2664</v>
      </c>
      <c r="H193" s="2" t="s">
        <v>5</v>
      </c>
      <c r="I193" s="2" t="s">
        <v>6</v>
      </c>
      <c r="J193" s="2" t="s">
        <v>5</v>
      </c>
      <c r="K193" s="2" t="s">
        <v>5</v>
      </c>
      <c r="L193" s="2" t="s">
        <v>7</v>
      </c>
      <c r="N193" s="1" t="s">
        <v>2665</v>
      </c>
      <c r="O193" s="2" t="s">
        <v>228</v>
      </c>
      <c r="Q193" s="2" t="s">
        <v>11</v>
      </c>
      <c r="R193" s="2" t="s">
        <v>76</v>
      </c>
      <c r="T193" s="2" t="s">
        <v>1367</v>
      </c>
      <c r="U193" s="3">
        <v>0</v>
      </c>
      <c r="V193" s="3">
        <v>0</v>
      </c>
      <c r="W193" s="4" t="s">
        <v>2666</v>
      </c>
      <c r="X193" s="4" t="s">
        <v>2666</v>
      </c>
      <c r="Y193" s="4" t="s">
        <v>1719</v>
      </c>
      <c r="Z193" s="4" t="s">
        <v>1719</v>
      </c>
      <c r="AA193" s="3">
        <v>210</v>
      </c>
      <c r="AB193" s="3">
        <v>192</v>
      </c>
      <c r="AC193" s="3">
        <v>192</v>
      </c>
      <c r="AD193" s="3">
        <v>1</v>
      </c>
      <c r="AE193" s="7">
        <v>1</v>
      </c>
      <c r="AF193" s="7">
        <v>19</v>
      </c>
      <c r="AG193" s="7">
        <v>19</v>
      </c>
      <c r="AH193" s="3">
        <v>1</v>
      </c>
      <c r="AI193" s="3">
        <v>1</v>
      </c>
      <c r="AJ193" s="3">
        <v>2</v>
      </c>
      <c r="AK193" s="3">
        <v>2</v>
      </c>
      <c r="AL193" s="3">
        <v>2</v>
      </c>
      <c r="AM193" s="3">
        <v>2</v>
      </c>
      <c r="AN193" s="3">
        <v>0</v>
      </c>
      <c r="AO193" s="3">
        <v>0</v>
      </c>
      <c r="AP193" s="3">
        <v>15</v>
      </c>
      <c r="AQ193" s="3">
        <v>15</v>
      </c>
      <c r="AR193" s="2" t="s">
        <v>5</v>
      </c>
      <c r="AS193" s="2" t="s">
        <v>5</v>
      </c>
      <c r="AU193" s="5" t="str">
        <f>HYPERLINK("https://creighton-primo.hosted.exlibrisgroup.com/primo-explore/search?tab=default_tab&amp;search_scope=EVERYTHING&amp;vid=01CRU&amp;lang=en_US&amp;offset=0&amp;query=any,contains,991001415479702656","Catalog Record")</f>
        <v>Catalog Record</v>
      </c>
      <c r="AV193" s="5" t="str">
        <f>HYPERLINK("http://www.worldcat.org/oclc/18948090","WorldCat Record")</f>
        <v>WorldCat Record</v>
      </c>
      <c r="AW193" s="2" t="s">
        <v>2667</v>
      </c>
      <c r="AX193" s="2" t="s">
        <v>2668</v>
      </c>
      <c r="AY193" s="2" t="s">
        <v>2669</v>
      </c>
      <c r="AZ193" s="2" t="s">
        <v>2669</v>
      </c>
      <c r="BA193" s="2" t="s">
        <v>2670</v>
      </c>
      <c r="BB193" s="2" t="s">
        <v>21</v>
      </c>
      <c r="BD193" s="2" t="s">
        <v>2671</v>
      </c>
      <c r="BE193" s="2" t="s">
        <v>2672</v>
      </c>
      <c r="BF193" s="2" t="s">
        <v>2673</v>
      </c>
    </row>
    <row r="194" spans="1:58" ht="39.75" customHeight="1" x14ac:dyDescent="0.25">
      <c r="A194" s="1"/>
      <c r="B194" s="1" t="s">
        <v>0</v>
      </c>
      <c r="C194" s="1" t="s">
        <v>1</v>
      </c>
      <c r="D194" s="1" t="s">
        <v>2674</v>
      </c>
      <c r="E194" s="1" t="s">
        <v>2675</v>
      </c>
      <c r="F194" s="1" t="s">
        <v>2676</v>
      </c>
      <c r="H194" s="2" t="s">
        <v>5</v>
      </c>
      <c r="I194" s="2" t="s">
        <v>6</v>
      </c>
      <c r="J194" s="2" t="s">
        <v>5</v>
      </c>
      <c r="K194" s="2" t="s">
        <v>5</v>
      </c>
      <c r="L194" s="2" t="s">
        <v>7</v>
      </c>
      <c r="N194" s="1" t="s">
        <v>2677</v>
      </c>
      <c r="O194" s="2" t="s">
        <v>45</v>
      </c>
      <c r="P194" s="1" t="s">
        <v>2678</v>
      </c>
      <c r="Q194" s="2" t="s">
        <v>11</v>
      </c>
      <c r="R194" s="2" t="s">
        <v>260</v>
      </c>
      <c r="T194" s="2" t="s">
        <v>1367</v>
      </c>
      <c r="U194" s="3">
        <v>3</v>
      </c>
      <c r="V194" s="3">
        <v>3</v>
      </c>
      <c r="W194" s="4" t="s">
        <v>2679</v>
      </c>
      <c r="X194" s="4" t="s">
        <v>2679</v>
      </c>
      <c r="Y194" s="4" t="s">
        <v>2593</v>
      </c>
      <c r="Z194" s="4" t="s">
        <v>2593</v>
      </c>
      <c r="AA194" s="3">
        <v>165</v>
      </c>
      <c r="AB194" s="3">
        <v>156</v>
      </c>
      <c r="AC194" s="3">
        <v>158</v>
      </c>
      <c r="AD194" s="3">
        <v>1</v>
      </c>
      <c r="AE194" s="7">
        <v>1</v>
      </c>
      <c r="AF194" s="7">
        <v>8</v>
      </c>
      <c r="AG194" s="7">
        <v>8</v>
      </c>
      <c r="AH194" s="3">
        <v>0</v>
      </c>
      <c r="AI194" s="3">
        <v>0</v>
      </c>
      <c r="AJ194" s="3">
        <v>3</v>
      </c>
      <c r="AK194" s="3">
        <v>3</v>
      </c>
      <c r="AL194" s="3">
        <v>5</v>
      </c>
      <c r="AM194" s="3">
        <v>5</v>
      </c>
      <c r="AN194" s="3">
        <v>0</v>
      </c>
      <c r="AO194" s="3">
        <v>0</v>
      </c>
      <c r="AP194" s="3">
        <v>1</v>
      </c>
      <c r="AQ194" s="3">
        <v>1</v>
      </c>
      <c r="AR194" s="2" t="s">
        <v>5</v>
      </c>
      <c r="AS194" s="2" t="s">
        <v>16</v>
      </c>
      <c r="AT194" s="5" t="str">
        <f>HYPERLINK("http://catalog.hathitrust.org/Record/000590487","HathiTrust Record")</f>
        <v>HathiTrust Record</v>
      </c>
      <c r="AU194" s="5" t="str">
        <f>HYPERLINK("https://creighton-primo.hosted.exlibrisgroup.com/primo-explore/search?tab=default_tab&amp;search_scope=EVERYTHING&amp;vid=01CRU&amp;lang=en_US&amp;offset=0&amp;query=any,contains,991000833959702656","Catalog Record")</f>
        <v>Catalog Record</v>
      </c>
      <c r="AV194" s="5" t="str">
        <f>HYPERLINK("http://www.worldcat.org/oclc/13457040","WorldCat Record")</f>
        <v>WorldCat Record</v>
      </c>
      <c r="AW194" s="2" t="s">
        <v>2680</v>
      </c>
      <c r="AX194" s="2" t="s">
        <v>2681</v>
      </c>
      <c r="AY194" s="2" t="s">
        <v>2682</v>
      </c>
      <c r="AZ194" s="2" t="s">
        <v>2682</v>
      </c>
      <c r="BA194" s="2" t="s">
        <v>2683</v>
      </c>
      <c r="BB194" s="2" t="s">
        <v>21</v>
      </c>
      <c r="BD194" s="2" t="s">
        <v>2684</v>
      </c>
      <c r="BE194" s="2" t="s">
        <v>2685</v>
      </c>
      <c r="BF194" s="2" t="s">
        <v>2686</v>
      </c>
    </row>
    <row r="195" spans="1:58" ht="39.75" customHeight="1" x14ac:dyDescent="0.25">
      <c r="A195" s="1"/>
      <c r="B195" s="1" t="s">
        <v>0</v>
      </c>
      <c r="C195" s="1" t="s">
        <v>1</v>
      </c>
      <c r="D195" s="1" t="s">
        <v>2687</v>
      </c>
      <c r="E195" s="1" t="s">
        <v>2688</v>
      </c>
      <c r="F195" s="1" t="s">
        <v>2689</v>
      </c>
      <c r="H195" s="2" t="s">
        <v>5</v>
      </c>
      <c r="I195" s="2" t="s">
        <v>6</v>
      </c>
      <c r="J195" s="2" t="s">
        <v>5</v>
      </c>
      <c r="K195" s="2" t="s">
        <v>5</v>
      </c>
      <c r="L195" s="2" t="s">
        <v>7</v>
      </c>
      <c r="M195" s="1" t="s">
        <v>2690</v>
      </c>
      <c r="N195" s="1" t="s">
        <v>2691</v>
      </c>
      <c r="O195" s="2" t="s">
        <v>486</v>
      </c>
      <c r="P195" s="1" t="s">
        <v>229</v>
      </c>
      <c r="Q195" s="2" t="s">
        <v>11</v>
      </c>
      <c r="R195" s="2" t="s">
        <v>76</v>
      </c>
      <c r="S195" s="1" t="s">
        <v>2692</v>
      </c>
      <c r="T195" s="2" t="s">
        <v>1367</v>
      </c>
      <c r="U195" s="3">
        <v>4</v>
      </c>
      <c r="V195" s="3">
        <v>4</v>
      </c>
      <c r="W195" s="4" t="s">
        <v>2693</v>
      </c>
      <c r="X195" s="4" t="s">
        <v>2693</v>
      </c>
      <c r="Y195" s="4" t="s">
        <v>15</v>
      </c>
      <c r="Z195" s="4" t="s">
        <v>15</v>
      </c>
      <c r="AA195" s="3">
        <v>333</v>
      </c>
      <c r="AB195" s="3">
        <v>308</v>
      </c>
      <c r="AC195" s="3">
        <v>312</v>
      </c>
      <c r="AD195" s="3">
        <v>5</v>
      </c>
      <c r="AE195" s="7">
        <v>5</v>
      </c>
      <c r="AF195" s="7">
        <v>27</v>
      </c>
      <c r="AG195" s="7">
        <v>27</v>
      </c>
      <c r="AH195" s="3">
        <v>6</v>
      </c>
      <c r="AI195" s="3">
        <v>6</v>
      </c>
      <c r="AJ195" s="3">
        <v>1</v>
      </c>
      <c r="AK195" s="3">
        <v>1</v>
      </c>
      <c r="AL195" s="3">
        <v>6</v>
      </c>
      <c r="AM195" s="3">
        <v>6</v>
      </c>
      <c r="AN195" s="3">
        <v>3</v>
      </c>
      <c r="AO195" s="3">
        <v>3</v>
      </c>
      <c r="AP195" s="3">
        <v>14</v>
      </c>
      <c r="AQ195" s="3">
        <v>14</v>
      </c>
      <c r="AR195" s="2" t="s">
        <v>5</v>
      </c>
      <c r="AS195" s="2" t="s">
        <v>16</v>
      </c>
      <c r="AT195" s="5" t="str">
        <f>HYPERLINK("http://catalog.hathitrust.org/Record/004430381","HathiTrust Record")</f>
        <v>HathiTrust Record</v>
      </c>
      <c r="AU195" s="5" t="str">
        <f>HYPERLINK("https://creighton-primo.hosted.exlibrisgroup.com/primo-explore/search?tab=default_tab&amp;search_scope=EVERYTHING&amp;vid=01CRU&amp;lang=en_US&amp;offset=0&amp;query=any,contains,991000146169702656","Catalog Record")</f>
        <v>Catalog Record</v>
      </c>
      <c r="AV195" s="5" t="str">
        <f>HYPERLINK("http://www.worldcat.org/oclc/9195535","WorldCat Record")</f>
        <v>WorldCat Record</v>
      </c>
      <c r="AW195" s="2" t="s">
        <v>2694</v>
      </c>
      <c r="AX195" s="2" t="s">
        <v>2695</v>
      </c>
      <c r="AY195" s="2" t="s">
        <v>2696</v>
      </c>
      <c r="AZ195" s="2" t="s">
        <v>2696</v>
      </c>
      <c r="BA195" s="2" t="s">
        <v>2697</v>
      </c>
      <c r="BB195" s="2" t="s">
        <v>21</v>
      </c>
      <c r="BD195" s="2" t="s">
        <v>2698</v>
      </c>
      <c r="BE195" s="2" t="s">
        <v>2699</v>
      </c>
      <c r="BF195" s="2" t="s">
        <v>2700</v>
      </c>
    </row>
    <row r="196" spans="1:58" ht="39.75" customHeight="1" x14ac:dyDescent="0.25">
      <c r="A196" s="1"/>
      <c r="B196" s="1" t="s">
        <v>0</v>
      </c>
      <c r="C196" s="1" t="s">
        <v>1</v>
      </c>
      <c r="D196" s="1" t="s">
        <v>2701</v>
      </c>
      <c r="E196" s="1" t="s">
        <v>2702</v>
      </c>
      <c r="F196" s="1" t="s">
        <v>2703</v>
      </c>
      <c r="H196" s="2" t="s">
        <v>5</v>
      </c>
      <c r="I196" s="2" t="s">
        <v>6</v>
      </c>
      <c r="J196" s="2" t="s">
        <v>5</v>
      </c>
      <c r="K196" s="2" t="s">
        <v>5</v>
      </c>
      <c r="L196" s="2" t="s">
        <v>7</v>
      </c>
      <c r="M196" s="1" t="s">
        <v>2704</v>
      </c>
      <c r="N196" s="1" t="s">
        <v>2705</v>
      </c>
      <c r="O196" s="2" t="s">
        <v>275</v>
      </c>
      <c r="P196" s="1" t="s">
        <v>229</v>
      </c>
      <c r="Q196" s="2" t="s">
        <v>11</v>
      </c>
      <c r="R196" s="2" t="s">
        <v>76</v>
      </c>
      <c r="T196" s="2" t="s">
        <v>1367</v>
      </c>
      <c r="U196" s="3">
        <v>6</v>
      </c>
      <c r="V196" s="3">
        <v>6</v>
      </c>
      <c r="W196" s="4" t="s">
        <v>2706</v>
      </c>
      <c r="X196" s="4" t="s">
        <v>2706</v>
      </c>
      <c r="Y196" s="4" t="s">
        <v>15</v>
      </c>
      <c r="Z196" s="4" t="s">
        <v>15</v>
      </c>
      <c r="AA196" s="3">
        <v>1181</v>
      </c>
      <c r="AB196" s="3">
        <v>1125</v>
      </c>
      <c r="AC196" s="3">
        <v>1129</v>
      </c>
      <c r="AD196" s="3">
        <v>9</v>
      </c>
      <c r="AE196" s="7">
        <v>9</v>
      </c>
      <c r="AF196" s="7">
        <v>40</v>
      </c>
      <c r="AG196" s="7">
        <v>40</v>
      </c>
      <c r="AH196" s="3">
        <v>10</v>
      </c>
      <c r="AI196" s="3">
        <v>10</v>
      </c>
      <c r="AJ196" s="3">
        <v>3</v>
      </c>
      <c r="AK196" s="3">
        <v>3</v>
      </c>
      <c r="AL196" s="3">
        <v>8</v>
      </c>
      <c r="AM196" s="3">
        <v>8</v>
      </c>
      <c r="AN196" s="3">
        <v>6</v>
      </c>
      <c r="AO196" s="3">
        <v>6</v>
      </c>
      <c r="AP196" s="3">
        <v>19</v>
      </c>
      <c r="AQ196" s="3">
        <v>19</v>
      </c>
      <c r="AR196" s="2" t="s">
        <v>5</v>
      </c>
      <c r="AS196" s="2" t="s">
        <v>16</v>
      </c>
      <c r="AT196" s="5" t="str">
        <f>HYPERLINK("http://catalog.hathitrust.org/Record/000260205","HathiTrust Record")</f>
        <v>HathiTrust Record</v>
      </c>
      <c r="AU196" s="5" t="str">
        <f>HYPERLINK("https://creighton-primo.hosted.exlibrisgroup.com/primo-explore/search?tab=default_tab&amp;search_scope=EVERYTHING&amp;vid=01CRU&amp;lang=en_US&amp;offset=0&amp;query=any,contains,991004696979702656","Catalog Record")</f>
        <v>Catalog Record</v>
      </c>
      <c r="AV196" s="5" t="str">
        <f>HYPERLINK("http://www.worldcat.org/oclc/4642238","WorldCat Record")</f>
        <v>WorldCat Record</v>
      </c>
      <c r="AW196" s="2" t="s">
        <v>2707</v>
      </c>
      <c r="AX196" s="2" t="s">
        <v>2708</v>
      </c>
      <c r="AY196" s="2" t="s">
        <v>2709</v>
      </c>
      <c r="AZ196" s="2" t="s">
        <v>2709</v>
      </c>
      <c r="BA196" s="2" t="s">
        <v>2710</v>
      </c>
      <c r="BB196" s="2" t="s">
        <v>21</v>
      </c>
      <c r="BD196" s="2" t="s">
        <v>2711</v>
      </c>
      <c r="BE196" s="2" t="s">
        <v>2712</v>
      </c>
      <c r="BF196" s="2" t="s">
        <v>2713</v>
      </c>
    </row>
    <row r="197" spans="1:58" ht="39.75" customHeight="1" x14ac:dyDescent="0.25">
      <c r="A197" s="1"/>
      <c r="B197" s="1" t="s">
        <v>0</v>
      </c>
      <c r="C197" s="1" t="s">
        <v>1</v>
      </c>
      <c r="D197" s="1" t="s">
        <v>2714</v>
      </c>
      <c r="E197" s="1" t="s">
        <v>2715</v>
      </c>
      <c r="F197" s="1" t="s">
        <v>2716</v>
      </c>
      <c r="H197" s="2" t="s">
        <v>5</v>
      </c>
      <c r="I197" s="2" t="s">
        <v>6</v>
      </c>
      <c r="J197" s="2" t="s">
        <v>16</v>
      </c>
      <c r="K197" s="2" t="s">
        <v>5</v>
      </c>
      <c r="L197" s="2" t="s">
        <v>7</v>
      </c>
      <c r="M197" s="1" t="s">
        <v>2717</v>
      </c>
      <c r="N197" s="1" t="s">
        <v>2718</v>
      </c>
      <c r="O197" s="2" t="s">
        <v>1396</v>
      </c>
      <c r="Q197" s="2" t="s">
        <v>11</v>
      </c>
      <c r="R197" s="2" t="s">
        <v>76</v>
      </c>
      <c r="T197" s="2" t="s">
        <v>1367</v>
      </c>
      <c r="U197" s="3">
        <v>2</v>
      </c>
      <c r="V197" s="3">
        <v>2</v>
      </c>
      <c r="W197" s="4" t="s">
        <v>2719</v>
      </c>
      <c r="X197" s="4" t="s">
        <v>2719</v>
      </c>
      <c r="Y197" s="4" t="s">
        <v>2720</v>
      </c>
      <c r="Z197" s="4" t="s">
        <v>2720</v>
      </c>
      <c r="AA197" s="3">
        <v>600</v>
      </c>
      <c r="AB197" s="3">
        <v>579</v>
      </c>
      <c r="AC197" s="3">
        <v>586</v>
      </c>
      <c r="AD197" s="3">
        <v>4</v>
      </c>
      <c r="AE197" s="7">
        <v>4</v>
      </c>
      <c r="AF197" s="7">
        <v>33</v>
      </c>
      <c r="AG197" s="7">
        <v>33</v>
      </c>
      <c r="AH197" s="3">
        <v>3</v>
      </c>
      <c r="AI197" s="3">
        <v>3</v>
      </c>
      <c r="AJ197" s="3">
        <v>2</v>
      </c>
      <c r="AK197" s="3">
        <v>2</v>
      </c>
      <c r="AL197" s="3">
        <v>4</v>
      </c>
      <c r="AM197" s="3">
        <v>4</v>
      </c>
      <c r="AN197" s="3">
        <v>1</v>
      </c>
      <c r="AO197" s="3">
        <v>1</v>
      </c>
      <c r="AP197" s="3">
        <v>24</v>
      </c>
      <c r="AQ197" s="3">
        <v>24</v>
      </c>
      <c r="AR197" s="2" t="s">
        <v>5</v>
      </c>
      <c r="AS197" s="2" t="s">
        <v>16</v>
      </c>
      <c r="AT197" s="5" t="str">
        <f>HYPERLINK("http://catalog.hathitrust.org/Record/004023416","HathiTrust Record")</f>
        <v>HathiTrust Record</v>
      </c>
      <c r="AU197" s="5" t="str">
        <f>HYPERLINK("https://creighton-primo.hosted.exlibrisgroup.com/primo-explore/search?tab=default_tab&amp;search_scope=EVERYTHING&amp;vid=01CRU&amp;lang=en_US&amp;offset=0&amp;query=any,contains,991001678169702656","Catalog Record")</f>
        <v>Catalog Record</v>
      </c>
      <c r="AV197" s="5" t="str">
        <f>HYPERLINK("http://www.worldcat.org/oclc/39262000","WorldCat Record")</f>
        <v>WorldCat Record</v>
      </c>
      <c r="AW197" s="2" t="s">
        <v>2721</v>
      </c>
      <c r="AX197" s="2" t="s">
        <v>2722</v>
      </c>
      <c r="AY197" s="2" t="s">
        <v>2723</v>
      </c>
      <c r="AZ197" s="2" t="s">
        <v>2723</v>
      </c>
      <c r="BA197" s="2" t="s">
        <v>2724</v>
      </c>
      <c r="BB197" s="2" t="s">
        <v>21</v>
      </c>
      <c r="BD197" s="2" t="s">
        <v>2725</v>
      </c>
      <c r="BE197" s="2" t="s">
        <v>2726</v>
      </c>
      <c r="BF197" s="2" t="s">
        <v>2727</v>
      </c>
    </row>
    <row r="198" spans="1:58" ht="39.75" customHeight="1" x14ac:dyDescent="0.25">
      <c r="A198" s="1"/>
      <c r="B198" s="1" t="s">
        <v>0</v>
      </c>
      <c r="C198" s="1" t="s">
        <v>1</v>
      </c>
      <c r="D198" s="1" t="s">
        <v>2728</v>
      </c>
      <c r="E198" s="1" t="s">
        <v>2729</v>
      </c>
      <c r="F198" s="1" t="s">
        <v>2730</v>
      </c>
      <c r="H198" s="2" t="s">
        <v>5</v>
      </c>
      <c r="I198" s="2" t="s">
        <v>6</v>
      </c>
      <c r="J198" s="2" t="s">
        <v>16</v>
      </c>
      <c r="K198" s="2" t="s">
        <v>5</v>
      </c>
      <c r="L198" s="2" t="s">
        <v>7</v>
      </c>
      <c r="N198" s="1" t="s">
        <v>2731</v>
      </c>
      <c r="O198" s="2" t="s">
        <v>228</v>
      </c>
      <c r="Q198" s="2" t="s">
        <v>11</v>
      </c>
      <c r="R198" s="2" t="s">
        <v>153</v>
      </c>
      <c r="S198" s="1" t="s">
        <v>2732</v>
      </c>
      <c r="T198" s="2" t="s">
        <v>1367</v>
      </c>
      <c r="U198" s="3">
        <v>3</v>
      </c>
      <c r="V198" s="3">
        <v>4</v>
      </c>
      <c r="W198" s="4" t="s">
        <v>2733</v>
      </c>
      <c r="X198" s="4" t="s">
        <v>2733</v>
      </c>
      <c r="Y198" s="4" t="s">
        <v>2734</v>
      </c>
      <c r="Z198" s="4" t="s">
        <v>2735</v>
      </c>
      <c r="AA198" s="3">
        <v>599</v>
      </c>
      <c r="AB198" s="3">
        <v>507</v>
      </c>
      <c r="AC198" s="3">
        <v>546</v>
      </c>
      <c r="AD198" s="3">
        <v>4</v>
      </c>
      <c r="AE198" s="7">
        <v>4</v>
      </c>
      <c r="AF198" s="7">
        <v>31</v>
      </c>
      <c r="AG198" s="7">
        <v>33</v>
      </c>
      <c r="AH198" s="3">
        <v>5</v>
      </c>
      <c r="AI198" s="3">
        <v>6</v>
      </c>
      <c r="AJ198" s="3">
        <v>3</v>
      </c>
      <c r="AK198" s="3">
        <v>3</v>
      </c>
      <c r="AL198" s="3">
        <v>9</v>
      </c>
      <c r="AM198" s="3">
        <v>10</v>
      </c>
      <c r="AN198" s="3">
        <v>1</v>
      </c>
      <c r="AO198" s="3">
        <v>1</v>
      </c>
      <c r="AP198" s="3">
        <v>15</v>
      </c>
      <c r="AQ198" s="3">
        <v>16</v>
      </c>
      <c r="AR198" s="2" t="s">
        <v>5</v>
      </c>
      <c r="AS198" s="2" t="s">
        <v>16</v>
      </c>
      <c r="AT198" s="5" t="str">
        <f>HYPERLINK("http://catalog.hathitrust.org/Record/001528265","HathiTrust Record")</f>
        <v>HathiTrust Record</v>
      </c>
      <c r="AU198" s="5" t="str">
        <f>HYPERLINK("https://creighton-primo.hosted.exlibrisgroup.com/primo-explore/search?tab=default_tab&amp;search_scope=EVERYTHING&amp;vid=01CRU&amp;lang=en_US&amp;offset=0&amp;query=any,contains,991001639739702656","Catalog Record")</f>
        <v>Catalog Record</v>
      </c>
      <c r="AV198" s="5" t="str">
        <f>HYPERLINK("http://www.worldcat.org/oclc/18414548","WorldCat Record")</f>
        <v>WorldCat Record</v>
      </c>
      <c r="AW198" s="2" t="s">
        <v>2736</v>
      </c>
      <c r="AX198" s="2" t="s">
        <v>2737</v>
      </c>
      <c r="AY198" s="2" t="s">
        <v>2738</v>
      </c>
      <c r="AZ198" s="2" t="s">
        <v>2738</v>
      </c>
      <c r="BA198" s="2" t="s">
        <v>2739</v>
      </c>
      <c r="BB198" s="2" t="s">
        <v>21</v>
      </c>
      <c r="BD198" s="2" t="s">
        <v>2740</v>
      </c>
      <c r="BE198" s="2" t="s">
        <v>2741</v>
      </c>
      <c r="BF198" s="2" t="s">
        <v>2742</v>
      </c>
    </row>
    <row r="199" spans="1:58" ht="39.75" customHeight="1" x14ac:dyDescent="0.25">
      <c r="A199" s="1"/>
      <c r="B199" s="1" t="s">
        <v>0</v>
      </c>
      <c r="C199" s="1" t="s">
        <v>1</v>
      </c>
      <c r="D199" s="1" t="s">
        <v>2743</v>
      </c>
      <c r="E199" s="1" t="s">
        <v>2744</v>
      </c>
      <c r="F199" s="1" t="s">
        <v>2745</v>
      </c>
      <c r="H199" s="2" t="s">
        <v>5</v>
      </c>
      <c r="I199" s="2" t="s">
        <v>6</v>
      </c>
      <c r="J199" s="2" t="s">
        <v>5</v>
      </c>
      <c r="K199" s="2" t="s">
        <v>5</v>
      </c>
      <c r="L199" s="2" t="s">
        <v>7</v>
      </c>
      <c r="N199" s="1" t="s">
        <v>2746</v>
      </c>
      <c r="O199" s="2" t="s">
        <v>29</v>
      </c>
      <c r="P199" s="1" t="s">
        <v>2747</v>
      </c>
      <c r="Q199" s="2" t="s">
        <v>11</v>
      </c>
      <c r="R199" s="2" t="s">
        <v>76</v>
      </c>
      <c r="T199" s="2" t="s">
        <v>1367</v>
      </c>
      <c r="U199" s="3">
        <v>5</v>
      </c>
      <c r="V199" s="3">
        <v>5</v>
      </c>
      <c r="W199" s="4" t="s">
        <v>2748</v>
      </c>
      <c r="X199" s="4" t="s">
        <v>2748</v>
      </c>
      <c r="Y199" s="4" t="s">
        <v>15</v>
      </c>
      <c r="Z199" s="4" t="s">
        <v>15</v>
      </c>
      <c r="AA199" s="3">
        <v>217</v>
      </c>
      <c r="AB199" s="3">
        <v>164</v>
      </c>
      <c r="AC199" s="3">
        <v>433</v>
      </c>
      <c r="AD199" s="3">
        <v>2</v>
      </c>
      <c r="AE199" s="7">
        <v>4</v>
      </c>
      <c r="AF199" s="7">
        <v>11</v>
      </c>
      <c r="AG199" s="7">
        <v>26</v>
      </c>
      <c r="AH199" s="3">
        <v>1</v>
      </c>
      <c r="AI199" s="3">
        <v>2</v>
      </c>
      <c r="AJ199" s="3">
        <v>0</v>
      </c>
      <c r="AK199" s="3">
        <v>1</v>
      </c>
      <c r="AL199" s="3">
        <v>2</v>
      </c>
      <c r="AM199" s="3">
        <v>3</v>
      </c>
      <c r="AN199" s="3">
        <v>1</v>
      </c>
      <c r="AO199" s="3">
        <v>2</v>
      </c>
      <c r="AP199" s="3">
        <v>7</v>
      </c>
      <c r="AQ199" s="3">
        <v>19</v>
      </c>
      <c r="AR199" s="2" t="s">
        <v>5</v>
      </c>
      <c r="AS199" s="2" t="s">
        <v>5</v>
      </c>
      <c r="AU199" s="5" t="str">
        <f>HYPERLINK("https://creighton-primo.hosted.exlibrisgroup.com/primo-explore/search?tab=default_tab&amp;search_scope=EVERYTHING&amp;vid=01CRU&amp;lang=en_US&amp;offset=0&amp;query=any,contains,991004750529702656","Catalog Record")</f>
        <v>Catalog Record</v>
      </c>
      <c r="AV199" s="5" t="str">
        <f>HYPERLINK("http://www.worldcat.org/oclc/4933316","WorldCat Record")</f>
        <v>WorldCat Record</v>
      </c>
      <c r="AW199" s="2" t="s">
        <v>2749</v>
      </c>
      <c r="AX199" s="2" t="s">
        <v>2750</v>
      </c>
      <c r="AY199" s="2" t="s">
        <v>2751</v>
      </c>
      <c r="AZ199" s="2" t="s">
        <v>2751</v>
      </c>
      <c r="BA199" s="2" t="s">
        <v>2752</v>
      </c>
      <c r="BB199" s="2" t="s">
        <v>21</v>
      </c>
      <c r="BD199" s="2" t="s">
        <v>2753</v>
      </c>
      <c r="BE199" s="2" t="s">
        <v>2754</v>
      </c>
      <c r="BF199" s="2" t="s">
        <v>2755</v>
      </c>
    </row>
    <row r="200" spans="1:58" ht="39.75" customHeight="1" x14ac:dyDescent="0.25">
      <c r="A200" s="1"/>
      <c r="B200" s="1" t="s">
        <v>0</v>
      </c>
      <c r="C200" s="1" t="s">
        <v>1</v>
      </c>
      <c r="D200" s="1" t="s">
        <v>2756</v>
      </c>
      <c r="E200" s="1" t="s">
        <v>2757</v>
      </c>
      <c r="F200" s="1" t="s">
        <v>2758</v>
      </c>
      <c r="H200" s="2" t="s">
        <v>5</v>
      </c>
      <c r="I200" s="2" t="s">
        <v>6</v>
      </c>
      <c r="J200" s="2" t="s">
        <v>16</v>
      </c>
      <c r="K200" s="2" t="s">
        <v>5</v>
      </c>
      <c r="L200" s="2" t="s">
        <v>7</v>
      </c>
      <c r="M200" s="1" t="s">
        <v>2759</v>
      </c>
      <c r="N200" s="1" t="s">
        <v>2760</v>
      </c>
      <c r="O200" s="2" t="s">
        <v>458</v>
      </c>
      <c r="Q200" s="2" t="s">
        <v>11</v>
      </c>
      <c r="R200" s="2" t="s">
        <v>501</v>
      </c>
      <c r="T200" s="2" t="s">
        <v>1367</v>
      </c>
      <c r="U200" s="3">
        <v>1</v>
      </c>
      <c r="V200" s="3">
        <v>1</v>
      </c>
      <c r="W200" s="4" t="s">
        <v>2761</v>
      </c>
      <c r="X200" s="4" t="s">
        <v>2761</v>
      </c>
      <c r="Y200" s="4" t="s">
        <v>2762</v>
      </c>
      <c r="Z200" s="4" t="s">
        <v>2762</v>
      </c>
      <c r="AA200" s="3">
        <v>734</v>
      </c>
      <c r="AB200" s="3">
        <v>641</v>
      </c>
      <c r="AC200" s="3">
        <v>644</v>
      </c>
      <c r="AD200" s="3">
        <v>5</v>
      </c>
      <c r="AE200" s="7">
        <v>5</v>
      </c>
      <c r="AF200" s="7">
        <v>39</v>
      </c>
      <c r="AG200" s="7">
        <v>39</v>
      </c>
      <c r="AH200" s="3">
        <v>8</v>
      </c>
      <c r="AI200" s="3">
        <v>8</v>
      </c>
      <c r="AJ200" s="3">
        <v>7</v>
      </c>
      <c r="AK200" s="3">
        <v>7</v>
      </c>
      <c r="AL200" s="3">
        <v>14</v>
      </c>
      <c r="AM200" s="3">
        <v>14</v>
      </c>
      <c r="AN200" s="3">
        <v>2</v>
      </c>
      <c r="AO200" s="3">
        <v>2</v>
      </c>
      <c r="AP200" s="3">
        <v>14</v>
      </c>
      <c r="AQ200" s="3">
        <v>14</v>
      </c>
      <c r="AR200" s="2" t="s">
        <v>5</v>
      </c>
      <c r="AS200" s="2" t="s">
        <v>16</v>
      </c>
      <c r="AT200" s="5" t="str">
        <f>HYPERLINK("http://catalog.hathitrust.org/Record/004431284","HathiTrust Record")</f>
        <v>HathiTrust Record</v>
      </c>
      <c r="AU200" s="5" t="str">
        <f>HYPERLINK("https://creighton-primo.hosted.exlibrisgroup.com/primo-explore/search?tab=default_tab&amp;search_scope=EVERYTHING&amp;vid=01CRU&amp;lang=en_US&amp;offset=0&amp;query=any,contains,991001773679702656","Catalog Record")</f>
        <v>Catalog Record</v>
      </c>
      <c r="AV200" s="5" t="str">
        <f>HYPERLINK("http://www.worldcat.org/oclc/2780194","WorldCat Record")</f>
        <v>WorldCat Record</v>
      </c>
      <c r="AW200" s="2" t="s">
        <v>2763</v>
      </c>
      <c r="AX200" s="2" t="s">
        <v>2764</v>
      </c>
      <c r="AY200" s="2" t="s">
        <v>2765</v>
      </c>
      <c r="AZ200" s="2" t="s">
        <v>2765</v>
      </c>
      <c r="BA200" s="2" t="s">
        <v>2766</v>
      </c>
      <c r="BB200" s="2" t="s">
        <v>21</v>
      </c>
      <c r="BD200" s="2" t="s">
        <v>2767</v>
      </c>
      <c r="BE200" s="2" t="s">
        <v>2768</v>
      </c>
      <c r="BF200" s="2" t="s">
        <v>2769</v>
      </c>
    </row>
    <row r="201" spans="1:58" ht="39.75" customHeight="1" x14ac:dyDescent="0.25">
      <c r="A201" s="1"/>
      <c r="B201" s="1" t="s">
        <v>0</v>
      </c>
      <c r="C201" s="1" t="s">
        <v>1</v>
      </c>
      <c r="D201" s="1" t="s">
        <v>2770</v>
      </c>
      <c r="E201" s="1" t="s">
        <v>2771</v>
      </c>
      <c r="F201" s="1" t="s">
        <v>2772</v>
      </c>
      <c r="H201" s="2" t="s">
        <v>5</v>
      </c>
      <c r="I201" s="2" t="s">
        <v>6</v>
      </c>
      <c r="J201" s="2" t="s">
        <v>16</v>
      </c>
      <c r="K201" s="2" t="s">
        <v>5</v>
      </c>
      <c r="L201" s="2" t="s">
        <v>7</v>
      </c>
      <c r="M201" s="1" t="s">
        <v>2773</v>
      </c>
      <c r="N201" s="1" t="s">
        <v>2774</v>
      </c>
      <c r="O201" s="2" t="s">
        <v>629</v>
      </c>
      <c r="Q201" s="2" t="s">
        <v>11</v>
      </c>
      <c r="R201" s="2" t="s">
        <v>185</v>
      </c>
      <c r="S201" s="1" t="s">
        <v>2775</v>
      </c>
      <c r="T201" s="2" t="s">
        <v>1367</v>
      </c>
      <c r="U201" s="3">
        <v>8</v>
      </c>
      <c r="V201" s="3">
        <v>10</v>
      </c>
      <c r="W201" s="4" t="s">
        <v>2776</v>
      </c>
      <c r="X201" s="4" t="s">
        <v>2776</v>
      </c>
      <c r="Y201" s="4" t="s">
        <v>2777</v>
      </c>
      <c r="Z201" s="4" t="s">
        <v>2778</v>
      </c>
      <c r="AA201" s="3">
        <v>959</v>
      </c>
      <c r="AB201" s="3">
        <v>872</v>
      </c>
      <c r="AC201" s="3">
        <v>878</v>
      </c>
      <c r="AD201" s="3">
        <v>6</v>
      </c>
      <c r="AE201" s="7">
        <v>6</v>
      </c>
      <c r="AF201" s="7">
        <v>52</v>
      </c>
      <c r="AG201" s="7">
        <v>52</v>
      </c>
      <c r="AH201" s="3">
        <v>11</v>
      </c>
      <c r="AI201" s="3">
        <v>11</v>
      </c>
      <c r="AJ201" s="3">
        <v>9</v>
      </c>
      <c r="AK201" s="3">
        <v>9</v>
      </c>
      <c r="AL201" s="3">
        <v>16</v>
      </c>
      <c r="AM201" s="3">
        <v>16</v>
      </c>
      <c r="AN201" s="3">
        <v>4</v>
      </c>
      <c r="AO201" s="3">
        <v>4</v>
      </c>
      <c r="AP201" s="3">
        <v>20</v>
      </c>
      <c r="AQ201" s="3">
        <v>20</v>
      </c>
      <c r="AR201" s="2" t="s">
        <v>5</v>
      </c>
      <c r="AS201" s="2" t="s">
        <v>16</v>
      </c>
      <c r="AT201" s="5" t="str">
        <f>HYPERLINK("http://catalog.hathitrust.org/Record/000815610","HathiTrust Record")</f>
        <v>HathiTrust Record</v>
      </c>
      <c r="AU201" s="5" t="str">
        <f>HYPERLINK("https://creighton-primo.hosted.exlibrisgroup.com/primo-explore/search?tab=default_tab&amp;search_scope=EVERYTHING&amp;vid=01CRU&amp;lang=en_US&amp;offset=0&amp;query=any,contains,991001633999702656","Catalog Record")</f>
        <v>Catalog Record</v>
      </c>
      <c r="AV201" s="5" t="str">
        <f>HYPERLINK("http://www.worldcat.org/oclc/13796768","WorldCat Record")</f>
        <v>WorldCat Record</v>
      </c>
      <c r="AW201" s="2" t="s">
        <v>2779</v>
      </c>
      <c r="AX201" s="2" t="s">
        <v>2780</v>
      </c>
      <c r="AY201" s="2" t="s">
        <v>2781</v>
      </c>
      <c r="AZ201" s="2" t="s">
        <v>2781</v>
      </c>
      <c r="BA201" s="2" t="s">
        <v>2782</v>
      </c>
      <c r="BB201" s="2" t="s">
        <v>21</v>
      </c>
      <c r="BD201" s="2" t="s">
        <v>2783</v>
      </c>
      <c r="BE201" s="2" t="s">
        <v>2784</v>
      </c>
      <c r="BF201" s="2" t="s">
        <v>2785</v>
      </c>
    </row>
    <row r="202" spans="1:58" ht="39.75" customHeight="1" x14ac:dyDescent="0.25">
      <c r="A202" s="1"/>
      <c r="B202" s="1" t="s">
        <v>0</v>
      </c>
      <c r="C202" s="1" t="s">
        <v>1</v>
      </c>
      <c r="D202" s="1" t="s">
        <v>2786</v>
      </c>
      <c r="E202" s="1" t="s">
        <v>2787</v>
      </c>
      <c r="F202" s="1" t="s">
        <v>2788</v>
      </c>
      <c r="H202" s="2" t="s">
        <v>5</v>
      </c>
      <c r="I202" s="2" t="s">
        <v>6</v>
      </c>
      <c r="J202" s="2" t="s">
        <v>5</v>
      </c>
      <c r="K202" s="2" t="s">
        <v>5</v>
      </c>
      <c r="L202" s="2" t="s">
        <v>7</v>
      </c>
      <c r="M202" s="1" t="s">
        <v>2789</v>
      </c>
      <c r="N202" s="1" t="s">
        <v>2790</v>
      </c>
      <c r="O202" s="2" t="s">
        <v>45</v>
      </c>
      <c r="Q202" s="2" t="s">
        <v>11</v>
      </c>
      <c r="R202" s="2" t="s">
        <v>76</v>
      </c>
      <c r="T202" s="2" t="s">
        <v>1367</v>
      </c>
      <c r="U202" s="3">
        <v>12</v>
      </c>
      <c r="V202" s="3">
        <v>12</v>
      </c>
      <c r="W202" s="4" t="s">
        <v>2791</v>
      </c>
      <c r="X202" s="4" t="s">
        <v>2791</v>
      </c>
      <c r="Y202" s="4" t="s">
        <v>2792</v>
      </c>
      <c r="Z202" s="4" t="s">
        <v>2792</v>
      </c>
      <c r="AA202" s="3">
        <v>347</v>
      </c>
      <c r="AB202" s="3">
        <v>281</v>
      </c>
      <c r="AC202" s="3">
        <v>301</v>
      </c>
      <c r="AD202" s="3">
        <v>3</v>
      </c>
      <c r="AE202" s="7">
        <v>3</v>
      </c>
      <c r="AF202" s="7">
        <v>22</v>
      </c>
      <c r="AG202" s="7">
        <v>23</v>
      </c>
      <c r="AH202" s="3">
        <v>3</v>
      </c>
      <c r="AI202" s="3">
        <v>4</v>
      </c>
      <c r="AJ202" s="3">
        <v>3</v>
      </c>
      <c r="AK202" s="3">
        <v>3</v>
      </c>
      <c r="AL202" s="3">
        <v>6</v>
      </c>
      <c r="AM202" s="3">
        <v>7</v>
      </c>
      <c r="AN202" s="3">
        <v>2</v>
      </c>
      <c r="AO202" s="3">
        <v>2</v>
      </c>
      <c r="AP202" s="3">
        <v>11</v>
      </c>
      <c r="AQ202" s="3">
        <v>11</v>
      </c>
      <c r="AR202" s="2" t="s">
        <v>5</v>
      </c>
      <c r="AS202" s="2" t="s">
        <v>16</v>
      </c>
      <c r="AT202" s="5" t="str">
        <f>HYPERLINK("http://catalog.hathitrust.org/Record/000875384","HathiTrust Record")</f>
        <v>HathiTrust Record</v>
      </c>
      <c r="AU202" s="5" t="str">
        <f>HYPERLINK("https://creighton-primo.hosted.exlibrisgroup.com/primo-explore/search?tab=default_tab&amp;search_scope=EVERYTHING&amp;vid=01CRU&amp;lang=en_US&amp;offset=0&amp;query=any,contains,991000704269702656","Catalog Record")</f>
        <v>Catalog Record</v>
      </c>
      <c r="AV202" s="5" t="str">
        <f>HYPERLINK("http://www.worldcat.org/oclc/12555484","WorldCat Record")</f>
        <v>WorldCat Record</v>
      </c>
      <c r="AW202" s="2" t="s">
        <v>2793</v>
      </c>
      <c r="AX202" s="2" t="s">
        <v>2794</v>
      </c>
      <c r="AY202" s="2" t="s">
        <v>2795</v>
      </c>
      <c r="AZ202" s="2" t="s">
        <v>2795</v>
      </c>
      <c r="BA202" s="2" t="s">
        <v>2796</v>
      </c>
      <c r="BB202" s="2" t="s">
        <v>21</v>
      </c>
      <c r="BD202" s="2" t="s">
        <v>2797</v>
      </c>
      <c r="BE202" s="2" t="s">
        <v>2798</v>
      </c>
      <c r="BF202" s="2" t="s">
        <v>2799</v>
      </c>
    </row>
    <row r="203" spans="1:58" ht="39.75" customHeight="1" x14ac:dyDescent="0.25">
      <c r="A203" s="1"/>
      <c r="B203" s="1" t="s">
        <v>0</v>
      </c>
      <c r="C203" s="1" t="s">
        <v>1</v>
      </c>
      <c r="D203" s="1" t="s">
        <v>2800</v>
      </c>
      <c r="E203" s="1" t="s">
        <v>2801</v>
      </c>
      <c r="F203" s="1" t="s">
        <v>2802</v>
      </c>
      <c r="H203" s="2" t="s">
        <v>5</v>
      </c>
      <c r="I203" s="2" t="s">
        <v>6</v>
      </c>
      <c r="J203" s="2" t="s">
        <v>16</v>
      </c>
      <c r="K203" s="2" t="s">
        <v>5</v>
      </c>
      <c r="L203" s="2" t="s">
        <v>7</v>
      </c>
      <c r="M203" s="1" t="s">
        <v>2803</v>
      </c>
      <c r="N203" s="1" t="s">
        <v>2804</v>
      </c>
      <c r="O203" s="2" t="s">
        <v>458</v>
      </c>
      <c r="Q203" s="2" t="s">
        <v>11</v>
      </c>
      <c r="R203" s="2" t="s">
        <v>76</v>
      </c>
      <c r="T203" s="2" t="s">
        <v>1367</v>
      </c>
      <c r="U203" s="3">
        <v>4</v>
      </c>
      <c r="V203" s="3">
        <v>7</v>
      </c>
      <c r="W203" s="4" t="s">
        <v>2805</v>
      </c>
      <c r="X203" s="4" t="s">
        <v>2805</v>
      </c>
      <c r="Y203" s="4" t="s">
        <v>2334</v>
      </c>
      <c r="Z203" s="4" t="s">
        <v>2334</v>
      </c>
      <c r="AA203" s="3">
        <v>830</v>
      </c>
      <c r="AB203" s="3">
        <v>699</v>
      </c>
      <c r="AC203" s="3">
        <v>746</v>
      </c>
      <c r="AD203" s="3">
        <v>6</v>
      </c>
      <c r="AE203" s="7">
        <v>6</v>
      </c>
      <c r="AF203" s="7">
        <v>39</v>
      </c>
      <c r="AG203" s="7">
        <v>41</v>
      </c>
      <c r="AH203" s="3">
        <v>8</v>
      </c>
      <c r="AI203" s="3">
        <v>10</v>
      </c>
      <c r="AJ203" s="3">
        <v>7</v>
      </c>
      <c r="AK203" s="3">
        <v>8</v>
      </c>
      <c r="AL203" s="3">
        <v>15</v>
      </c>
      <c r="AM203" s="3">
        <v>16</v>
      </c>
      <c r="AN203" s="3">
        <v>3</v>
      </c>
      <c r="AO203" s="3">
        <v>3</v>
      </c>
      <c r="AP203" s="3">
        <v>13</v>
      </c>
      <c r="AQ203" s="3">
        <v>13</v>
      </c>
      <c r="AR203" s="2" t="s">
        <v>5</v>
      </c>
      <c r="AS203" s="2" t="s">
        <v>5</v>
      </c>
      <c r="AU203" s="5" t="str">
        <f>HYPERLINK("https://creighton-primo.hosted.exlibrisgroup.com/primo-explore/search?tab=default_tab&amp;search_scope=EVERYTHING&amp;vid=01CRU&amp;lang=en_US&amp;offset=0&amp;query=any,contains,991001650879702656","Catalog Record")</f>
        <v>Catalog Record</v>
      </c>
      <c r="AV203" s="5" t="str">
        <f>HYPERLINK("http://www.worldcat.org/oclc/516098","WorldCat Record")</f>
        <v>WorldCat Record</v>
      </c>
      <c r="AW203" s="2" t="s">
        <v>2806</v>
      </c>
      <c r="AX203" s="2" t="s">
        <v>2807</v>
      </c>
      <c r="AY203" s="2" t="s">
        <v>2808</v>
      </c>
      <c r="AZ203" s="2" t="s">
        <v>2808</v>
      </c>
      <c r="BA203" s="2" t="s">
        <v>2809</v>
      </c>
      <c r="BB203" s="2" t="s">
        <v>21</v>
      </c>
      <c r="BD203" s="2" t="s">
        <v>2810</v>
      </c>
      <c r="BE203" s="2" t="s">
        <v>2811</v>
      </c>
      <c r="BF203" s="2" t="s">
        <v>2812</v>
      </c>
    </row>
    <row r="204" spans="1:58" ht="39.75" customHeight="1" x14ac:dyDescent="0.25">
      <c r="A204" s="1"/>
      <c r="B204" s="1" t="s">
        <v>0</v>
      </c>
      <c r="C204" s="1" t="s">
        <v>1</v>
      </c>
      <c r="D204" s="1" t="s">
        <v>2813</v>
      </c>
      <c r="E204" s="1" t="s">
        <v>2814</v>
      </c>
      <c r="F204" s="1" t="s">
        <v>2815</v>
      </c>
      <c r="H204" s="2" t="s">
        <v>5</v>
      </c>
      <c r="I204" s="2" t="s">
        <v>6</v>
      </c>
      <c r="J204" s="2" t="s">
        <v>5</v>
      </c>
      <c r="K204" s="2" t="s">
        <v>16</v>
      </c>
      <c r="L204" s="2" t="s">
        <v>7</v>
      </c>
      <c r="M204" s="1" t="s">
        <v>2816</v>
      </c>
      <c r="N204" s="1" t="s">
        <v>2817</v>
      </c>
      <c r="O204" s="2" t="s">
        <v>486</v>
      </c>
      <c r="P204" s="1" t="s">
        <v>2818</v>
      </c>
      <c r="Q204" s="2" t="s">
        <v>11</v>
      </c>
      <c r="R204" s="2" t="s">
        <v>244</v>
      </c>
      <c r="T204" s="2" t="s">
        <v>1367</v>
      </c>
      <c r="U204" s="3">
        <v>3</v>
      </c>
      <c r="V204" s="3">
        <v>3</v>
      </c>
      <c r="W204" s="4" t="s">
        <v>2819</v>
      </c>
      <c r="X204" s="4" t="s">
        <v>2819</v>
      </c>
      <c r="Y204" s="4" t="s">
        <v>2820</v>
      </c>
      <c r="Z204" s="4" t="s">
        <v>2820</v>
      </c>
      <c r="AA204" s="3">
        <v>161</v>
      </c>
      <c r="AB204" s="3">
        <v>139</v>
      </c>
      <c r="AC204" s="3">
        <v>506</v>
      </c>
      <c r="AD204" s="3">
        <v>1</v>
      </c>
      <c r="AE204" s="7">
        <v>3</v>
      </c>
      <c r="AF204" s="7">
        <v>7</v>
      </c>
      <c r="AG204" s="7">
        <v>26</v>
      </c>
      <c r="AH204" s="3">
        <v>3</v>
      </c>
      <c r="AI204" s="3">
        <v>3</v>
      </c>
      <c r="AJ204" s="3">
        <v>2</v>
      </c>
      <c r="AK204" s="3">
        <v>3</v>
      </c>
      <c r="AL204" s="3">
        <v>2</v>
      </c>
      <c r="AM204" s="3">
        <v>7</v>
      </c>
      <c r="AN204" s="3">
        <v>0</v>
      </c>
      <c r="AO204" s="3">
        <v>1</v>
      </c>
      <c r="AP204" s="3">
        <v>2</v>
      </c>
      <c r="AQ204" s="3">
        <v>15</v>
      </c>
      <c r="AR204" s="2" t="s">
        <v>5</v>
      </c>
      <c r="AS204" s="2" t="s">
        <v>16</v>
      </c>
      <c r="AT204" s="5" t="str">
        <f>HYPERLINK("http://catalog.hathitrust.org/Record/102077807","HathiTrust Record")</f>
        <v>HathiTrust Record</v>
      </c>
      <c r="AU204" s="5" t="str">
        <f>HYPERLINK("https://creighton-primo.hosted.exlibrisgroup.com/primo-explore/search?tab=default_tab&amp;search_scope=EVERYTHING&amp;vid=01CRU&amp;lang=en_US&amp;offset=0&amp;query=any,contains,991000188289702656","Catalog Record")</f>
        <v>Catalog Record</v>
      </c>
      <c r="AV204" s="5" t="str">
        <f>HYPERLINK("http://www.worldcat.org/oclc/9397099","WorldCat Record")</f>
        <v>WorldCat Record</v>
      </c>
      <c r="AW204" s="2" t="s">
        <v>2821</v>
      </c>
      <c r="AX204" s="2" t="s">
        <v>2822</v>
      </c>
      <c r="AY204" s="2" t="s">
        <v>2823</v>
      </c>
      <c r="AZ204" s="2" t="s">
        <v>2823</v>
      </c>
      <c r="BA204" s="2" t="s">
        <v>2824</v>
      </c>
      <c r="BB204" s="2" t="s">
        <v>21</v>
      </c>
      <c r="BD204" s="2" t="s">
        <v>2825</v>
      </c>
      <c r="BE204" s="2" t="s">
        <v>2826</v>
      </c>
      <c r="BF204" s="2" t="s">
        <v>2827</v>
      </c>
    </row>
    <row r="205" spans="1:58" ht="39.75" customHeight="1" x14ac:dyDescent="0.25">
      <c r="A205" s="1"/>
      <c r="B205" s="1" t="s">
        <v>0</v>
      </c>
      <c r="C205" s="1" t="s">
        <v>1</v>
      </c>
      <c r="D205" s="1" t="s">
        <v>2828</v>
      </c>
      <c r="E205" s="1" t="s">
        <v>2829</v>
      </c>
      <c r="F205" s="1" t="s">
        <v>2830</v>
      </c>
      <c r="H205" s="2" t="s">
        <v>5</v>
      </c>
      <c r="I205" s="2" t="s">
        <v>6</v>
      </c>
      <c r="J205" s="2" t="s">
        <v>16</v>
      </c>
      <c r="K205" s="2" t="s">
        <v>5</v>
      </c>
      <c r="L205" s="2" t="s">
        <v>7</v>
      </c>
      <c r="N205" s="1" t="s">
        <v>2831</v>
      </c>
      <c r="O205" s="2" t="s">
        <v>259</v>
      </c>
      <c r="Q205" s="2" t="s">
        <v>11</v>
      </c>
      <c r="R205" s="2" t="s">
        <v>76</v>
      </c>
      <c r="T205" s="2" t="s">
        <v>1367</v>
      </c>
      <c r="U205" s="3">
        <v>3</v>
      </c>
      <c r="V205" s="3">
        <v>3</v>
      </c>
      <c r="W205" s="4" t="s">
        <v>2832</v>
      </c>
      <c r="X205" s="4" t="s">
        <v>2832</v>
      </c>
      <c r="Y205" s="4" t="s">
        <v>2833</v>
      </c>
      <c r="Z205" s="4" t="s">
        <v>2834</v>
      </c>
      <c r="AA205" s="3">
        <v>697</v>
      </c>
      <c r="AB205" s="3">
        <v>693</v>
      </c>
      <c r="AC205" s="3">
        <v>698</v>
      </c>
      <c r="AD205" s="3">
        <v>6</v>
      </c>
      <c r="AE205" s="7">
        <v>6</v>
      </c>
      <c r="AF205" s="7">
        <v>4</v>
      </c>
      <c r="AG205" s="7">
        <v>4</v>
      </c>
      <c r="AH205" s="3">
        <v>2</v>
      </c>
      <c r="AI205" s="3">
        <v>2</v>
      </c>
      <c r="AJ205" s="3">
        <v>0</v>
      </c>
      <c r="AK205" s="3">
        <v>0</v>
      </c>
      <c r="AL205" s="3">
        <v>1</v>
      </c>
      <c r="AM205" s="3">
        <v>1</v>
      </c>
      <c r="AN205" s="3">
        <v>0</v>
      </c>
      <c r="AO205" s="3">
        <v>0</v>
      </c>
      <c r="AP205" s="3">
        <v>2</v>
      </c>
      <c r="AQ205" s="3">
        <v>2</v>
      </c>
      <c r="AR205" s="2" t="s">
        <v>5</v>
      </c>
      <c r="AS205" s="2" t="s">
        <v>5</v>
      </c>
      <c r="AU205" s="5" t="str">
        <f>HYPERLINK("https://creighton-primo.hosted.exlibrisgroup.com/primo-explore/search?tab=default_tab&amp;search_scope=EVERYTHING&amp;vid=01CRU&amp;lang=en_US&amp;offset=0&amp;query=any,contains,991001685549702656","Catalog Record")</f>
        <v>Catalog Record</v>
      </c>
      <c r="AV205" s="5" t="str">
        <f>HYPERLINK("http://www.worldcat.org/oclc/16754280","WorldCat Record")</f>
        <v>WorldCat Record</v>
      </c>
      <c r="AW205" s="2" t="s">
        <v>2835</v>
      </c>
      <c r="AX205" s="2" t="s">
        <v>2836</v>
      </c>
      <c r="AY205" s="2" t="s">
        <v>2837</v>
      </c>
      <c r="AZ205" s="2" t="s">
        <v>2837</v>
      </c>
      <c r="BA205" s="2" t="s">
        <v>2838</v>
      </c>
      <c r="BB205" s="2" t="s">
        <v>21</v>
      </c>
      <c r="BD205" s="2" t="s">
        <v>2839</v>
      </c>
      <c r="BE205" s="2" t="s">
        <v>2840</v>
      </c>
      <c r="BF205" s="2" t="s">
        <v>2841</v>
      </c>
    </row>
    <row r="206" spans="1:58" ht="39.75" customHeight="1" x14ac:dyDescent="0.25">
      <c r="A206" s="1"/>
      <c r="B206" s="1" t="s">
        <v>0</v>
      </c>
      <c r="C206" s="1" t="s">
        <v>1</v>
      </c>
      <c r="D206" s="1" t="s">
        <v>2842</v>
      </c>
      <c r="E206" s="1" t="s">
        <v>2843</v>
      </c>
      <c r="F206" s="1" t="s">
        <v>2844</v>
      </c>
      <c r="H206" s="2" t="s">
        <v>5</v>
      </c>
      <c r="I206" s="2" t="s">
        <v>6</v>
      </c>
      <c r="J206" s="2" t="s">
        <v>16</v>
      </c>
      <c r="K206" s="2" t="s">
        <v>16</v>
      </c>
      <c r="L206" s="2" t="s">
        <v>7</v>
      </c>
      <c r="M206" s="1" t="s">
        <v>2845</v>
      </c>
      <c r="N206" s="1" t="s">
        <v>2846</v>
      </c>
      <c r="O206" s="2" t="s">
        <v>1469</v>
      </c>
      <c r="P206" s="1" t="s">
        <v>2847</v>
      </c>
      <c r="Q206" s="2" t="s">
        <v>11</v>
      </c>
      <c r="R206" s="2" t="s">
        <v>501</v>
      </c>
      <c r="T206" s="2" t="s">
        <v>1367</v>
      </c>
      <c r="U206" s="3">
        <v>4</v>
      </c>
      <c r="V206" s="3">
        <v>5</v>
      </c>
      <c r="W206" s="4" t="s">
        <v>214</v>
      </c>
      <c r="X206" s="4" t="s">
        <v>214</v>
      </c>
      <c r="Y206" s="4" t="s">
        <v>2848</v>
      </c>
      <c r="Z206" s="4" t="s">
        <v>2848</v>
      </c>
      <c r="AA206" s="3">
        <v>723</v>
      </c>
      <c r="AB206" s="3">
        <v>637</v>
      </c>
      <c r="AC206" s="3">
        <v>873</v>
      </c>
      <c r="AD206" s="3">
        <v>5</v>
      </c>
      <c r="AE206" s="7">
        <v>6</v>
      </c>
      <c r="AF206" s="7">
        <v>39</v>
      </c>
      <c r="AG206" s="7">
        <v>52</v>
      </c>
      <c r="AH206" s="3">
        <v>7</v>
      </c>
      <c r="AI206" s="3">
        <v>14</v>
      </c>
      <c r="AJ206" s="3">
        <v>4</v>
      </c>
      <c r="AK206" s="3">
        <v>6</v>
      </c>
      <c r="AL206" s="3">
        <v>11</v>
      </c>
      <c r="AM206" s="3">
        <v>13</v>
      </c>
      <c r="AN206" s="3">
        <v>2</v>
      </c>
      <c r="AO206" s="3">
        <v>3</v>
      </c>
      <c r="AP206" s="3">
        <v>19</v>
      </c>
      <c r="AQ206" s="3">
        <v>23</v>
      </c>
      <c r="AR206" s="2" t="s">
        <v>5</v>
      </c>
      <c r="AS206" s="2" t="s">
        <v>5</v>
      </c>
      <c r="AU206" s="5" t="str">
        <f>HYPERLINK("https://creighton-primo.hosted.exlibrisgroup.com/primo-explore/search?tab=default_tab&amp;search_scope=EVERYTHING&amp;vid=01CRU&amp;lang=en_US&amp;offset=0&amp;query=any,contains,991001628529702656","Catalog Record")</f>
        <v>Catalog Record</v>
      </c>
      <c r="AV206" s="5" t="str">
        <f>HYPERLINK("http://www.worldcat.org/oclc/332452","WorldCat Record")</f>
        <v>WorldCat Record</v>
      </c>
      <c r="AW206" s="2" t="s">
        <v>2849</v>
      </c>
      <c r="AX206" s="2" t="s">
        <v>2850</v>
      </c>
      <c r="AY206" s="2" t="s">
        <v>2851</v>
      </c>
      <c r="AZ206" s="2" t="s">
        <v>2851</v>
      </c>
      <c r="BA206" s="2" t="s">
        <v>2852</v>
      </c>
      <c r="BB206" s="2" t="s">
        <v>21</v>
      </c>
      <c r="BE206" s="2" t="s">
        <v>2853</v>
      </c>
      <c r="BF206" s="2" t="s">
        <v>2854</v>
      </c>
    </row>
    <row r="207" spans="1:58" ht="39.75" customHeight="1" x14ac:dyDescent="0.25">
      <c r="A207" s="1"/>
      <c r="B207" s="1" t="s">
        <v>0</v>
      </c>
      <c r="C207" s="1" t="s">
        <v>1</v>
      </c>
      <c r="D207" s="1" t="s">
        <v>2855</v>
      </c>
      <c r="E207" s="1" t="s">
        <v>2856</v>
      </c>
      <c r="F207" s="1" t="s">
        <v>2857</v>
      </c>
      <c r="H207" s="2" t="s">
        <v>5</v>
      </c>
      <c r="I207" s="2" t="s">
        <v>6</v>
      </c>
      <c r="J207" s="2" t="s">
        <v>5</v>
      </c>
      <c r="K207" s="2" t="s">
        <v>5</v>
      </c>
      <c r="L207" s="2" t="s">
        <v>7</v>
      </c>
      <c r="M207" s="1" t="s">
        <v>2858</v>
      </c>
      <c r="N207" s="1" t="s">
        <v>2859</v>
      </c>
      <c r="O207" s="2" t="s">
        <v>1396</v>
      </c>
      <c r="P207" s="1" t="s">
        <v>229</v>
      </c>
      <c r="Q207" s="2" t="s">
        <v>11</v>
      </c>
      <c r="R207" s="2" t="s">
        <v>903</v>
      </c>
      <c r="T207" s="2" t="s">
        <v>1367</v>
      </c>
      <c r="U207" s="3">
        <v>8</v>
      </c>
      <c r="V207" s="3">
        <v>8</v>
      </c>
      <c r="W207" s="4" t="s">
        <v>1425</v>
      </c>
      <c r="X207" s="4" t="s">
        <v>1425</v>
      </c>
      <c r="Y207" s="4" t="s">
        <v>2860</v>
      </c>
      <c r="Z207" s="4" t="s">
        <v>2860</v>
      </c>
      <c r="AA207" s="3">
        <v>708</v>
      </c>
      <c r="AB207" s="3">
        <v>643</v>
      </c>
      <c r="AC207" s="3">
        <v>663</v>
      </c>
      <c r="AD207" s="3">
        <v>4</v>
      </c>
      <c r="AE207" s="7">
        <v>4</v>
      </c>
      <c r="AF207" s="7">
        <v>22</v>
      </c>
      <c r="AG207" s="7">
        <v>22</v>
      </c>
      <c r="AH207" s="3">
        <v>3</v>
      </c>
      <c r="AI207" s="3">
        <v>3</v>
      </c>
      <c r="AJ207" s="3">
        <v>4</v>
      </c>
      <c r="AK207" s="3">
        <v>4</v>
      </c>
      <c r="AL207" s="3">
        <v>6</v>
      </c>
      <c r="AM207" s="3">
        <v>6</v>
      </c>
      <c r="AN207" s="3">
        <v>3</v>
      </c>
      <c r="AO207" s="3">
        <v>3</v>
      </c>
      <c r="AP207" s="3">
        <v>8</v>
      </c>
      <c r="AQ207" s="3">
        <v>8</v>
      </c>
      <c r="AR207" s="2" t="s">
        <v>5</v>
      </c>
      <c r="AS207" s="2" t="s">
        <v>5</v>
      </c>
      <c r="AU207" s="5" t="str">
        <f>HYPERLINK("https://creighton-primo.hosted.exlibrisgroup.com/primo-explore/search?tab=default_tab&amp;search_scope=EVERYTHING&amp;vid=01CRU&amp;lang=en_US&amp;offset=0&amp;query=any,contains,991002884929702656","Catalog Record")</f>
        <v>Catalog Record</v>
      </c>
      <c r="AV207" s="5" t="str">
        <f>HYPERLINK("http://www.worldcat.org/oclc/38014844","WorldCat Record")</f>
        <v>WorldCat Record</v>
      </c>
      <c r="AW207" s="2" t="s">
        <v>2861</v>
      </c>
      <c r="AX207" s="2" t="s">
        <v>2862</v>
      </c>
      <c r="AY207" s="2" t="s">
        <v>2863</v>
      </c>
      <c r="AZ207" s="2" t="s">
        <v>2863</v>
      </c>
      <c r="BA207" s="2" t="s">
        <v>2864</v>
      </c>
      <c r="BB207" s="2" t="s">
        <v>21</v>
      </c>
      <c r="BD207" s="2" t="s">
        <v>2865</v>
      </c>
      <c r="BE207" s="2" t="s">
        <v>2866</v>
      </c>
      <c r="BF207" s="2" t="s">
        <v>2867</v>
      </c>
    </row>
    <row r="208" spans="1:58" ht="39.75" customHeight="1" x14ac:dyDescent="0.25">
      <c r="A208" s="1"/>
      <c r="B208" s="1" t="s">
        <v>0</v>
      </c>
      <c r="C208" s="1" t="s">
        <v>1</v>
      </c>
      <c r="D208" s="1" t="s">
        <v>2868</v>
      </c>
      <c r="E208" s="1" t="s">
        <v>2869</v>
      </c>
      <c r="F208" s="1" t="s">
        <v>2870</v>
      </c>
      <c r="H208" s="2" t="s">
        <v>5</v>
      </c>
      <c r="I208" s="2" t="s">
        <v>6</v>
      </c>
      <c r="J208" s="2" t="s">
        <v>5</v>
      </c>
      <c r="K208" s="2" t="s">
        <v>5</v>
      </c>
      <c r="L208" s="2" t="s">
        <v>7</v>
      </c>
      <c r="N208" s="1" t="s">
        <v>2871</v>
      </c>
      <c r="O208" s="2" t="s">
        <v>472</v>
      </c>
      <c r="Q208" s="2" t="s">
        <v>11</v>
      </c>
      <c r="R208" s="2" t="s">
        <v>76</v>
      </c>
      <c r="S208" s="1" t="s">
        <v>2872</v>
      </c>
      <c r="T208" s="2" t="s">
        <v>1367</v>
      </c>
      <c r="U208" s="3">
        <v>26</v>
      </c>
      <c r="V208" s="3">
        <v>26</v>
      </c>
      <c r="W208" s="4" t="s">
        <v>2873</v>
      </c>
      <c r="X208" s="4" t="s">
        <v>2873</v>
      </c>
      <c r="Y208" s="4" t="s">
        <v>2874</v>
      </c>
      <c r="Z208" s="4" t="s">
        <v>2874</v>
      </c>
      <c r="AA208" s="3">
        <v>931</v>
      </c>
      <c r="AB208" s="3">
        <v>886</v>
      </c>
      <c r="AC208" s="3">
        <v>892</v>
      </c>
      <c r="AD208" s="3">
        <v>8</v>
      </c>
      <c r="AE208" s="7">
        <v>8</v>
      </c>
      <c r="AF208" s="7">
        <v>32</v>
      </c>
      <c r="AG208" s="7">
        <v>32</v>
      </c>
      <c r="AH208" s="3">
        <v>9</v>
      </c>
      <c r="AI208" s="3">
        <v>9</v>
      </c>
      <c r="AJ208" s="3">
        <v>7</v>
      </c>
      <c r="AK208" s="3">
        <v>7</v>
      </c>
      <c r="AL208" s="3">
        <v>13</v>
      </c>
      <c r="AM208" s="3">
        <v>13</v>
      </c>
      <c r="AN208" s="3">
        <v>5</v>
      </c>
      <c r="AO208" s="3">
        <v>5</v>
      </c>
      <c r="AP208" s="3">
        <v>4</v>
      </c>
      <c r="AQ208" s="3">
        <v>4</v>
      </c>
      <c r="AR208" s="2" t="s">
        <v>5</v>
      </c>
      <c r="AS208" s="2" t="s">
        <v>16</v>
      </c>
      <c r="AT208" s="5" t="str">
        <f>HYPERLINK("http://catalog.hathitrust.org/Record/000733840","HathiTrust Record")</f>
        <v>HathiTrust Record</v>
      </c>
      <c r="AU208" s="5" t="str">
        <f>HYPERLINK("https://creighton-primo.hosted.exlibrisgroup.com/primo-explore/search?tab=default_tab&amp;search_scope=EVERYTHING&amp;vid=01CRU&amp;lang=en_US&amp;offset=0&amp;query=any,contains,991005093579702656","Catalog Record")</f>
        <v>Catalog Record</v>
      </c>
      <c r="AV208" s="5" t="str">
        <f>HYPERLINK("http://www.worldcat.org/oclc/7252662","WorldCat Record")</f>
        <v>WorldCat Record</v>
      </c>
      <c r="AW208" s="2" t="s">
        <v>2875</v>
      </c>
      <c r="AX208" s="2" t="s">
        <v>2876</v>
      </c>
      <c r="AY208" s="2" t="s">
        <v>2877</v>
      </c>
      <c r="AZ208" s="2" t="s">
        <v>2877</v>
      </c>
      <c r="BA208" s="2" t="s">
        <v>2878</v>
      </c>
      <c r="BB208" s="2" t="s">
        <v>21</v>
      </c>
      <c r="BD208" s="2" t="s">
        <v>2879</v>
      </c>
      <c r="BE208" s="2" t="s">
        <v>2880</v>
      </c>
      <c r="BF208" s="2" t="s">
        <v>2881</v>
      </c>
    </row>
    <row r="209" spans="1:58" ht="39.75" customHeight="1" x14ac:dyDescent="0.25">
      <c r="A209" s="1"/>
      <c r="B209" s="1" t="s">
        <v>0</v>
      </c>
      <c r="C209" s="1" t="s">
        <v>1</v>
      </c>
      <c r="D209" s="1" t="s">
        <v>2882</v>
      </c>
      <c r="E209" s="1" t="s">
        <v>2883</v>
      </c>
      <c r="F209" s="1" t="s">
        <v>2884</v>
      </c>
      <c r="H209" s="2" t="s">
        <v>5</v>
      </c>
      <c r="I209" s="2" t="s">
        <v>6</v>
      </c>
      <c r="J209" s="2" t="s">
        <v>5</v>
      </c>
      <c r="K209" s="2" t="s">
        <v>5</v>
      </c>
      <c r="L209" s="2" t="s">
        <v>7</v>
      </c>
      <c r="M209" s="1" t="s">
        <v>2885</v>
      </c>
      <c r="N209" s="1" t="s">
        <v>2886</v>
      </c>
      <c r="O209" s="2" t="s">
        <v>530</v>
      </c>
      <c r="P209" s="1" t="s">
        <v>340</v>
      </c>
      <c r="Q209" s="2" t="s">
        <v>11</v>
      </c>
      <c r="R209" s="2" t="s">
        <v>260</v>
      </c>
      <c r="T209" s="2" t="s">
        <v>1367</v>
      </c>
      <c r="U209" s="3">
        <v>3</v>
      </c>
      <c r="V209" s="3">
        <v>3</v>
      </c>
      <c r="W209" s="4" t="s">
        <v>2887</v>
      </c>
      <c r="X209" s="4" t="s">
        <v>2887</v>
      </c>
      <c r="Y209" s="4" t="s">
        <v>2888</v>
      </c>
      <c r="Z209" s="4" t="s">
        <v>2888</v>
      </c>
      <c r="AA209" s="3">
        <v>241</v>
      </c>
      <c r="AB209" s="3">
        <v>232</v>
      </c>
      <c r="AC209" s="3">
        <v>380</v>
      </c>
      <c r="AD209" s="3">
        <v>2</v>
      </c>
      <c r="AE209" s="7">
        <v>2</v>
      </c>
      <c r="AF209" s="7">
        <v>14</v>
      </c>
      <c r="AG209" s="7">
        <v>19</v>
      </c>
      <c r="AH209" s="3">
        <v>0</v>
      </c>
      <c r="AI209" s="3">
        <v>0</v>
      </c>
      <c r="AJ209" s="3">
        <v>4</v>
      </c>
      <c r="AK209" s="3">
        <v>4</v>
      </c>
      <c r="AL209" s="3">
        <v>3</v>
      </c>
      <c r="AM209" s="3">
        <v>3</v>
      </c>
      <c r="AN209" s="3">
        <v>1</v>
      </c>
      <c r="AO209" s="3">
        <v>1</v>
      </c>
      <c r="AP209" s="3">
        <v>8</v>
      </c>
      <c r="AQ209" s="3">
        <v>13</v>
      </c>
      <c r="AR209" s="2" t="s">
        <v>5</v>
      </c>
      <c r="AS209" s="2" t="s">
        <v>5</v>
      </c>
      <c r="AU209" s="5" t="str">
        <f>HYPERLINK("https://creighton-primo.hosted.exlibrisgroup.com/primo-explore/search?tab=default_tab&amp;search_scope=EVERYTHING&amp;vid=01CRU&amp;lang=en_US&amp;offset=0&amp;query=any,contains,991000821519702656","Catalog Record")</f>
        <v>Catalog Record</v>
      </c>
      <c r="AV209" s="5" t="str">
        <f>HYPERLINK("http://www.worldcat.org/oclc/13395564","WorldCat Record")</f>
        <v>WorldCat Record</v>
      </c>
      <c r="AW209" s="2" t="s">
        <v>2889</v>
      </c>
      <c r="AX209" s="2" t="s">
        <v>2890</v>
      </c>
      <c r="AY209" s="2" t="s">
        <v>2891</v>
      </c>
      <c r="AZ209" s="2" t="s">
        <v>2891</v>
      </c>
      <c r="BA209" s="2" t="s">
        <v>2892</v>
      </c>
      <c r="BB209" s="2" t="s">
        <v>21</v>
      </c>
      <c r="BD209" s="2" t="s">
        <v>2893</v>
      </c>
      <c r="BE209" s="2" t="s">
        <v>2894</v>
      </c>
      <c r="BF209" s="2" t="s">
        <v>2895</v>
      </c>
    </row>
    <row r="210" spans="1:58" ht="39.75" customHeight="1" x14ac:dyDescent="0.25">
      <c r="A210" s="1"/>
      <c r="B210" s="1" t="s">
        <v>0</v>
      </c>
      <c r="C210" s="1" t="s">
        <v>1</v>
      </c>
      <c r="D210" s="1" t="s">
        <v>2896</v>
      </c>
      <c r="E210" s="1" t="s">
        <v>2897</v>
      </c>
      <c r="F210" s="1" t="s">
        <v>2898</v>
      </c>
      <c r="H210" s="2" t="s">
        <v>5</v>
      </c>
      <c r="I210" s="2" t="s">
        <v>6</v>
      </c>
      <c r="J210" s="2" t="s">
        <v>5</v>
      </c>
      <c r="K210" s="2" t="s">
        <v>5</v>
      </c>
      <c r="L210" s="2" t="s">
        <v>7</v>
      </c>
      <c r="M210" s="1" t="s">
        <v>2899</v>
      </c>
      <c r="N210" s="1" t="s">
        <v>2900</v>
      </c>
      <c r="O210" s="2" t="s">
        <v>629</v>
      </c>
      <c r="Q210" s="2" t="s">
        <v>11</v>
      </c>
      <c r="R210" s="2" t="s">
        <v>124</v>
      </c>
      <c r="S210" s="1" t="s">
        <v>2901</v>
      </c>
      <c r="T210" s="2" t="s">
        <v>1367</v>
      </c>
      <c r="U210" s="3">
        <v>11</v>
      </c>
      <c r="V210" s="3">
        <v>11</v>
      </c>
      <c r="W210" s="4" t="s">
        <v>2902</v>
      </c>
      <c r="X210" s="4" t="s">
        <v>2902</v>
      </c>
      <c r="Y210" s="4" t="s">
        <v>2903</v>
      </c>
      <c r="Z210" s="4" t="s">
        <v>2903</v>
      </c>
      <c r="AA210" s="3">
        <v>682</v>
      </c>
      <c r="AB210" s="3">
        <v>612</v>
      </c>
      <c r="AC210" s="3">
        <v>630</v>
      </c>
      <c r="AD210" s="3">
        <v>5</v>
      </c>
      <c r="AE210" s="7">
        <v>5</v>
      </c>
      <c r="AF210" s="7">
        <v>39</v>
      </c>
      <c r="AG210" s="7">
        <v>39</v>
      </c>
      <c r="AH210" s="3">
        <v>7</v>
      </c>
      <c r="AI210" s="3">
        <v>7</v>
      </c>
      <c r="AJ210" s="3">
        <v>9</v>
      </c>
      <c r="AK210" s="3">
        <v>9</v>
      </c>
      <c r="AL210" s="3">
        <v>16</v>
      </c>
      <c r="AM210" s="3">
        <v>16</v>
      </c>
      <c r="AN210" s="3">
        <v>4</v>
      </c>
      <c r="AO210" s="3">
        <v>4</v>
      </c>
      <c r="AP210" s="3">
        <v>10</v>
      </c>
      <c r="AQ210" s="3">
        <v>10</v>
      </c>
      <c r="AR210" s="2" t="s">
        <v>5</v>
      </c>
      <c r="AS210" s="2" t="s">
        <v>16</v>
      </c>
      <c r="AT210" s="5" t="str">
        <f>HYPERLINK("http://catalog.hathitrust.org/Record/000824831","HathiTrust Record")</f>
        <v>HathiTrust Record</v>
      </c>
      <c r="AU210" s="5" t="str">
        <f>HYPERLINK("https://creighton-primo.hosted.exlibrisgroup.com/primo-explore/search?tab=default_tab&amp;search_scope=EVERYTHING&amp;vid=01CRU&amp;lang=en_US&amp;offset=0&amp;query=any,contains,991000906189702656","Catalog Record")</f>
        <v>Catalog Record</v>
      </c>
      <c r="AV210" s="5" t="str">
        <f>HYPERLINK("http://www.worldcat.org/oclc/14098558","WorldCat Record")</f>
        <v>WorldCat Record</v>
      </c>
      <c r="AW210" s="2" t="s">
        <v>2904</v>
      </c>
      <c r="AX210" s="2" t="s">
        <v>2905</v>
      </c>
      <c r="AY210" s="2" t="s">
        <v>2906</v>
      </c>
      <c r="AZ210" s="2" t="s">
        <v>2906</v>
      </c>
      <c r="BA210" s="2" t="s">
        <v>2907</v>
      </c>
      <c r="BB210" s="2" t="s">
        <v>21</v>
      </c>
      <c r="BD210" s="2" t="s">
        <v>2908</v>
      </c>
      <c r="BE210" s="2" t="s">
        <v>2909</v>
      </c>
      <c r="BF210" s="2" t="s">
        <v>2910</v>
      </c>
    </row>
    <row r="211" spans="1:58" ht="39.75" customHeight="1" x14ac:dyDescent="0.25">
      <c r="A211" s="1"/>
      <c r="B211" s="1" t="s">
        <v>0</v>
      </c>
      <c r="C211" s="1" t="s">
        <v>1</v>
      </c>
      <c r="D211" s="1" t="s">
        <v>2911</v>
      </c>
      <c r="E211" s="1" t="s">
        <v>2912</v>
      </c>
      <c r="F211" s="1" t="s">
        <v>2913</v>
      </c>
      <c r="H211" s="2" t="s">
        <v>5</v>
      </c>
      <c r="I211" s="2" t="s">
        <v>6</v>
      </c>
      <c r="J211" s="2" t="s">
        <v>5</v>
      </c>
      <c r="K211" s="2" t="s">
        <v>5</v>
      </c>
      <c r="L211" s="2" t="s">
        <v>7</v>
      </c>
      <c r="M211" s="1" t="s">
        <v>2914</v>
      </c>
      <c r="N211" s="1" t="s">
        <v>2915</v>
      </c>
      <c r="O211" s="2" t="s">
        <v>1001</v>
      </c>
      <c r="Q211" s="2" t="s">
        <v>11</v>
      </c>
      <c r="R211" s="2" t="s">
        <v>1977</v>
      </c>
      <c r="T211" s="2" t="s">
        <v>1367</v>
      </c>
      <c r="U211" s="3">
        <v>3</v>
      </c>
      <c r="V211" s="3">
        <v>3</v>
      </c>
      <c r="W211" s="4" t="s">
        <v>2916</v>
      </c>
      <c r="X211" s="4" t="s">
        <v>2916</v>
      </c>
      <c r="Y211" s="4" t="s">
        <v>2917</v>
      </c>
      <c r="Z211" s="4" t="s">
        <v>2917</v>
      </c>
      <c r="AA211" s="3">
        <v>503</v>
      </c>
      <c r="AB211" s="3">
        <v>473</v>
      </c>
      <c r="AC211" s="3">
        <v>479</v>
      </c>
      <c r="AD211" s="3">
        <v>3</v>
      </c>
      <c r="AE211" s="7">
        <v>3</v>
      </c>
      <c r="AF211" s="7">
        <v>24</v>
      </c>
      <c r="AG211" s="7">
        <v>24</v>
      </c>
      <c r="AH211" s="3">
        <v>8</v>
      </c>
      <c r="AI211" s="3">
        <v>8</v>
      </c>
      <c r="AJ211" s="3">
        <v>2</v>
      </c>
      <c r="AK211" s="3">
        <v>2</v>
      </c>
      <c r="AL211" s="3">
        <v>4</v>
      </c>
      <c r="AM211" s="3">
        <v>4</v>
      </c>
      <c r="AN211" s="3">
        <v>2</v>
      </c>
      <c r="AO211" s="3">
        <v>2</v>
      </c>
      <c r="AP211" s="3">
        <v>11</v>
      </c>
      <c r="AQ211" s="3">
        <v>11</v>
      </c>
      <c r="AR211" s="2" t="s">
        <v>5</v>
      </c>
      <c r="AS211" s="2" t="s">
        <v>16</v>
      </c>
      <c r="AT211" s="5" t="str">
        <f>HYPERLINK("http://catalog.hathitrust.org/Record/000718184","HathiTrust Record")</f>
        <v>HathiTrust Record</v>
      </c>
      <c r="AU211" s="5" t="str">
        <f>HYPERLINK("https://creighton-primo.hosted.exlibrisgroup.com/primo-explore/search?tab=default_tab&amp;search_scope=EVERYTHING&amp;vid=01CRU&amp;lang=en_US&amp;offset=0&amp;query=any,contains,991004263729702656","Catalog Record")</f>
        <v>Catalog Record</v>
      </c>
      <c r="AV211" s="5" t="str">
        <f>HYPERLINK("http://www.worldcat.org/oclc/1827058","WorldCat Record")</f>
        <v>WorldCat Record</v>
      </c>
      <c r="AW211" s="2" t="s">
        <v>2918</v>
      </c>
      <c r="AX211" s="2" t="s">
        <v>2919</v>
      </c>
      <c r="AY211" s="2" t="s">
        <v>2920</v>
      </c>
      <c r="AZ211" s="2" t="s">
        <v>2920</v>
      </c>
      <c r="BA211" s="2" t="s">
        <v>2921</v>
      </c>
      <c r="BB211" s="2" t="s">
        <v>21</v>
      </c>
      <c r="BE211" s="2" t="s">
        <v>2922</v>
      </c>
      <c r="BF211" s="2" t="s">
        <v>2923</v>
      </c>
    </row>
    <row r="212" spans="1:58" ht="39.75" customHeight="1" x14ac:dyDescent="0.25">
      <c r="A212" s="1"/>
      <c r="B212" s="1" t="s">
        <v>0</v>
      </c>
      <c r="C212" s="1" t="s">
        <v>1</v>
      </c>
      <c r="D212" s="1" t="s">
        <v>2924</v>
      </c>
      <c r="E212" s="1" t="s">
        <v>2925</v>
      </c>
      <c r="F212" s="1" t="s">
        <v>2926</v>
      </c>
      <c r="H212" s="2" t="s">
        <v>5</v>
      </c>
      <c r="I212" s="2" t="s">
        <v>6</v>
      </c>
      <c r="J212" s="2" t="s">
        <v>16</v>
      </c>
      <c r="K212" s="2" t="s">
        <v>16</v>
      </c>
      <c r="L212" s="2" t="s">
        <v>7</v>
      </c>
      <c r="M212" s="1" t="s">
        <v>2927</v>
      </c>
      <c r="N212" s="1" t="s">
        <v>2928</v>
      </c>
      <c r="O212" s="2" t="s">
        <v>355</v>
      </c>
      <c r="Q212" s="2" t="s">
        <v>11</v>
      </c>
      <c r="R212" s="2" t="s">
        <v>306</v>
      </c>
      <c r="T212" s="2" t="s">
        <v>1367</v>
      </c>
      <c r="U212" s="3">
        <v>9</v>
      </c>
      <c r="V212" s="3">
        <v>9</v>
      </c>
      <c r="W212" s="4" t="s">
        <v>2929</v>
      </c>
      <c r="X212" s="4" t="s">
        <v>2929</v>
      </c>
      <c r="Y212" s="4" t="s">
        <v>2930</v>
      </c>
      <c r="Z212" s="4" t="s">
        <v>2931</v>
      </c>
      <c r="AA212" s="3">
        <v>149</v>
      </c>
      <c r="AB212" s="3">
        <v>134</v>
      </c>
      <c r="AC212" s="3">
        <v>598</v>
      </c>
      <c r="AD212" s="3">
        <v>2</v>
      </c>
      <c r="AE212" s="7">
        <v>9</v>
      </c>
      <c r="AF212" s="7">
        <v>13</v>
      </c>
      <c r="AG212" s="7">
        <v>45</v>
      </c>
      <c r="AH212" s="3">
        <v>3</v>
      </c>
      <c r="AI212" s="3">
        <v>9</v>
      </c>
      <c r="AJ212" s="3">
        <v>3</v>
      </c>
      <c r="AK212" s="3">
        <v>6</v>
      </c>
      <c r="AL212" s="3">
        <v>4</v>
      </c>
      <c r="AM212" s="3">
        <v>16</v>
      </c>
      <c r="AN212" s="3">
        <v>0</v>
      </c>
      <c r="AO212" s="3">
        <v>6</v>
      </c>
      <c r="AP212" s="3">
        <v>5</v>
      </c>
      <c r="AQ212" s="3">
        <v>15</v>
      </c>
      <c r="AR212" s="2" t="s">
        <v>16</v>
      </c>
      <c r="AS212" s="2" t="s">
        <v>5</v>
      </c>
      <c r="AT212" s="5" t="str">
        <f>HYPERLINK("http://catalog.hathitrust.org/Record/102072863","HathiTrust Record")</f>
        <v>HathiTrust Record</v>
      </c>
      <c r="AU212" s="5" t="str">
        <f>HYPERLINK("https://creighton-primo.hosted.exlibrisgroup.com/primo-explore/search?tab=default_tab&amp;search_scope=EVERYTHING&amp;vid=01CRU&amp;lang=en_US&amp;offset=0&amp;query=any,contains,991001659129702656","Catalog Record")</f>
        <v>Catalog Record</v>
      </c>
      <c r="AV212" s="5" t="str">
        <f>HYPERLINK("http://www.worldcat.org/oclc/590655","WorldCat Record")</f>
        <v>WorldCat Record</v>
      </c>
      <c r="AW212" s="2" t="s">
        <v>2932</v>
      </c>
      <c r="AX212" s="2" t="s">
        <v>2933</v>
      </c>
      <c r="AY212" s="2" t="s">
        <v>2934</v>
      </c>
      <c r="AZ212" s="2" t="s">
        <v>2934</v>
      </c>
      <c r="BA212" s="2" t="s">
        <v>2935</v>
      </c>
      <c r="BB212" s="2" t="s">
        <v>21</v>
      </c>
      <c r="BD212" s="2" t="s">
        <v>2936</v>
      </c>
      <c r="BE212" s="2" t="s">
        <v>2937</v>
      </c>
      <c r="BF212" s="2" t="s">
        <v>2938</v>
      </c>
    </row>
    <row r="213" spans="1:58" ht="39.75" customHeight="1" x14ac:dyDescent="0.25">
      <c r="A213" s="1"/>
      <c r="B213" s="1" t="s">
        <v>0</v>
      </c>
      <c r="C213" s="1" t="s">
        <v>1</v>
      </c>
      <c r="D213" s="1" t="s">
        <v>2939</v>
      </c>
      <c r="E213" s="1" t="s">
        <v>2940</v>
      </c>
      <c r="F213" s="1" t="s">
        <v>2941</v>
      </c>
      <c r="H213" s="2" t="s">
        <v>5</v>
      </c>
      <c r="I213" s="2" t="s">
        <v>6</v>
      </c>
      <c r="J213" s="2" t="s">
        <v>5</v>
      </c>
      <c r="K213" s="2" t="s">
        <v>16</v>
      </c>
      <c r="L213" s="2" t="s">
        <v>7</v>
      </c>
      <c r="M213" s="1" t="s">
        <v>2942</v>
      </c>
      <c r="N213" s="1" t="s">
        <v>2943</v>
      </c>
      <c r="O213" s="2" t="s">
        <v>1396</v>
      </c>
      <c r="P213" s="1" t="s">
        <v>2944</v>
      </c>
      <c r="Q213" s="2" t="s">
        <v>11</v>
      </c>
      <c r="R213" s="2" t="s">
        <v>153</v>
      </c>
      <c r="T213" s="2" t="s">
        <v>1367</v>
      </c>
      <c r="U213" s="3">
        <v>4</v>
      </c>
      <c r="V213" s="3">
        <v>4</v>
      </c>
      <c r="W213" s="4" t="s">
        <v>2945</v>
      </c>
      <c r="X213" s="4" t="s">
        <v>2945</v>
      </c>
      <c r="Y213" s="4" t="s">
        <v>2946</v>
      </c>
      <c r="Z213" s="4" t="s">
        <v>2946</v>
      </c>
      <c r="AA213" s="3">
        <v>172</v>
      </c>
      <c r="AB213" s="3">
        <v>163</v>
      </c>
      <c r="AC213" s="3">
        <v>740</v>
      </c>
      <c r="AD213" s="3">
        <v>1</v>
      </c>
      <c r="AE213" s="7">
        <v>7</v>
      </c>
      <c r="AF213" s="7">
        <v>6</v>
      </c>
      <c r="AG213" s="7">
        <v>45</v>
      </c>
      <c r="AH213" s="3">
        <v>0</v>
      </c>
      <c r="AI213" s="3">
        <v>10</v>
      </c>
      <c r="AJ213" s="3">
        <v>1</v>
      </c>
      <c r="AK213" s="3">
        <v>7</v>
      </c>
      <c r="AL213" s="3">
        <v>2</v>
      </c>
      <c r="AM213" s="3">
        <v>12</v>
      </c>
      <c r="AN213" s="3">
        <v>0</v>
      </c>
      <c r="AO213" s="3">
        <v>5</v>
      </c>
      <c r="AP213" s="3">
        <v>4</v>
      </c>
      <c r="AQ213" s="3">
        <v>19</v>
      </c>
      <c r="AR213" s="2" t="s">
        <v>5</v>
      </c>
      <c r="AS213" s="2" t="s">
        <v>5</v>
      </c>
      <c r="AU213" s="5" t="str">
        <f>HYPERLINK("https://creighton-primo.hosted.exlibrisgroup.com/primo-explore/search?tab=default_tab&amp;search_scope=EVERYTHING&amp;vid=01CRU&amp;lang=en_US&amp;offset=0&amp;query=any,contains,991002836109702656","Catalog Record")</f>
        <v>Catalog Record</v>
      </c>
      <c r="AV213" s="5" t="str">
        <f>HYPERLINK("http://www.worldcat.org/oclc/37353921","WorldCat Record")</f>
        <v>WorldCat Record</v>
      </c>
      <c r="AW213" s="2" t="s">
        <v>2947</v>
      </c>
      <c r="AX213" s="2" t="s">
        <v>2948</v>
      </c>
      <c r="AY213" s="2" t="s">
        <v>2949</v>
      </c>
      <c r="AZ213" s="2" t="s">
        <v>2949</v>
      </c>
      <c r="BA213" s="2" t="s">
        <v>2950</v>
      </c>
      <c r="BB213" s="2" t="s">
        <v>21</v>
      </c>
      <c r="BD213" s="2" t="s">
        <v>2951</v>
      </c>
      <c r="BE213" s="2" t="s">
        <v>2952</v>
      </c>
      <c r="BF213" s="2" t="s">
        <v>2953</v>
      </c>
    </row>
    <row r="214" spans="1:58" ht="39.75" customHeight="1" x14ac:dyDescent="0.25">
      <c r="A214" s="1"/>
      <c r="B214" s="1" t="s">
        <v>0</v>
      </c>
      <c r="C214" s="1" t="s">
        <v>1</v>
      </c>
      <c r="D214" s="1" t="s">
        <v>2954</v>
      </c>
      <c r="E214" s="1" t="s">
        <v>2955</v>
      </c>
      <c r="F214" s="1" t="s">
        <v>2956</v>
      </c>
      <c r="H214" s="2" t="s">
        <v>5</v>
      </c>
      <c r="I214" s="2" t="s">
        <v>6</v>
      </c>
      <c r="J214" s="2" t="s">
        <v>5</v>
      </c>
      <c r="K214" s="2" t="s">
        <v>5</v>
      </c>
      <c r="L214" s="2" t="s">
        <v>7</v>
      </c>
      <c r="M214" s="1" t="s">
        <v>2957</v>
      </c>
      <c r="N214" s="1" t="s">
        <v>2958</v>
      </c>
      <c r="O214" s="2" t="s">
        <v>1469</v>
      </c>
      <c r="Q214" s="2" t="s">
        <v>11</v>
      </c>
      <c r="R214" s="2" t="s">
        <v>76</v>
      </c>
      <c r="T214" s="2" t="s">
        <v>1367</v>
      </c>
      <c r="U214" s="3">
        <v>7</v>
      </c>
      <c r="V214" s="3">
        <v>7</v>
      </c>
      <c r="W214" s="4" t="s">
        <v>2929</v>
      </c>
      <c r="X214" s="4" t="s">
        <v>2929</v>
      </c>
      <c r="Y214" s="4" t="s">
        <v>2959</v>
      </c>
      <c r="Z214" s="4" t="s">
        <v>2959</v>
      </c>
      <c r="AA214" s="3">
        <v>356</v>
      </c>
      <c r="AB214" s="3">
        <v>338</v>
      </c>
      <c r="AC214" s="3">
        <v>342</v>
      </c>
      <c r="AD214" s="3">
        <v>4</v>
      </c>
      <c r="AE214" s="7">
        <v>4</v>
      </c>
      <c r="AF214" s="7">
        <v>14</v>
      </c>
      <c r="AG214" s="7">
        <v>14</v>
      </c>
      <c r="AH214" s="3">
        <v>3</v>
      </c>
      <c r="AI214" s="3">
        <v>3</v>
      </c>
      <c r="AJ214" s="3">
        <v>1</v>
      </c>
      <c r="AK214" s="3">
        <v>1</v>
      </c>
      <c r="AL214" s="3">
        <v>6</v>
      </c>
      <c r="AM214" s="3">
        <v>6</v>
      </c>
      <c r="AN214" s="3">
        <v>3</v>
      </c>
      <c r="AO214" s="3">
        <v>3</v>
      </c>
      <c r="AP214" s="3">
        <v>4</v>
      </c>
      <c r="AQ214" s="3">
        <v>4</v>
      </c>
      <c r="AR214" s="2" t="s">
        <v>5</v>
      </c>
      <c r="AS214" s="2" t="s">
        <v>16</v>
      </c>
      <c r="AT214" s="5" t="str">
        <f>HYPERLINK("http://catalog.hathitrust.org/Record/001069126","HathiTrust Record")</f>
        <v>HathiTrust Record</v>
      </c>
      <c r="AU214" s="5" t="str">
        <f>HYPERLINK("https://creighton-primo.hosted.exlibrisgroup.com/primo-explore/search?tab=default_tab&amp;search_scope=EVERYTHING&amp;vid=01CRU&amp;lang=en_US&amp;offset=0&amp;query=any,contains,991003126489702656","Catalog Record")</f>
        <v>Catalog Record</v>
      </c>
      <c r="AV214" s="5" t="str">
        <f>HYPERLINK("http://www.worldcat.org/oclc/670631","WorldCat Record")</f>
        <v>WorldCat Record</v>
      </c>
      <c r="AW214" s="2" t="s">
        <v>2960</v>
      </c>
      <c r="AX214" s="2" t="s">
        <v>2961</v>
      </c>
      <c r="AY214" s="2" t="s">
        <v>2962</v>
      </c>
      <c r="AZ214" s="2" t="s">
        <v>2962</v>
      </c>
      <c r="BA214" s="2" t="s">
        <v>2963</v>
      </c>
      <c r="BB214" s="2" t="s">
        <v>21</v>
      </c>
      <c r="BE214" s="2" t="s">
        <v>2964</v>
      </c>
      <c r="BF214" s="2" t="s">
        <v>2965</v>
      </c>
    </row>
    <row r="215" spans="1:58" ht="39.75" customHeight="1" x14ac:dyDescent="0.25">
      <c r="A215" s="1"/>
      <c r="B215" s="1" t="s">
        <v>0</v>
      </c>
      <c r="C215" s="1" t="s">
        <v>1</v>
      </c>
      <c r="D215" s="1" t="s">
        <v>2966</v>
      </c>
      <c r="E215" s="1" t="s">
        <v>2967</v>
      </c>
      <c r="F215" s="1" t="s">
        <v>2968</v>
      </c>
      <c r="H215" s="2" t="s">
        <v>5</v>
      </c>
      <c r="I215" s="2" t="s">
        <v>6</v>
      </c>
      <c r="J215" s="2" t="s">
        <v>5</v>
      </c>
      <c r="K215" s="2" t="s">
        <v>5</v>
      </c>
      <c r="L215" s="2" t="s">
        <v>7</v>
      </c>
      <c r="M215" s="1" t="s">
        <v>2969</v>
      </c>
      <c r="N215" s="1" t="s">
        <v>2970</v>
      </c>
      <c r="O215" s="2" t="s">
        <v>305</v>
      </c>
      <c r="Q215" s="2" t="s">
        <v>11</v>
      </c>
      <c r="R215" s="2" t="s">
        <v>76</v>
      </c>
      <c r="T215" s="2" t="s">
        <v>1367</v>
      </c>
      <c r="U215" s="3">
        <v>4</v>
      </c>
      <c r="V215" s="3">
        <v>4</v>
      </c>
      <c r="W215" s="4" t="s">
        <v>2945</v>
      </c>
      <c r="X215" s="4" t="s">
        <v>2945</v>
      </c>
      <c r="Y215" s="4" t="s">
        <v>2971</v>
      </c>
      <c r="Z215" s="4" t="s">
        <v>2971</v>
      </c>
      <c r="AA215" s="3">
        <v>88</v>
      </c>
      <c r="AB215" s="3">
        <v>75</v>
      </c>
      <c r="AC215" s="3">
        <v>1374</v>
      </c>
      <c r="AD215" s="3">
        <v>1</v>
      </c>
      <c r="AE215" s="7">
        <v>44</v>
      </c>
      <c r="AF215" s="7">
        <v>2</v>
      </c>
      <c r="AG215" s="7">
        <v>50</v>
      </c>
      <c r="AH215" s="3">
        <v>0</v>
      </c>
      <c r="AI215" s="3">
        <v>16</v>
      </c>
      <c r="AJ215" s="3">
        <v>0</v>
      </c>
      <c r="AK215" s="3">
        <v>6</v>
      </c>
      <c r="AL215" s="3">
        <v>2</v>
      </c>
      <c r="AM215" s="3">
        <v>17</v>
      </c>
      <c r="AN215" s="3">
        <v>0</v>
      </c>
      <c r="AO215" s="3">
        <v>14</v>
      </c>
      <c r="AP215" s="3">
        <v>0</v>
      </c>
      <c r="AQ215" s="3">
        <v>4</v>
      </c>
      <c r="AR215" s="2" t="s">
        <v>5</v>
      </c>
      <c r="AS215" s="2" t="s">
        <v>5</v>
      </c>
      <c r="AU215" s="5" t="str">
        <f>HYPERLINK("https://creighton-primo.hosted.exlibrisgroup.com/primo-explore/search?tab=default_tab&amp;search_scope=EVERYTHING&amp;vid=01CRU&amp;lang=en_US&amp;offset=0&amp;query=any,contains,991002386069702656","Catalog Record")</f>
        <v>Catalog Record</v>
      </c>
      <c r="AV215" s="5" t="str">
        <f>HYPERLINK("http://www.worldcat.org/oclc/31010368","WorldCat Record")</f>
        <v>WorldCat Record</v>
      </c>
      <c r="AW215" s="2" t="s">
        <v>2972</v>
      </c>
      <c r="AX215" s="2" t="s">
        <v>2973</v>
      </c>
      <c r="AY215" s="2" t="s">
        <v>2974</v>
      </c>
      <c r="AZ215" s="2" t="s">
        <v>2974</v>
      </c>
      <c r="BA215" s="2" t="s">
        <v>2975</v>
      </c>
      <c r="BB215" s="2" t="s">
        <v>21</v>
      </c>
      <c r="BD215" s="2" t="s">
        <v>2976</v>
      </c>
      <c r="BE215" s="2" t="s">
        <v>2977</v>
      </c>
      <c r="BF215" s="2" t="s">
        <v>2978</v>
      </c>
    </row>
    <row r="216" spans="1:58" ht="39.75" customHeight="1" x14ac:dyDescent="0.25">
      <c r="A216" s="1"/>
      <c r="B216" s="1" t="s">
        <v>0</v>
      </c>
      <c r="C216" s="1" t="s">
        <v>1</v>
      </c>
      <c r="D216" s="1" t="s">
        <v>2979</v>
      </c>
      <c r="E216" s="1" t="s">
        <v>2980</v>
      </c>
      <c r="F216" s="1" t="s">
        <v>2981</v>
      </c>
      <c r="H216" s="2" t="s">
        <v>5</v>
      </c>
      <c r="I216" s="2" t="s">
        <v>6</v>
      </c>
      <c r="J216" s="2" t="s">
        <v>5</v>
      </c>
      <c r="K216" s="2" t="s">
        <v>5</v>
      </c>
      <c r="L216" s="2" t="s">
        <v>7</v>
      </c>
      <c r="N216" s="1" t="s">
        <v>2982</v>
      </c>
      <c r="O216" s="2" t="s">
        <v>275</v>
      </c>
      <c r="Q216" s="2" t="s">
        <v>11</v>
      </c>
      <c r="R216" s="2" t="s">
        <v>1977</v>
      </c>
      <c r="S216" s="1" t="s">
        <v>2983</v>
      </c>
      <c r="T216" s="2" t="s">
        <v>1367</v>
      </c>
      <c r="U216" s="3">
        <v>13</v>
      </c>
      <c r="V216" s="3">
        <v>13</v>
      </c>
      <c r="W216" s="4" t="s">
        <v>2984</v>
      </c>
      <c r="X216" s="4" t="s">
        <v>2984</v>
      </c>
      <c r="Y216" s="4" t="s">
        <v>2391</v>
      </c>
      <c r="Z216" s="4" t="s">
        <v>2391</v>
      </c>
      <c r="AA216" s="3">
        <v>232</v>
      </c>
      <c r="AB216" s="3">
        <v>219</v>
      </c>
      <c r="AC216" s="3">
        <v>220</v>
      </c>
      <c r="AD216" s="3">
        <v>3</v>
      </c>
      <c r="AE216" s="7">
        <v>3</v>
      </c>
      <c r="AF216" s="7">
        <v>19</v>
      </c>
      <c r="AG216" s="7">
        <v>19</v>
      </c>
      <c r="AH216" s="3">
        <v>5</v>
      </c>
      <c r="AI216" s="3">
        <v>5</v>
      </c>
      <c r="AJ216" s="3">
        <v>1</v>
      </c>
      <c r="AK216" s="3">
        <v>1</v>
      </c>
      <c r="AL216" s="3">
        <v>4</v>
      </c>
      <c r="AM216" s="3">
        <v>4</v>
      </c>
      <c r="AN216" s="3">
        <v>1</v>
      </c>
      <c r="AO216" s="3">
        <v>1</v>
      </c>
      <c r="AP216" s="3">
        <v>10</v>
      </c>
      <c r="AQ216" s="3">
        <v>10</v>
      </c>
      <c r="AR216" s="2" t="s">
        <v>5</v>
      </c>
      <c r="AS216" s="2" t="s">
        <v>16</v>
      </c>
      <c r="AT216" s="5" t="str">
        <f>HYPERLINK("http://catalog.hathitrust.org/Record/006219409","HathiTrust Record")</f>
        <v>HathiTrust Record</v>
      </c>
      <c r="AU216" s="5" t="str">
        <f>HYPERLINK("https://creighton-primo.hosted.exlibrisgroup.com/primo-explore/search?tab=default_tab&amp;search_scope=EVERYTHING&amp;vid=01CRU&amp;lang=en_US&amp;offset=0&amp;query=any,contains,991004741579702656","Catalog Record")</f>
        <v>Catalog Record</v>
      </c>
      <c r="AV216" s="5" t="str">
        <f>HYPERLINK("http://www.worldcat.org/oclc/4884008","WorldCat Record")</f>
        <v>WorldCat Record</v>
      </c>
      <c r="AW216" s="2" t="s">
        <v>2985</v>
      </c>
      <c r="AX216" s="2" t="s">
        <v>2986</v>
      </c>
      <c r="AY216" s="2" t="s">
        <v>2987</v>
      </c>
      <c r="AZ216" s="2" t="s">
        <v>2987</v>
      </c>
      <c r="BA216" s="2" t="s">
        <v>2988</v>
      </c>
      <c r="BB216" s="2" t="s">
        <v>21</v>
      </c>
      <c r="BD216" s="2" t="s">
        <v>2989</v>
      </c>
      <c r="BE216" s="2" t="s">
        <v>2990</v>
      </c>
      <c r="BF216" s="2" t="s">
        <v>2991</v>
      </c>
    </row>
    <row r="217" spans="1:58" ht="39.75" customHeight="1" x14ac:dyDescent="0.25">
      <c r="A217" s="1"/>
      <c r="B217" s="1" t="s">
        <v>0</v>
      </c>
      <c r="C217" s="1" t="s">
        <v>1</v>
      </c>
      <c r="D217" s="1" t="s">
        <v>2992</v>
      </c>
      <c r="E217" s="1" t="s">
        <v>2993</v>
      </c>
      <c r="F217" s="1" t="s">
        <v>2994</v>
      </c>
      <c r="H217" s="2" t="s">
        <v>5</v>
      </c>
      <c r="I217" s="2" t="s">
        <v>6</v>
      </c>
      <c r="J217" s="2" t="s">
        <v>5</v>
      </c>
      <c r="K217" s="2" t="s">
        <v>5</v>
      </c>
      <c r="L217" s="2" t="s">
        <v>7</v>
      </c>
      <c r="M217" s="1" t="s">
        <v>2995</v>
      </c>
      <c r="N217" s="1" t="s">
        <v>2996</v>
      </c>
      <c r="O217" s="2" t="s">
        <v>275</v>
      </c>
      <c r="Q217" s="2" t="s">
        <v>11</v>
      </c>
      <c r="R217" s="2" t="s">
        <v>76</v>
      </c>
      <c r="S217" s="1" t="s">
        <v>2997</v>
      </c>
      <c r="T217" s="2" t="s">
        <v>1367</v>
      </c>
      <c r="U217" s="3">
        <v>1</v>
      </c>
      <c r="V217" s="3">
        <v>1</v>
      </c>
      <c r="W217" s="4" t="s">
        <v>2998</v>
      </c>
      <c r="X217" s="4" t="s">
        <v>2998</v>
      </c>
      <c r="Y217" s="4" t="s">
        <v>2999</v>
      </c>
      <c r="Z217" s="4" t="s">
        <v>2999</v>
      </c>
      <c r="AA217" s="3">
        <v>364</v>
      </c>
      <c r="AB217" s="3">
        <v>342</v>
      </c>
      <c r="AC217" s="3">
        <v>351</v>
      </c>
      <c r="AD217" s="3">
        <v>3</v>
      </c>
      <c r="AE217" s="7">
        <v>3</v>
      </c>
      <c r="AF217" s="7">
        <v>28</v>
      </c>
      <c r="AG217" s="7">
        <v>28</v>
      </c>
      <c r="AH217" s="3">
        <v>5</v>
      </c>
      <c r="AI217" s="3">
        <v>5</v>
      </c>
      <c r="AJ217" s="3">
        <v>4</v>
      </c>
      <c r="AK217" s="3">
        <v>4</v>
      </c>
      <c r="AL217" s="3">
        <v>5</v>
      </c>
      <c r="AM217" s="3">
        <v>5</v>
      </c>
      <c r="AN217" s="3">
        <v>2</v>
      </c>
      <c r="AO217" s="3">
        <v>2</v>
      </c>
      <c r="AP217" s="3">
        <v>14</v>
      </c>
      <c r="AQ217" s="3">
        <v>14</v>
      </c>
      <c r="AR217" s="2" t="s">
        <v>5</v>
      </c>
      <c r="AS217" s="2" t="s">
        <v>5</v>
      </c>
      <c r="AU217" s="5" t="str">
        <f>HYPERLINK("https://creighton-primo.hosted.exlibrisgroup.com/primo-explore/search?tab=default_tab&amp;search_scope=EVERYTHING&amp;vid=01CRU&amp;lang=en_US&amp;offset=0&amp;query=any,contains,991004694309702656","Catalog Record")</f>
        <v>Catalog Record</v>
      </c>
      <c r="AV217" s="5" t="str">
        <f>HYPERLINK("http://www.worldcat.org/oclc/4638280","WorldCat Record")</f>
        <v>WorldCat Record</v>
      </c>
      <c r="AW217" s="2" t="s">
        <v>3000</v>
      </c>
      <c r="AX217" s="2" t="s">
        <v>3001</v>
      </c>
      <c r="AY217" s="2" t="s">
        <v>3002</v>
      </c>
      <c r="AZ217" s="2" t="s">
        <v>3002</v>
      </c>
      <c r="BA217" s="2" t="s">
        <v>3003</v>
      </c>
      <c r="BB217" s="2" t="s">
        <v>21</v>
      </c>
      <c r="BD217" s="2" t="s">
        <v>3004</v>
      </c>
      <c r="BE217" s="2" t="s">
        <v>3005</v>
      </c>
      <c r="BF217" s="2" t="s">
        <v>3006</v>
      </c>
    </row>
    <row r="218" spans="1:58" ht="39.75" customHeight="1" x14ac:dyDescent="0.25">
      <c r="A218" s="1"/>
      <c r="B218" s="1" t="s">
        <v>0</v>
      </c>
      <c r="C218" s="1" t="s">
        <v>1</v>
      </c>
      <c r="D218" s="1" t="s">
        <v>3007</v>
      </c>
      <c r="E218" s="1" t="s">
        <v>3008</v>
      </c>
      <c r="F218" s="1" t="s">
        <v>3009</v>
      </c>
      <c r="H218" s="2" t="s">
        <v>5</v>
      </c>
      <c r="I218" s="2" t="s">
        <v>6</v>
      </c>
      <c r="J218" s="2" t="s">
        <v>5</v>
      </c>
      <c r="K218" s="2" t="s">
        <v>5</v>
      </c>
      <c r="L218" s="2" t="s">
        <v>7</v>
      </c>
      <c r="M218" s="1" t="s">
        <v>3010</v>
      </c>
      <c r="N218" s="1" t="s">
        <v>3011</v>
      </c>
      <c r="O218" s="2" t="s">
        <v>137</v>
      </c>
      <c r="Q218" s="2" t="s">
        <v>11</v>
      </c>
      <c r="R218" s="2" t="s">
        <v>76</v>
      </c>
      <c r="S218" s="1" t="s">
        <v>3012</v>
      </c>
      <c r="T218" s="2" t="s">
        <v>1367</v>
      </c>
      <c r="U218" s="3">
        <v>4</v>
      </c>
      <c r="V218" s="3">
        <v>4</v>
      </c>
      <c r="W218" s="4" t="s">
        <v>3013</v>
      </c>
      <c r="X218" s="4" t="s">
        <v>3013</v>
      </c>
      <c r="Y218" s="4" t="s">
        <v>3014</v>
      </c>
      <c r="Z218" s="4" t="s">
        <v>3014</v>
      </c>
      <c r="AA218" s="3">
        <v>532</v>
      </c>
      <c r="AB218" s="3">
        <v>485</v>
      </c>
      <c r="AC218" s="3">
        <v>491</v>
      </c>
      <c r="AD218" s="3">
        <v>4</v>
      </c>
      <c r="AE218" s="7">
        <v>4</v>
      </c>
      <c r="AF218" s="7">
        <v>21</v>
      </c>
      <c r="AG218" s="7">
        <v>21</v>
      </c>
      <c r="AH218" s="3">
        <v>7</v>
      </c>
      <c r="AI218" s="3">
        <v>7</v>
      </c>
      <c r="AJ218" s="3">
        <v>2</v>
      </c>
      <c r="AK218" s="3">
        <v>2</v>
      </c>
      <c r="AL218" s="3">
        <v>7</v>
      </c>
      <c r="AM218" s="3">
        <v>7</v>
      </c>
      <c r="AN218" s="3">
        <v>2</v>
      </c>
      <c r="AO218" s="3">
        <v>2</v>
      </c>
      <c r="AP218" s="3">
        <v>7</v>
      </c>
      <c r="AQ218" s="3">
        <v>7</v>
      </c>
      <c r="AR218" s="2" t="s">
        <v>5</v>
      </c>
      <c r="AS218" s="2" t="s">
        <v>5</v>
      </c>
      <c r="AU218" s="5" t="str">
        <f>HYPERLINK("https://creighton-primo.hosted.exlibrisgroup.com/primo-explore/search?tab=default_tab&amp;search_scope=EVERYTHING&amp;vid=01CRU&amp;lang=en_US&amp;offset=0&amp;query=any,contains,991003298169702656","Catalog Record")</f>
        <v>Catalog Record</v>
      </c>
      <c r="AV218" s="5" t="str">
        <f>HYPERLINK("http://www.worldcat.org/oclc/820867","WorldCat Record")</f>
        <v>WorldCat Record</v>
      </c>
      <c r="AW218" s="2" t="s">
        <v>3015</v>
      </c>
      <c r="AX218" s="2" t="s">
        <v>3016</v>
      </c>
      <c r="AY218" s="2" t="s">
        <v>3017</v>
      </c>
      <c r="AZ218" s="2" t="s">
        <v>3017</v>
      </c>
      <c r="BA218" s="2" t="s">
        <v>3018</v>
      </c>
      <c r="BB218" s="2" t="s">
        <v>21</v>
      </c>
      <c r="BE218" s="2" t="s">
        <v>3019</v>
      </c>
      <c r="BF218" s="2" t="s">
        <v>3020</v>
      </c>
    </row>
    <row r="219" spans="1:58" ht="39.75" customHeight="1" x14ac:dyDescent="0.25">
      <c r="A219" s="1"/>
      <c r="B219" s="1" t="s">
        <v>0</v>
      </c>
      <c r="C219" s="1" t="s">
        <v>1</v>
      </c>
      <c r="D219" s="1" t="s">
        <v>3021</v>
      </c>
      <c r="E219" s="1" t="s">
        <v>3022</v>
      </c>
      <c r="F219" s="1" t="s">
        <v>3023</v>
      </c>
      <c r="H219" s="2" t="s">
        <v>5</v>
      </c>
      <c r="I219" s="2" t="s">
        <v>6</v>
      </c>
      <c r="J219" s="2" t="s">
        <v>5</v>
      </c>
      <c r="K219" s="2" t="s">
        <v>5</v>
      </c>
      <c r="L219" s="2" t="s">
        <v>7</v>
      </c>
      <c r="M219" s="1" t="s">
        <v>3024</v>
      </c>
      <c r="N219" s="1" t="s">
        <v>2846</v>
      </c>
      <c r="O219" s="2" t="s">
        <v>1469</v>
      </c>
      <c r="Q219" s="2" t="s">
        <v>11</v>
      </c>
      <c r="R219" s="2" t="s">
        <v>501</v>
      </c>
      <c r="T219" s="2" t="s">
        <v>1367</v>
      </c>
      <c r="U219" s="3">
        <v>8</v>
      </c>
      <c r="V219" s="3">
        <v>8</v>
      </c>
      <c r="W219" s="4" t="s">
        <v>3025</v>
      </c>
      <c r="X219" s="4" t="s">
        <v>3025</v>
      </c>
      <c r="Y219" s="4" t="s">
        <v>3026</v>
      </c>
      <c r="Z219" s="4" t="s">
        <v>3026</v>
      </c>
      <c r="AA219" s="3">
        <v>954</v>
      </c>
      <c r="AB219" s="3">
        <v>884</v>
      </c>
      <c r="AC219" s="3">
        <v>889</v>
      </c>
      <c r="AD219" s="3">
        <v>9</v>
      </c>
      <c r="AE219" s="7">
        <v>9</v>
      </c>
      <c r="AF219" s="7">
        <v>54</v>
      </c>
      <c r="AG219" s="7">
        <v>54</v>
      </c>
      <c r="AH219" s="3">
        <v>17</v>
      </c>
      <c r="AI219" s="3">
        <v>17</v>
      </c>
      <c r="AJ219" s="3">
        <v>7</v>
      </c>
      <c r="AK219" s="3">
        <v>7</v>
      </c>
      <c r="AL219" s="3">
        <v>16</v>
      </c>
      <c r="AM219" s="3">
        <v>16</v>
      </c>
      <c r="AN219" s="3">
        <v>7</v>
      </c>
      <c r="AO219" s="3">
        <v>7</v>
      </c>
      <c r="AP219" s="3">
        <v>17</v>
      </c>
      <c r="AQ219" s="3">
        <v>17</v>
      </c>
      <c r="AR219" s="2" t="s">
        <v>5</v>
      </c>
      <c r="AS219" s="2" t="s">
        <v>5</v>
      </c>
      <c r="AU219" s="5" t="str">
        <f>HYPERLINK("https://creighton-primo.hosted.exlibrisgroup.com/primo-explore/search?tab=default_tab&amp;search_scope=EVERYTHING&amp;vid=01CRU&amp;lang=en_US&amp;offset=0&amp;query=any,contains,991003352139702656","Catalog Record")</f>
        <v>Catalog Record</v>
      </c>
      <c r="AV219" s="5" t="str">
        <f>HYPERLINK("http://www.worldcat.org/oclc/885697","WorldCat Record")</f>
        <v>WorldCat Record</v>
      </c>
      <c r="AW219" s="2" t="s">
        <v>3027</v>
      </c>
      <c r="AX219" s="2" t="s">
        <v>3028</v>
      </c>
      <c r="AY219" s="2" t="s">
        <v>3029</v>
      </c>
      <c r="AZ219" s="2" t="s">
        <v>3029</v>
      </c>
      <c r="BA219" s="2" t="s">
        <v>3030</v>
      </c>
      <c r="BB219" s="2" t="s">
        <v>21</v>
      </c>
      <c r="BE219" s="2" t="s">
        <v>3031</v>
      </c>
      <c r="BF219" s="2" t="s">
        <v>3032</v>
      </c>
    </row>
    <row r="220" spans="1:58" ht="39.75" customHeight="1" x14ac:dyDescent="0.25">
      <c r="A220" s="1"/>
      <c r="B220" s="1" t="s">
        <v>0</v>
      </c>
      <c r="C220" s="1" t="s">
        <v>1</v>
      </c>
      <c r="D220" s="1" t="s">
        <v>3033</v>
      </c>
      <c r="E220" s="1" t="s">
        <v>3034</v>
      </c>
      <c r="F220" s="1" t="s">
        <v>3035</v>
      </c>
      <c r="H220" s="2" t="s">
        <v>5</v>
      </c>
      <c r="I220" s="2" t="s">
        <v>6</v>
      </c>
      <c r="J220" s="2" t="s">
        <v>5</v>
      </c>
      <c r="K220" s="2" t="s">
        <v>5</v>
      </c>
      <c r="L220" s="2" t="s">
        <v>7</v>
      </c>
      <c r="M220" s="1" t="s">
        <v>3036</v>
      </c>
      <c r="N220" s="1" t="s">
        <v>3037</v>
      </c>
      <c r="O220" s="2" t="s">
        <v>629</v>
      </c>
      <c r="Q220" s="2" t="s">
        <v>11</v>
      </c>
      <c r="R220" s="2" t="s">
        <v>3038</v>
      </c>
      <c r="T220" s="2" t="s">
        <v>1367</v>
      </c>
      <c r="U220" s="3">
        <v>15</v>
      </c>
      <c r="V220" s="3">
        <v>15</v>
      </c>
      <c r="W220" s="4" t="s">
        <v>3039</v>
      </c>
      <c r="X220" s="4" t="s">
        <v>3039</v>
      </c>
      <c r="Y220" s="4" t="s">
        <v>2021</v>
      </c>
      <c r="Z220" s="4" t="s">
        <v>2021</v>
      </c>
      <c r="AA220" s="3">
        <v>861</v>
      </c>
      <c r="AB220" s="3">
        <v>826</v>
      </c>
      <c r="AC220" s="3">
        <v>956</v>
      </c>
      <c r="AD220" s="3">
        <v>9</v>
      </c>
      <c r="AE220" s="7">
        <v>10</v>
      </c>
      <c r="AF220" s="7">
        <v>58</v>
      </c>
      <c r="AG220" s="7">
        <v>63</v>
      </c>
      <c r="AH220" s="3">
        <v>14</v>
      </c>
      <c r="AI220" s="3">
        <v>17</v>
      </c>
      <c r="AJ220" s="3">
        <v>6</v>
      </c>
      <c r="AK220" s="3">
        <v>8</v>
      </c>
      <c r="AL220" s="3">
        <v>18</v>
      </c>
      <c r="AM220" s="3">
        <v>21</v>
      </c>
      <c r="AN220" s="3">
        <v>7</v>
      </c>
      <c r="AO220" s="3">
        <v>7</v>
      </c>
      <c r="AP220" s="3">
        <v>21</v>
      </c>
      <c r="AQ220" s="3">
        <v>21</v>
      </c>
      <c r="AR220" s="2" t="s">
        <v>5</v>
      </c>
      <c r="AS220" s="2" t="s">
        <v>16</v>
      </c>
      <c r="AT220" s="5" t="str">
        <f>HYPERLINK("http://catalog.hathitrust.org/Record/000805078","HathiTrust Record")</f>
        <v>HathiTrust Record</v>
      </c>
      <c r="AU220" s="5" t="str">
        <f>HYPERLINK("https://creighton-primo.hosted.exlibrisgroup.com/primo-explore/search?tab=default_tab&amp;search_scope=EVERYTHING&amp;vid=01CRU&amp;lang=en_US&amp;offset=0&amp;query=any,contains,991000961879702656","Catalog Record")</f>
        <v>Catalog Record</v>
      </c>
      <c r="AV220" s="5" t="str">
        <f>HYPERLINK("http://www.worldcat.org/oclc/14819170","WorldCat Record")</f>
        <v>WorldCat Record</v>
      </c>
      <c r="AW220" s="2" t="s">
        <v>3040</v>
      </c>
      <c r="AX220" s="2" t="s">
        <v>3041</v>
      </c>
      <c r="AY220" s="2" t="s">
        <v>3042</v>
      </c>
      <c r="AZ220" s="2" t="s">
        <v>3042</v>
      </c>
      <c r="BA220" s="2" t="s">
        <v>3043</v>
      </c>
      <c r="BB220" s="2" t="s">
        <v>21</v>
      </c>
      <c r="BD220" s="2" t="s">
        <v>3044</v>
      </c>
      <c r="BE220" s="2" t="s">
        <v>3045</v>
      </c>
      <c r="BF220" s="2" t="s">
        <v>3046</v>
      </c>
    </row>
    <row r="221" spans="1:58" ht="39.75" customHeight="1" x14ac:dyDescent="0.25">
      <c r="A221" s="1"/>
      <c r="B221" s="1" t="s">
        <v>0</v>
      </c>
      <c r="C221" s="1" t="s">
        <v>1</v>
      </c>
      <c r="D221" s="1" t="s">
        <v>3047</v>
      </c>
      <c r="E221" s="1" t="s">
        <v>3048</v>
      </c>
      <c r="F221" s="1" t="s">
        <v>3049</v>
      </c>
      <c r="H221" s="2" t="s">
        <v>5</v>
      </c>
      <c r="I221" s="2" t="s">
        <v>6</v>
      </c>
      <c r="J221" s="2" t="s">
        <v>5</v>
      </c>
      <c r="K221" s="2" t="s">
        <v>5</v>
      </c>
      <c r="L221" s="2" t="s">
        <v>7</v>
      </c>
      <c r="M221" s="1" t="s">
        <v>3050</v>
      </c>
      <c r="N221" s="1" t="s">
        <v>3051</v>
      </c>
      <c r="O221" s="2" t="s">
        <v>275</v>
      </c>
      <c r="Q221" s="2" t="s">
        <v>11</v>
      </c>
      <c r="R221" s="2" t="s">
        <v>1116</v>
      </c>
      <c r="T221" s="2" t="s">
        <v>1367</v>
      </c>
      <c r="U221" s="3">
        <v>9</v>
      </c>
      <c r="V221" s="3">
        <v>9</v>
      </c>
      <c r="W221" s="4" t="s">
        <v>1086</v>
      </c>
      <c r="X221" s="4" t="s">
        <v>1086</v>
      </c>
      <c r="Y221" s="4" t="s">
        <v>3052</v>
      </c>
      <c r="Z221" s="4" t="s">
        <v>3052</v>
      </c>
      <c r="AA221" s="3">
        <v>412</v>
      </c>
      <c r="AB221" s="3">
        <v>389</v>
      </c>
      <c r="AC221" s="3">
        <v>391</v>
      </c>
      <c r="AD221" s="3">
        <v>4</v>
      </c>
      <c r="AE221" s="7">
        <v>4</v>
      </c>
      <c r="AF221" s="7">
        <v>27</v>
      </c>
      <c r="AG221" s="7">
        <v>27</v>
      </c>
      <c r="AH221" s="3">
        <v>5</v>
      </c>
      <c r="AI221" s="3">
        <v>5</v>
      </c>
      <c r="AJ221" s="3">
        <v>4</v>
      </c>
      <c r="AK221" s="3">
        <v>4</v>
      </c>
      <c r="AL221" s="3">
        <v>8</v>
      </c>
      <c r="AM221" s="3">
        <v>8</v>
      </c>
      <c r="AN221" s="3">
        <v>3</v>
      </c>
      <c r="AO221" s="3">
        <v>3</v>
      </c>
      <c r="AP221" s="3">
        <v>9</v>
      </c>
      <c r="AQ221" s="3">
        <v>9</v>
      </c>
      <c r="AR221" s="2" t="s">
        <v>5</v>
      </c>
      <c r="AS221" s="2" t="s">
        <v>5</v>
      </c>
      <c r="AU221" s="5" t="str">
        <f>HYPERLINK("https://creighton-primo.hosted.exlibrisgroup.com/primo-explore/search?tab=default_tab&amp;search_scope=EVERYTHING&amp;vid=01CRU&amp;lang=en_US&amp;offset=0&amp;query=any,contains,991004662399702656","Catalog Record")</f>
        <v>Catalog Record</v>
      </c>
      <c r="AV221" s="5" t="str">
        <f>HYPERLINK("http://www.worldcat.org/oclc/4497715","WorldCat Record")</f>
        <v>WorldCat Record</v>
      </c>
      <c r="AW221" s="2" t="s">
        <v>3053</v>
      </c>
      <c r="AX221" s="2" t="s">
        <v>3054</v>
      </c>
      <c r="AY221" s="2" t="s">
        <v>3055</v>
      </c>
      <c r="AZ221" s="2" t="s">
        <v>3055</v>
      </c>
      <c r="BA221" s="2" t="s">
        <v>3056</v>
      </c>
      <c r="BB221" s="2" t="s">
        <v>21</v>
      </c>
      <c r="BD221" s="2" t="s">
        <v>3057</v>
      </c>
      <c r="BE221" s="2" t="s">
        <v>3058</v>
      </c>
      <c r="BF221" s="2" t="s">
        <v>3059</v>
      </c>
    </row>
    <row r="222" spans="1:58" ht="39.75" customHeight="1" x14ac:dyDescent="0.25">
      <c r="A222" s="1"/>
      <c r="B222" s="1" t="s">
        <v>0</v>
      </c>
      <c r="C222" s="1" t="s">
        <v>1</v>
      </c>
      <c r="D222" s="1" t="s">
        <v>3060</v>
      </c>
      <c r="E222" s="1" t="s">
        <v>3061</v>
      </c>
      <c r="F222" s="1" t="s">
        <v>3062</v>
      </c>
      <c r="H222" s="2" t="s">
        <v>5</v>
      </c>
      <c r="I222" s="2" t="s">
        <v>6</v>
      </c>
      <c r="J222" s="2" t="s">
        <v>5</v>
      </c>
      <c r="K222" s="2" t="s">
        <v>5</v>
      </c>
      <c r="L222" s="2" t="s">
        <v>7</v>
      </c>
      <c r="M222" s="1" t="s">
        <v>3063</v>
      </c>
      <c r="N222" s="1" t="s">
        <v>3064</v>
      </c>
      <c r="O222" s="2" t="s">
        <v>516</v>
      </c>
      <c r="Q222" s="2" t="s">
        <v>11</v>
      </c>
      <c r="R222" s="2" t="s">
        <v>76</v>
      </c>
      <c r="S222" s="1" t="s">
        <v>3065</v>
      </c>
      <c r="T222" s="2" t="s">
        <v>1367</v>
      </c>
      <c r="U222" s="3">
        <v>10</v>
      </c>
      <c r="V222" s="3">
        <v>10</v>
      </c>
      <c r="W222" s="4" t="s">
        <v>3066</v>
      </c>
      <c r="X222" s="4" t="s">
        <v>3066</v>
      </c>
      <c r="Y222" s="4" t="s">
        <v>3067</v>
      </c>
      <c r="Z222" s="4" t="s">
        <v>3067</v>
      </c>
      <c r="AA222" s="3">
        <v>821</v>
      </c>
      <c r="AB222" s="3">
        <v>775</v>
      </c>
      <c r="AC222" s="3">
        <v>778</v>
      </c>
      <c r="AD222" s="3">
        <v>7</v>
      </c>
      <c r="AE222" s="7">
        <v>7</v>
      </c>
      <c r="AF222" s="7">
        <v>38</v>
      </c>
      <c r="AG222" s="7">
        <v>38</v>
      </c>
      <c r="AH222" s="3">
        <v>10</v>
      </c>
      <c r="AI222" s="3">
        <v>10</v>
      </c>
      <c r="AJ222" s="3">
        <v>9</v>
      </c>
      <c r="AK222" s="3">
        <v>9</v>
      </c>
      <c r="AL222" s="3">
        <v>16</v>
      </c>
      <c r="AM222" s="3">
        <v>16</v>
      </c>
      <c r="AN222" s="3">
        <v>6</v>
      </c>
      <c r="AO222" s="3">
        <v>6</v>
      </c>
      <c r="AP222" s="3">
        <v>4</v>
      </c>
      <c r="AQ222" s="3">
        <v>4</v>
      </c>
      <c r="AR222" s="2" t="s">
        <v>5</v>
      </c>
      <c r="AS222" s="2" t="s">
        <v>16</v>
      </c>
      <c r="AT222" s="5" t="str">
        <f>HYPERLINK("http://catalog.hathitrust.org/Record/001449195","HathiTrust Record")</f>
        <v>HathiTrust Record</v>
      </c>
      <c r="AU222" s="5" t="str">
        <f>HYPERLINK("https://creighton-primo.hosted.exlibrisgroup.com/primo-explore/search?tab=default_tab&amp;search_scope=EVERYTHING&amp;vid=01CRU&amp;lang=en_US&amp;offset=0&amp;query=any,contains,991001177629702656","Catalog Record")</f>
        <v>Catalog Record</v>
      </c>
      <c r="AV222" s="5" t="str">
        <f>HYPERLINK("http://www.worldcat.org/oclc/189048","WorldCat Record")</f>
        <v>WorldCat Record</v>
      </c>
      <c r="AW222" s="2" t="s">
        <v>3068</v>
      </c>
      <c r="AX222" s="2" t="s">
        <v>3069</v>
      </c>
      <c r="AY222" s="2" t="s">
        <v>3070</v>
      </c>
      <c r="AZ222" s="2" t="s">
        <v>3070</v>
      </c>
      <c r="BA222" s="2" t="s">
        <v>3071</v>
      </c>
      <c r="BB222" s="2" t="s">
        <v>21</v>
      </c>
      <c r="BE222" s="2" t="s">
        <v>3072</v>
      </c>
      <c r="BF222" s="2" t="s">
        <v>3073</v>
      </c>
    </row>
    <row r="223" spans="1:58" ht="39.75" customHeight="1" x14ac:dyDescent="0.25">
      <c r="A223" s="1"/>
      <c r="B223" s="1" t="s">
        <v>0</v>
      </c>
      <c r="C223" s="1" t="s">
        <v>1</v>
      </c>
      <c r="D223" s="1" t="s">
        <v>3074</v>
      </c>
      <c r="E223" s="1" t="s">
        <v>3075</v>
      </c>
      <c r="F223" s="1" t="s">
        <v>3076</v>
      </c>
      <c r="H223" s="2" t="s">
        <v>5</v>
      </c>
      <c r="I223" s="2" t="s">
        <v>6</v>
      </c>
      <c r="J223" s="2" t="s">
        <v>16</v>
      </c>
      <c r="K223" s="2" t="s">
        <v>5</v>
      </c>
      <c r="L223" s="2" t="s">
        <v>7</v>
      </c>
      <c r="M223" s="1" t="s">
        <v>3077</v>
      </c>
      <c r="N223" s="1" t="s">
        <v>3078</v>
      </c>
      <c r="O223" s="2" t="s">
        <v>355</v>
      </c>
      <c r="P223" s="1" t="s">
        <v>1907</v>
      </c>
      <c r="Q223" s="2" t="s">
        <v>11</v>
      </c>
      <c r="R223" s="2" t="s">
        <v>3079</v>
      </c>
      <c r="T223" s="2" t="s">
        <v>1367</v>
      </c>
      <c r="U223" s="3">
        <v>9</v>
      </c>
      <c r="V223" s="3">
        <v>10</v>
      </c>
      <c r="W223" s="4" t="s">
        <v>3080</v>
      </c>
      <c r="X223" s="4" t="s">
        <v>3080</v>
      </c>
      <c r="Y223" s="4" t="s">
        <v>3081</v>
      </c>
      <c r="Z223" s="4" t="s">
        <v>2931</v>
      </c>
      <c r="AA223" s="3">
        <v>610</v>
      </c>
      <c r="AB223" s="3">
        <v>572</v>
      </c>
      <c r="AC223" s="3">
        <v>583</v>
      </c>
      <c r="AD223" s="3">
        <v>6</v>
      </c>
      <c r="AE223" s="7">
        <v>6</v>
      </c>
      <c r="AF223" s="7">
        <v>32</v>
      </c>
      <c r="AG223" s="7">
        <v>32</v>
      </c>
      <c r="AH223" s="3">
        <v>9</v>
      </c>
      <c r="AI223" s="3">
        <v>9</v>
      </c>
      <c r="AJ223" s="3">
        <v>4</v>
      </c>
      <c r="AK223" s="3">
        <v>4</v>
      </c>
      <c r="AL223" s="3">
        <v>11</v>
      </c>
      <c r="AM223" s="3">
        <v>11</v>
      </c>
      <c r="AN223" s="3">
        <v>3</v>
      </c>
      <c r="AO223" s="3">
        <v>3</v>
      </c>
      <c r="AP223" s="3">
        <v>9</v>
      </c>
      <c r="AQ223" s="3">
        <v>9</v>
      </c>
      <c r="AR223" s="2" t="s">
        <v>5</v>
      </c>
      <c r="AS223" s="2" t="s">
        <v>16</v>
      </c>
      <c r="AT223" s="5" t="str">
        <f>HYPERLINK("http://catalog.hathitrust.org/Record/001285298","HathiTrust Record")</f>
        <v>HathiTrust Record</v>
      </c>
      <c r="AU223" s="5" t="str">
        <f>HYPERLINK("https://creighton-primo.hosted.exlibrisgroup.com/primo-explore/search?tab=default_tab&amp;search_scope=EVERYTHING&amp;vid=01CRU&amp;lang=en_US&amp;offset=0&amp;query=any,contains,991001667819702656","Catalog Record")</f>
        <v>Catalog Record</v>
      </c>
      <c r="AV223" s="5" t="str">
        <f>HYPERLINK("http://www.worldcat.org/oclc/673596","WorldCat Record")</f>
        <v>WorldCat Record</v>
      </c>
      <c r="AW223" s="2" t="s">
        <v>3082</v>
      </c>
      <c r="AX223" s="2" t="s">
        <v>3083</v>
      </c>
      <c r="AY223" s="2" t="s">
        <v>3084</v>
      </c>
      <c r="AZ223" s="2" t="s">
        <v>3084</v>
      </c>
      <c r="BA223" s="2" t="s">
        <v>3085</v>
      </c>
      <c r="BB223" s="2" t="s">
        <v>21</v>
      </c>
      <c r="BD223" s="2" t="s">
        <v>3086</v>
      </c>
      <c r="BE223" s="2" t="s">
        <v>3087</v>
      </c>
      <c r="BF223" s="2" t="s">
        <v>3088</v>
      </c>
    </row>
    <row r="224" spans="1:58" ht="39.75" customHeight="1" x14ac:dyDescent="0.25">
      <c r="A224" s="1"/>
      <c r="B224" s="1" t="s">
        <v>0</v>
      </c>
      <c r="C224" s="1" t="s">
        <v>1</v>
      </c>
      <c r="D224" s="1" t="s">
        <v>3089</v>
      </c>
      <c r="E224" s="1" t="s">
        <v>3090</v>
      </c>
      <c r="F224" s="1" t="s">
        <v>3091</v>
      </c>
      <c r="H224" s="2" t="s">
        <v>5</v>
      </c>
      <c r="I224" s="2" t="s">
        <v>6</v>
      </c>
      <c r="J224" s="2" t="s">
        <v>5</v>
      </c>
      <c r="K224" s="2" t="s">
        <v>16</v>
      </c>
      <c r="L224" s="2" t="s">
        <v>7</v>
      </c>
      <c r="M224" s="1" t="s">
        <v>3092</v>
      </c>
      <c r="N224" s="1" t="s">
        <v>3093</v>
      </c>
      <c r="O224" s="2" t="s">
        <v>629</v>
      </c>
      <c r="P224" s="1" t="s">
        <v>340</v>
      </c>
      <c r="Q224" s="2" t="s">
        <v>11</v>
      </c>
      <c r="R224" s="2" t="s">
        <v>76</v>
      </c>
      <c r="T224" s="2" t="s">
        <v>1367</v>
      </c>
      <c r="U224" s="3">
        <v>2</v>
      </c>
      <c r="V224" s="3">
        <v>2</v>
      </c>
      <c r="W224" s="4" t="s">
        <v>2945</v>
      </c>
      <c r="X224" s="4" t="s">
        <v>2945</v>
      </c>
      <c r="Y224" s="4" t="s">
        <v>3094</v>
      </c>
      <c r="Z224" s="4" t="s">
        <v>3094</v>
      </c>
      <c r="AA224" s="3">
        <v>353</v>
      </c>
      <c r="AB224" s="3">
        <v>338</v>
      </c>
      <c r="AC224" s="3">
        <v>1310</v>
      </c>
      <c r="AD224" s="3">
        <v>5</v>
      </c>
      <c r="AE224" s="7">
        <v>11</v>
      </c>
      <c r="AF224" s="7">
        <v>23</v>
      </c>
      <c r="AG224" s="7">
        <v>69</v>
      </c>
      <c r="AH224" s="3">
        <v>6</v>
      </c>
      <c r="AI224" s="3">
        <v>22</v>
      </c>
      <c r="AJ224" s="3">
        <v>1</v>
      </c>
      <c r="AK224" s="3">
        <v>8</v>
      </c>
      <c r="AL224" s="3">
        <v>8</v>
      </c>
      <c r="AM224" s="3">
        <v>21</v>
      </c>
      <c r="AN224" s="3">
        <v>4</v>
      </c>
      <c r="AO224" s="3">
        <v>9</v>
      </c>
      <c r="AP224" s="3">
        <v>7</v>
      </c>
      <c r="AQ224" s="3">
        <v>20</v>
      </c>
      <c r="AR224" s="2" t="s">
        <v>5</v>
      </c>
      <c r="AS224" s="2" t="s">
        <v>16</v>
      </c>
      <c r="AT224" s="5" t="str">
        <f>HYPERLINK("http://catalog.hathitrust.org/Record/010071001","HathiTrust Record")</f>
        <v>HathiTrust Record</v>
      </c>
      <c r="AU224" s="5" t="str">
        <f>HYPERLINK("https://creighton-primo.hosted.exlibrisgroup.com/primo-explore/search?tab=default_tab&amp;search_scope=EVERYTHING&amp;vid=01CRU&amp;lang=en_US&amp;offset=0&amp;query=any,contains,991000864359702656","Catalog Record")</f>
        <v>Catalog Record</v>
      </c>
      <c r="AV224" s="5" t="str">
        <f>HYPERLINK("http://www.worldcat.org/oclc/13703174","WorldCat Record")</f>
        <v>WorldCat Record</v>
      </c>
      <c r="AW224" s="2" t="s">
        <v>3095</v>
      </c>
      <c r="AX224" s="2" t="s">
        <v>3096</v>
      </c>
      <c r="AY224" s="2" t="s">
        <v>3097</v>
      </c>
      <c r="AZ224" s="2" t="s">
        <v>3097</v>
      </c>
      <c r="BA224" s="2" t="s">
        <v>3098</v>
      </c>
      <c r="BB224" s="2" t="s">
        <v>21</v>
      </c>
      <c r="BD224" s="2" t="s">
        <v>3099</v>
      </c>
      <c r="BE224" s="2" t="s">
        <v>3100</v>
      </c>
      <c r="BF224" s="2" t="s">
        <v>3101</v>
      </c>
    </row>
    <row r="225" spans="1:58" ht="39.75" customHeight="1" x14ac:dyDescent="0.25">
      <c r="A225" s="1"/>
      <c r="B225" s="1" t="s">
        <v>0</v>
      </c>
      <c r="C225" s="1" t="s">
        <v>1</v>
      </c>
      <c r="D225" s="1" t="s">
        <v>3102</v>
      </c>
      <c r="E225" s="1" t="s">
        <v>3103</v>
      </c>
      <c r="F225" s="1" t="s">
        <v>3104</v>
      </c>
      <c r="H225" s="2" t="s">
        <v>5</v>
      </c>
      <c r="I225" s="2" t="s">
        <v>6</v>
      </c>
      <c r="J225" s="2" t="s">
        <v>5</v>
      </c>
      <c r="K225" s="2" t="s">
        <v>5</v>
      </c>
      <c r="L225" s="2" t="s">
        <v>7</v>
      </c>
      <c r="M225" s="1" t="s">
        <v>3105</v>
      </c>
      <c r="N225" s="1" t="s">
        <v>3106</v>
      </c>
      <c r="O225" s="2" t="s">
        <v>91</v>
      </c>
      <c r="Q225" s="2" t="s">
        <v>11</v>
      </c>
      <c r="R225" s="2" t="s">
        <v>3107</v>
      </c>
      <c r="S225" s="1" t="s">
        <v>3108</v>
      </c>
      <c r="T225" s="2" t="s">
        <v>1367</v>
      </c>
      <c r="U225" s="3">
        <v>3</v>
      </c>
      <c r="V225" s="3">
        <v>3</v>
      </c>
      <c r="W225" s="4" t="s">
        <v>3109</v>
      </c>
      <c r="X225" s="4" t="s">
        <v>3109</v>
      </c>
      <c r="Y225" s="4" t="s">
        <v>3110</v>
      </c>
      <c r="Z225" s="4" t="s">
        <v>3110</v>
      </c>
      <c r="AA225" s="3">
        <v>158</v>
      </c>
      <c r="AB225" s="3">
        <v>153</v>
      </c>
      <c r="AC225" s="3">
        <v>213</v>
      </c>
      <c r="AD225" s="3">
        <v>2</v>
      </c>
      <c r="AE225" s="7">
        <v>3</v>
      </c>
      <c r="AF225" s="7">
        <v>18</v>
      </c>
      <c r="AG225" s="7">
        <v>23</v>
      </c>
      <c r="AH225" s="3">
        <v>3</v>
      </c>
      <c r="AI225" s="3">
        <v>4</v>
      </c>
      <c r="AJ225" s="3">
        <v>0</v>
      </c>
      <c r="AK225" s="3">
        <v>1</v>
      </c>
      <c r="AL225" s="3">
        <v>1</v>
      </c>
      <c r="AM225" s="3">
        <v>4</v>
      </c>
      <c r="AN225" s="3">
        <v>1</v>
      </c>
      <c r="AO225" s="3">
        <v>2</v>
      </c>
      <c r="AP225" s="3">
        <v>13</v>
      </c>
      <c r="AQ225" s="3">
        <v>14</v>
      </c>
      <c r="AR225" s="2" t="s">
        <v>5</v>
      </c>
      <c r="AS225" s="2" t="s">
        <v>16</v>
      </c>
      <c r="AT225" s="5" t="str">
        <f>HYPERLINK("http://catalog.hathitrust.org/Record/002700306","HathiTrust Record")</f>
        <v>HathiTrust Record</v>
      </c>
      <c r="AU225" s="5" t="str">
        <f>HYPERLINK("https://creighton-primo.hosted.exlibrisgroup.com/primo-explore/search?tab=default_tab&amp;search_scope=EVERYTHING&amp;vid=01CRU&amp;lang=en_US&amp;offset=0&amp;query=any,contains,991001944809702656","Catalog Record")</f>
        <v>Catalog Record</v>
      </c>
      <c r="AV225" s="5" t="str">
        <f>HYPERLINK("http://www.worldcat.org/oclc/24566124","WorldCat Record")</f>
        <v>WorldCat Record</v>
      </c>
      <c r="AW225" s="2" t="s">
        <v>3111</v>
      </c>
      <c r="AX225" s="2" t="s">
        <v>3112</v>
      </c>
      <c r="AY225" s="2" t="s">
        <v>3113</v>
      </c>
      <c r="AZ225" s="2" t="s">
        <v>3113</v>
      </c>
      <c r="BA225" s="2" t="s">
        <v>3114</v>
      </c>
      <c r="BB225" s="2" t="s">
        <v>21</v>
      </c>
      <c r="BD225" s="2" t="s">
        <v>3115</v>
      </c>
      <c r="BE225" s="2" t="s">
        <v>3116</v>
      </c>
      <c r="BF225" s="2" t="s">
        <v>3117</v>
      </c>
    </row>
    <row r="226" spans="1:58" ht="39.75" customHeight="1" x14ac:dyDescent="0.25">
      <c r="A226" s="1"/>
      <c r="B226" s="1" t="s">
        <v>0</v>
      </c>
      <c r="C226" s="1" t="s">
        <v>1</v>
      </c>
      <c r="D226" s="1" t="s">
        <v>3118</v>
      </c>
      <c r="E226" s="1" t="s">
        <v>3119</v>
      </c>
      <c r="F226" s="1" t="s">
        <v>3120</v>
      </c>
      <c r="H226" s="2" t="s">
        <v>5</v>
      </c>
      <c r="I226" s="2" t="s">
        <v>6</v>
      </c>
      <c r="J226" s="2" t="s">
        <v>5</v>
      </c>
      <c r="K226" s="2" t="s">
        <v>5</v>
      </c>
      <c r="L226" s="2" t="s">
        <v>7</v>
      </c>
      <c r="M226" s="1" t="s">
        <v>3121</v>
      </c>
      <c r="N226" s="1" t="s">
        <v>3122</v>
      </c>
      <c r="O226" s="2" t="s">
        <v>29</v>
      </c>
      <c r="Q226" s="2" t="s">
        <v>11</v>
      </c>
      <c r="R226" s="2" t="s">
        <v>1977</v>
      </c>
      <c r="T226" s="2" t="s">
        <v>1367</v>
      </c>
      <c r="U226" s="3">
        <v>8</v>
      </c>
      <c r="V226" s="3">
        <v>8</v>
      </c>
      <c r="W226" s="4" t="s">
        <v>3123</v>
      </c>
      <c r="X226" s="4" t="s">
        <v>3123</v>
      </c>
      <c r="Y226" s="4" t="s">
        <v>2021</v>
      </c>
      <c r="Z226" s="4" t="s">
        <v>2021</v>
      </c>
      <c r="AA226" s="3">
        <v>485</v>
      </c>
      <c r="AB226" s="3">
        <v>479</v>
      </c>
      <c r="AC226" s="3">
        <v>494</v>
      </c>
      <c r="AD226" s="3">
        <v>9</v>
      </c>
      <c r="AE226" s="7">
        <v>9</v>
      </c>
      <c r="AF226" s="7">
        <v>27</v>
      </c>
      <c r="AG226" s="7">
        <v>27</v>
      </c>
      <c r="AH226" s="3">
        <v>9</v>
      </c>
      <c r="AI226" s="3">
        <v>9</v>
      </c>
      <c r="AJ226" s="3">
        <v>3</v>
      </c>
      <c r="AK226" s="3">
        <v>3</v>
      </c>
      <c r="AL226" s="3">
        <v>10</v>
      </c>
      <c r="AM226" s="3">
        <v>10</v>
      </c>
      <c r="AN226" s="3">
        <v>8</v>
      </c>
      <c r="AO226" s="3">
        <v>8</v>
      </c>
      <c r="AP226" s="3">
        <v>2</v>
      </c>
      <c r="AQ226" s="3">
        <v>2</v>
      </c>
      <c r="AR226" s="2" t="s">
        <v>5</v>
      </c>
      <c r="AS226" s="2" t="s">
        <v>16</v>
      </c>
      <c r="AT226" s="5" t="str">
        <f>HYPERLINK("http://catalog.hathitrust.org/Record/004508931","HathiTrust Record")</f>
        <v>HathiTrust Record</v>
      </c>
      <c r="AU226" s="5" t="str">
        <f>HYPERLINK("https://creighton-primo.hosted.exlibrisgroup.com/primo-explore/search?tab=default_tab&amp;search_scope=EVERYTHING&amp;vid=01CRU&amp;lang=en_US&amp;offset=0&amp;query=any,contains,991005149509702656","Catalog Record")</f>
        <v>Catalog Record</v>
      </c>
      <c r="AV226" s="5" t="str">
        <f>HYPERLINK("http://www.worldcat.org/oclc/7711963","WorldCat Record")</f>
        <v>WorldCat Record</v>
      </c>
      <c r="AW226" s="2" t="s">
        <v>3124</v>
      </c>
      <c r="AX226" s="2" t="s">
        <v>3125</v>
      </c>
      <c r="AY226" s="2" t="s">
        <v>3126</v>
      </c>
      <c r="AZ226" s="2" t="s">
        <v>3126</v>
      </c>
      <c r="BA226" s="2" t="s">
        <v>3127</v>
      </c>
      <c r="BB226" s="2" t="s">
        <v>21</v>
      </c>
      <c r="BD226" s="2" t="s">
        <v>3128</v>
      </c>
      <c r="BE226" s="2" t="s">
        <v>3129</v>
      </c>
      <c r="BF226" s="2" t="s">
        <v>3130</v>
      </c>
    </row>
    <row r="227" spans="1:58" ht="39.75" customHeight="1" x14ac:dyDescent="0.25">
      <c r="A227" s="1"/>
      <c r="B227" s="1" t="s">
        <v>0</v>
      </c>
      <c r="C227" s="1" t="s">
        <v>1</v>
      </c>
      <c r="D227" s="1" t="s">
        <v>3131</v>
      </c>
      <c r="E227" s="1" t="s">
        <v>3132</v>
      </c>
      <c r="F227" s="1" t="s">
        <v>3133</v>
      </c>
      <c r="H227" s="2" t="s">
        <v>5</v>
      </c>
      <c r="I227" s="2" t="s">
        <v>6</v>
      </c>
      <c r="J227" s="2" t="s">
        <v>5</v>
      </c>
      <c r="K227" s="2" t="s">
        <v>5</v>
      </c>
      <c r="L227" s="2" t="s">
        <v>7</v>
      </c>
      <c r="M227" s="1" t="s">
        <v>3134</v>
      </c>
      <c r="N227" s="1" t="s">
        <v>3135</v>
      </c>
      <c r="O227" s="2" t="s">
        <v>472</v>
      </c>
      <c r="Q227" s="2" t="s">
        <v>11</v>
      </c>
      <c r="R227" s="2" t="s">
        <v>76</v>
      </c>
      <c r="T227" s="2" t="s">
        <v>1367</v>
      </c>
      <c r="U227" s="3">
        <v>4</v>
      </c>
      <c r="V227" s="3">
        <v>4</v>
      </c>
      <c r="W227" s="4" t="s">
        <v>3136</v>
      </c>
      <c r="X227" s="4" t="s">
        <v>3136</v>
      </c>
      <c r="Y227" s="4" t="s">
        <v>3137</v>
      </c>
      <c r="Z227" s="4" t="s">
        <v>3137</v>
      </c>
      <c r="AA227" s="3">
        <v>603</v>
      </c>
      <c r="AB227" s="3">
        <v>575</v>
      </c>
      <c r="AC227" s="3">
        <v>577</v>
      </c>
      <c r="AD227" s="3">
        <v>6</v>
      </c>
      <c r="AE227" s="7">
        <v>6</v>
      </c>
      <c r="AF227" s="7">
        <v>35</v>
      </c>
      <c r="AG227" s="7">
        <v>35</v>
      </c>
      <c r="AH227" s="3">
        <v>10</v>
      </c>
      <c r="AI227" s="3">
        <v>10</v>
      </c>
      <c r="AJ227" s="3">
        <v>6</v>
      </c>
      <c r="AK227" s="3">
        <v>6</v>
      </c>
      <c r="AL227" s="3">
        <v>13</v>
      </c>
      <c r="AM227" s="3">
        <v>13</v>
      </c>
      <c r="AN227" s="3">
        <v>5</v>
      </c>
      <c r="AO227" s="3">
        <v>5</v>
      </c>
      <c r="AP227" s="3">
        <v>7</v>
      </c>
      <c r="AQ227" s="3">
        <v>7</v>
      </c>
      <c r="AR227" s="2" t="s">
        <v>5</v>
      </c>
      <c r="AS227" s="2" t="s">
        <v>16</v>
      </c>
      <c r="AT227" s="5" t="str">
        <f>HYPERLINK("http://catalog.hathitrust.org/Record/006149699","HathiTrust Record")</f>
        <v>HathiTrust Record</v>
      </c>
      <c r="AU227" s="5" t="str">
        <f>HYPERLINK("https://creighton-primo.hosted.exlibrisgroup.com/primo-explore/search?tab=default_tab&amp;search_scope=EVERYTHING&amp;vid=01CRU&amp;lang=en_US&amp;offset=0&amp;query=any,contains,991004985059702656","Catalog Record")</f>
        <v>Catalog Record</v>
      </c>
      <c r="AV227" s="5" t="str">
        <f>HYPERLINK("http://www.worldcat.org/oclc/6447210","WorldCat Record")</f>
        <v>WorldCat Record</v>
      </c>
      <c r="AW227" s="2" t="s">
        <v>3138</v>
      </c>
      <c r="AX227" s="2" t="s">
        <v>3139</v>
      </c>
      <c r="AY227" s="2" t="s">
        <v>3140</v>
      </c>
      <c r="AZ227" s="2" t="s">
        <v>3140</v>
      </c>
      <c r="BA227" s="2" t="s">
        <v>3141</v>
      </c>
      <c r="BB227" s="2" t="s">
        <v>21</v>
      </c>
      <c r="BD227" s="2" t="s">
        <v>3142</v>
      </c>
      <c r="BE227" s="2" t="s">
        <v>3143</v>
      </c>
      <c r="BF227" s="2" t="s">
        <v>3144</v>
      </c>
    </row>
    <row r="228" spans="1:58" ht="39.75" customHeight="1" x14ac:dyDescent="0.25">
      <c r="A228" s="1"/>
      <c r="B228" s="1" t="s">
        <v>0</v>
      </c>
      <c r="C228" s="1" t="s">
        <v>1</v>
      </c>
      <c r="D228" s="1" t="s">
        <v>3145</v>
      </c>
      <c r="E228" s="1" t="s">
        <v>3146</v>
      </c>
      <c r="F228" s="1" t="s">
        <v>3147</v>
      </c>
      <c r="H228" s="2" t="s">
        <v>5</v>
      </c>
      <c r="I228" s="2" t="s">
        <v>6</v>
      </c>
      <c r="J228" s="2" t="s">
        <v>5</v>
      </c>
      <c r="K228" s="2" t="s">
        <v>5</v>
      </c>
      <c r="L228" s="2" t="s">
        <v>7</v>
      </c>
      <c r="N228" s="1" t="s">
        <v>3148</v>
      </c>
      <c r="O228" s="2" t="s">
        <v>213</v>
      </c>
      <c r="Q228" s="2" t="s">
        <v>11</v>
      </c>
      <c r="R228" s="2" t="s">
        <v>76</v>
      </c>
      <c r="S228" s="1" t="s">
        <v>3149</v>
      </c>
      <c r="T228" s="2" t="s">
        <v>1367</v>
      </c>
      <c r="U228" s="3">
        <v>1</v>
      </c>
      <c r="V228" s="3">
        <v>1</v>
      </c>
      <c r="W228" s="4" t="s">
        <v>3150</v>
      </c>
      <c r="X228" s="4" t="s">
        <v>3150</v>
      </c>
      <c r="Y228" s="4" t="s">
        <v>2334</v>
      </c>
      <c r="Z228" s="4" t="s">
        <v>2334</v>
      </c>
      <c r="AA228" s="3">
        <v>269</v>
      </c>
      <c r="AB228" s="3">
        <v>256</v>
      </c>
      <c r="AC228" s="3">
        <v>264</v>
      </c>
      <c r="AD228" s="3">
        <v>2</v>
      </c>
      <c r="AE228" s="7">
        <v>2</v>
      </c>
      <c r="AF228" s="7">
        <v>16</v>
      </c>
      <c r="AG228" s="7">
        <v>16</v>
      </c>
      <c r="AH228" s="3">
        <v>1</v>
      </c>
      <c r="AI228" s="3">
        <v>1</v>
      </c>
      <c r="AJ228" s="3">
        <v>1</v>
      </c>
      <c r="AK228" s="3">
        <v>1</v>
      </c>
      <c r="AL228" s="3">
        <v>2</v>
      </c>
      <c r="AM228" s="3">
        <v>2</v>
      </c>
      <c r="AN228" s="3">
        <v>1</v>
      </c>
      <c r="AO228" s="3">
        <v>1</v>
      </c>
      <c r="AP228" s="3">
        <v>11</v>
      </c>
      <c r="AQ228" s="3">
        <v>11</v>
      </c>
      <c r="AR228" s="2" t="s">
        <v>5</v>
      </c>
      <c r="AS228" s="2" t="s">
        <v>16</v>
      </c>
      <c r="AT228" s="5" t="str">
        <f>HYPERLINK("http://catalog.hathitrust.org/Record/000250148","HathiTrust Record")</f>
        <v>HathiTrust Record</v>
      </c>
      <c r="AU228" s="5" t="str">
        <f>HYPERLINK("https://creighton-primo.hosted.exlibrisgroup.com/primo-explore/search?tab=default_tab&amp;search_scope=EVERYTHING&amp;vid=01CRU&amp;lang=en_US&amp;offset=0&amp;query=any,contains,991004305159702656","Catalog Record")</f>
        <v>Catalog Record</v>
      </c>
      <c r="AV228" s="5" t="str">
        <f>HYPERLINK("http://www.worldcat.org/oclc/2982952","WorldCat Record")</f>
        <v>WorldCat Record</v>
      </c>
      <c r="AW228" s="2" t="s">
        <v>3151</v>
      </c>
      <c r="AX228" s="2" t="s">
        <v>3152</v>
      </c>
      <c r="AY228" s="2" t="s">
        <v>3153</v>
      </c>
      <c r="AZ228" s="2" t="s">
        <v>3153</v>
      </c>
      <c r="BA228" s="2" t="s">
        <v>3154</v>
      </c>
      <c r="BB228" s="2" t="s">
        <v>21</v>
      </c>
      <c r="BD228" s="2" t="s">
        <v>3155</v>
      </c>
      <c r="BE228" s="2" t="s">
        <v>3156</v>
      </c>
      <c r="BF228" s="2" t="s">
        <v>3157</v>
      </c>
    </row>
    <row r="229" spans="1:58" ht="39.75" customHeight="1" x14ac:dyDescent="0.25">
      <c r="A229" s="1"/>
      <c r="B229" s="1" t="s">
        <v>0</v>
      </c>
      <c r="C229" s="1" t="s">
        <v>1</v>
      </c>
      <c r="D229" s="1" t="s">
        <v>3158</v>
      </c>
      <c r="E229" s="1" t="s">
        <v>3159</v>
      </c>
      <c r="F229" s="1" t="s">
        <v>3160</v>
      </c>
      <c r="H229" s="2" t="s">
        <v>5</v>
      </c>
      <c r="I229" s="2" t="s">
        <v>6</v>
      </c>
      <c r="J229" s="2" t="s">
        <v>5</v>
      </c>
      <c r="K229" s="2" t="s">
        <v>5</v>
      </c>
      <c r="L229" s="2" t="s">
        <v>7</v>
      </c>
      <c r="M229" s="1" t="s">
        <v>3161</v>
      </c>
      <c r="N229" s="1" t="s">
        <v>3162</v>
      </c>
      <c r="O229" s="2" t="s">
        <v>458</v>
      </c>
      <c r="Q229" s="2" t="s">
        <v>11</v>
      </c>
      <c r="R229" s="2" t="s">
        <v>153</v>
      </c>
      <c r="T229" s="2" t="s">
        <v>1367</v>
      </c>
      <c r="U229" s="3">
        <v>3</v>
      </c>
      <c r="V229" s="3">
        <v>3</v>
      </c>
      <c r="W229" s="4" t="s">
        <v>230</v>
      </c>
      <c r="X229" s="4" t="s">
        <v>230</v>
      </c>
      <c r="Y229" s="4" t="s">
        <v>3163</v>
      </c>
      <c r="Z229" s="4" t="s">
        <v>3163</v>
      </c>
      <c r="AA229" s="3">
        <v>536</v>
      </c>
      <c r="AB229" s="3">
        <v>508</v>
      </c>
      <c r="AC229" s="3">
        <v>514</v>
      </c>
      <c r="AD229" s="3">
        <v>5</v>
      </c>
      <c r="AE229" s="7">
        <v>5</v>
      </c>
      <c r="AF229" s="7">
        <v>24</v>
      </c>
      <c r="AG229" s="7">
        <v>24</v>
      </c>
      <c r="AH229" s="3">
        <v>10</v>
      </c>
      <c r="AI229" s="3">
        <v>10</v>
      </c>
      <c r="AJ229" s="3">
        <v>3</v>
      </c>
      <c r="AK229" s="3">
        <v>3</v>
      </c>
      <c r="AL229" s="3">
        <v>7</v>
      </c>
      <c r="AM229" s="3">
        <v>7</v>
      </c>
      <c r="AN229" s="3">
        <v>3</v>
      </c>
      <c r="AO229" s="3">
        <v>3</v>
      </c>
      <c r="AP229" s="3">
        <v>6</v>
      </c>
      <c r="AQ229" s="3">
        <v>6</v>
      </c>
      <c r="AR229" s="2" t="s">
        <v>5</v>
      </c>
      <c r="AS229" s="2" t="s">
        <v>16</v>
      </c>
      <c r="AT229" s="5" t="str">
        <f>HYPERLINK("http://catalog.hathitrust.org/Record/001069164","HathiTrust Record")</f>
        <v>HathiTrust Record</v>
      </c>
      <c r="AU229" s="5" t="str">
        <f>HYPERLINK("https://creighton-primo.hosted.exlibrisgroup.com/primo-explore/search?tab=default_tab&amp;search_scope=EVERYTHING&amp;vid=01CRU&amp;lang=en_US&amp;offset=0&amp;query=any,contains,991002464649702656","Catalog Record")</f>
        <v>Catalog Record</v>
      </c>
      <c r="AV229" s="5" t="str">
        <f>HYPERLINK("http://www.worldcat.org/oclc/357082","WorldCat Record")</f>
        <v>WorldCat Record</v>
      </c>
      <c r="AW229" s="2" t="s">
        <v>3164</v>
      </c>
      <c r="AX229" s="2" t="s">
        <v>3165</v>
      </c>
      <c r="AY229" s="2" t="s">
        <v>3166</v>
      </c>
      <c r="AZ229" s="2" t="s">
        <v>3166</v>
      </c>
      <c r="BA229" s="2" t="s">
        <v>3167</v>
      </c>
      <c r="BB229" s="2" t="s">
        <v>21</v>
      </c>
      <c r="BD229" s="2" t="s">
        <v>3168</v>
      </c>
      <c r="BE229" s="2" t="s">
        <v>3169</v>
      </c>
      <c r="BF229" s="2" t="s">
        <v>3170</v>
      </c>
    </row>
    <row r="230" spans="1:58" ht="39.75" customHeight="1" x14ac:dyDescent="0.25">
      <c r="A230" s="1"/>
      <c r="B230" s="1" t="s">
        <v>0</v>
      </c>
      <c r="C230" s="1" t="s">
        <v>1</v>
      </c>
      <c r="D230" s="1" t="s">
        <v>3171</v>
      </c>
      <c r="E230" s="1" t="s">
        <v>3172</v>
      </c>
      <c r="F230" s="1" t="s">
        <v>3173</v>
      </c>
      <c r="H230" s="2" t="s">
        <v>5</v>
      </c>
      <c r="I230" s="2" t="s">
        <v>6</v>
      </c>
      <c r="J230" s="2" t="s">
        <v>16</v>
      </c>
      <c r="K230" s="2" t="s">
        <v>5</v>
      </c>
      <c r="L230" s="2" t="s">
        <v>7</v>
      </c>
      <c r="M230" s="1" t="s">
        <v>3174</v>
      </c>
      <c r="N230" s="1" t="s">
        <v>3175</v>
      </c>
      <c r="O230" s="2" t="s">
        <v>184</v>
      </c>
      <c r="Q230" s="2" t="s">
        <v>11</v>
      </c>
      <c r="R230" s="2" t="s">
        <v>76</v>
      </c>
      <c r="S230" s="1" t="s">
        <v>3176</v>
      </c>
      <c r="T230" s="2" t="s">
        <v>1367</v>
      </c>
      <c r="U230" s="3">
        <v>0</v>
      </c>
      <c r="V230" s="3">
        <v>2</v>
      </c>
      <c r="W230" s="4" t="s">
        <v>3177</v>
      </c>
      <c r="X230" s="4" t="s">
        <v>3177</v>
      </c>
      <c r="Y230" s="4" t="s">
        <v>3178</v>
      </c>
      <c r="Z230" s="4" t="s">
        <v>3178</v>
      </c>
      <c r="AA230" s="3">
        <v>374</v>
      </c>
      <c r="AB230" s="3">
        <v>312</v>
      </c>
      <c r="AC230" s="3">
        <v>317</v>
      </c>
      <c r="AD230" s="3">
        <v>4</v>
      </c>
      <c r="AE230" s="7">
        <v>4</v>
      </c>
      <c r="AF230" s="7">
        <v>29</v>
      </c>
      <c r="AG230" s="7">
        <v>29</v>
      </c>
      <c r="AH230" s="3">
        <v>1</v>
      </c>
      <c r="AI230" s="3">
        <v>1</v>
      </c>
      <c r="AJ230" s="3">
        <v>2</v>
      </c>
      <c r="AK230" s="3">
        <v>2</v>
      </c>
      <c r="AL230" s="3">
        <v>4</v>
      </c>
      <c r="AM230" s="3">
        <v>4</v>
      </c>
      <c r="AN230" s="3">
        <v>1</v>
      </c>
      <c r="AO230" s="3">
        <v>1</v>
      </c>
      <c r="AP230" s="3">
        <v>23</v>
      </c>
      <c r="AQ230" s="3">
        <v>23</v>
      </c>
      <c r="AR230" s="2" t="s">
        <v>5</v>
      </c>
      <c r="AS230" s="2" t="s">
        <v>5</v>
      </c>
      <c r="AU230" s="5" t="str">
        <f>HYPERLINK("https://creighton-primo.hosted.exlibrisgroup.com/primo-explore/search?tab=default_tab&amp;search_scope=EVERYTHING&amp;vid=01CRU&amp;lang=en_US&amp;offset=0&amp;query=any,contains,991001620859702656","Catalog Record")</f>
        <v>Catalog Record</v>
      </c>
      <c r="AV230" s="5" t="str">
        <f>HYPERLINK("http://www.worldcat.org/oclc/7597894","WorldCat Record")</f>
        <v>WorldCat Record</v>
      </c>
      <c r="AW230" s="2" t="s">
        <v>3179</v>
      </c>
      <c r="AX230" s="2" t="s">
        <v>3180</v>
      </c>
      <c r="AY230" s="2" t="s">
        <v>3181</v>
      </c>
      <c r="AZ230" s="2" t="s">
        <v>3181</v>
      </c>
      <c r="BA230" s="2" t="s">
        <v>3182</v>
      </c>
      <c r="BB230" s="2" t="s">
        <v>21</v>
      </c>
      <c r="BD230" s="2" t="s">
        <v>3183</v>
      </c>
      <c r="BE230" s="2" t="s">
        <v>3184</v>
      </c>
      <c r="BF230" s="2" t="s">
        <v>3185</v>
      </c>
    </row>
    <row r="231" spans="1:58" ht="39.75" customHeight="1" x14ac:dyDescent="0.25">
      <c r="A231" s="1"/>
      <c r="B231" s="1" t="s">
        <v>0</v>
      </c>
      <c r="C231" s="1" t="s">
        <v>1</v>
      </c>
      <c r="D231" s="1" t="s">
        <v>3186</v>
      </c>
      <c r="E231" s="1" t="s">
        <v>3187</v>
      </c>
      <c r="F231" s="1" t="s">
        <v>3188</v>
      </c>
      <c r="H231" s="2" t="s">
        <v>5</v>
      </c>
      <c r="I231" s="2" t="s">
        <v>6</v>
      </c>
      <c r="J231" s="2" t="s">
        <v>5</v>
      </c>
      <c r="K231" s="2" t="s">
        <v>16</v>
      </c>
      <c r="L231" s="2" t="s">
        <v>7</v>
      </c>
      <c r="M231" s="1" t="s">
        <v>3189</v>
      </c>
      <c r="N231" s="1" t="s">
        <v>3190</v>
      </c>
      <c r="O231" s="2" t="s">
        <v>10</v>
      </c>
      <c r="Q231" s="2" t="s">
        <v>11</v>
      </c>
      <c r="R231" s="2" t="s">
        <v>501</v>
      </c>
      <c r="T231" s="2" t="s">
        <v>1367</v>
      </c>
      <c r="U231" s="3">
        <v>3</v>
      </c>
      <c r="V231" s="3">
        <v>3</v>
      </c>
      <c r="W231" s="4" t="s">
        <v>3191</v>
      </c>
      <c r="X231" s="4" t="s">
        <v>3191</v>
      </c>
      <c r="Y231" s="4" t="s">
        <v>1578</v>
      </c>
      <c r="Z231" s="4" t="s">
        <v>1578</v>
      </c>
      <c r="AA231" s="3">
        <v>417</v>
      </c>
      <c r="AB231" s="3">
        <v>365</v>
      </c>
      <c r="AC231" s="3">
        <v>985</v>
      </c>
      <c r="AD231" s="3">
        <v>3</v>
      </c>
      <c r="AE231" s="7">
        <v>7</v>
      </c>
      <c r="AF231" s="7">
        <v>35</v>
      </c>
      <c r="AG231" s="7">
        <v>62</v>
      </c>
      <c r="AH231" s="3">
        <v>6</v>
      </c>
      <c r="AI231" s="3">
        <v>15</v>
      </c>
      <c r="AJ231" s="3">
        <v>3</v>
      </c>
      <c r="AK231" s="3">
        <v>10</v>
      </c>
      <c r="AL231" s="3">
        <v>11</v>
      </c>
      <c r="AM231" s="3">
        <v>21</v>
      </c>
      <c r="AN231" s="3">
        <v>2</v>
      </c>
      <c r="AO231" s="3">
        <v>3</v>
      </c>
      <c r="AP231" s="3">
        <v>17</v>
      </c>
      <c r="AQ231" s="3">
        <v>23</v>
      </c>
      <c r="AR231" s="2" t="s">
        <v>5</v>
      </c>
      <c r="AS231" s="2" t="s">
        <v>5</v>
      </c>
      <c r="AU231" s="5" t="str">
        <f>HYPERLINK("https://creighton-primo.hosted.exlibrisgroup.com/primo-explore/search?tab=default_tab&amp;search_scope=EVERYTHING&amp;vid=01CRU&amp;lang=en_US&amp;offset=0&amp;query=any,contains,991002879999702656","Catalog Record")</f>
        <v>Catalog Record</v>
      </c>
      <c r="AV231" s="5" t="str">
        <f>HYPERLINK("http://www.worldcat.org/oclc/505178","WorldCat Record")</f>
        <v>WorldCat Record</v>
      </c>
      <c r="AW231" s="2" t="s">
        <v>3192</v>
      </c>
      <c r="AX231" s="2" t="s">
        <v>3193</v>
      </c>
      <c r="AY231" s="2" t="s">
        <v>3194</v>
      </c>
      <c r="AZ231" s="2" t="s">
        <v>3194</v>
      </c>
      <c r="BA231" s="2" t="s">
        <v>3195</v>
      </c>
      <c r="BB231" s="2" t="s">
        <v>21</v>
      </c>
      <c r="BE231" s="2" t="s">
        <v>3196</v>
      </c>
      <c r="BF231" s="2" t="s">
        <v>3197</v>
      </c>
    </row>
    <row r="232" spans="1:58" ht="39.75" customHeight="1" x14ac:dyDescent="0.25">
      <c r="A232" s="1"/>
      <c r="B232" s="1" t="s">
        <v>0</v>
      </c>
      <c r="C232" s="1" t="s">
        <v>1</v>
      </c>
      <c r="D232" s="1" t="s">
        <v>3198</v>
      </c>
      <c r="E232" s="1" t="s">
        <v>3199</v>
      </c>
      <c r="F232" s="1" t="s">
        <v>3200</v>
      </c>
      <c r="H232" s="2" t="s">
        <v>5</v>
      </c>
      <c r="I232" s="2" t="s">
        <v>6</v>
      </c>
      <c r="J232" s="2" t="s">
        <v>5</v>
      </c>
      <c r="K232" s="2" t="s">
        <v>5</v>
      </c>
      <c r="L232" s="2" t="s">
        <v>7</v>
      </c>
      <c r="M232" s="1" t="s">
        <v>3201</v>
      </c>
      <c r="N232" s="1" t="s">
        <v>3202</v>
      </c>
      <c r="O232" s="2" t="s">
        <v>387</v>
      </c>
      <c r="Q232" s="2" t="s">
        <v>11</v>
      </c>
      <c r="R232" s="2" t="s">
        <v>153</v>
      </c>
      <c r="T232" s="2" t="s">
        <v>1367</v>
      </c>
      <c r="U232" s="3">
        <v>1</v>
      </c>
      <c r="V232" s="3">
        <v>1</v>
      </c>
      <c r="W232" s="4" t="s">
        <v>230</v>
      </c>
      <c r="X232" s="4" t="s">
        <v>230</v>
      </c>
      <c r="Y232" s="4" t="s">
        <v>3137</v>
      </c>
      <c r="Z232" s="4" t="s">
        <v>3137</v>
      </c>
      <c r="AA232" s="3">
        <v>361</v>
      </c>
      <c r="AB232" s="3">
        <v>316</v>
      </c>
      <c r="AC232" s="3">
        <v>330</v>
      </c>
      <c r="AD232" s="3">
        <v>3</v>
      </c>
      <c r="AE232" s="7">
        <v>3</v>
      </c>
      <c r="AF232" s="7">
        <v>26</v>
      </c>
      <c r="AG232" s="7">
        <v>27</v>
      </c>
      <c r="AH232" s="3">
        <v>2</v>
      </c>
      <c r="AI232" s="3">
        <v>3</v>
      </c>
      <c r="AJ232" s="3">
        <v>1</v>
      </c>
      <c r="AK232" s="3">
        <v>1</v>
      </c>
      <c r="AL232" s="3">
        <v>6</v>
      </c>
      <c r="AM232" s="3">
        <v>7</v>
      </c>
      <c r="AN232" s="3">
        <v>1</v>
      </c>
      <c r="AO232" s="3">
        <v>1</v>
      </c>
      <c r="AP232" s="3">
        <v>18</v>
      </c>
      <c r="AQ232" s="3">
        <v>18</v>
      </c>
      <c r="AR232" s="2" t="s">
        <v>5</v>
      </c>
      <c r="AS232" s="2" t="s">
        <v>16</v>
      </c>
      <c r="AT232" s="5" t="str">
        <f>HYPERLINK("http://catalog.hathitrust.org/Record/000359314","HathiTrust Record")</f>
        <v>HathiTrust Record</v>
      </c>
      <c r="AU232" s="5" t="str">
        <f>HYPERLINK("https://creighton-primo.hosted.exlibrisgroup.com/primo-explore/search?tab=default_tab&amp;search_scope=EVERYTHING&amp;vid=01CRU&amp;lang=en_US&amp;offset=0&amp;query=any,contains,991000437869702656","Catalog Record")</f>
        <v>Catalog Record</v>
      </c>
      <c r="AV232" s="5" t="str">
        <f>HYPERLINK("http://www.worldcat.org/oclc/10800116","WorldCat Record")</f>
        <v>WorldCat Record</v>
      </c>
      <c r="AW232" s="2" t="s">
        <v>3203</v>
      </c>
      <c r="AX232" s="2" t="s">
        <v>3204</v>
      </c>
      <c r="AY232" s="2" t="s">
        <v>3205</v>
      </c>
      <c r="AZ232" s="2" t="s">
        <v>3205</v>
      </c>
      <c r="BA232" s="2" t="s">
        <v>3206</v>
      </c>
      <c r="BB232" s="2" t="s">
        <v>21</v>
      </c>
      <c r="BD232" s="2" t="s">
        <v>3207</v>
      </c>
      <c r="BE232" s="2" t="s">
        <v>3208</v>
      </c>
      <c r="BF232" s="2" t="s">
        <v>3209</v>
      </c>
    </row>
    <row r="233" spans="1:58" ht="39.75" customHeight="1" x14ac:dyDescent="0.25">
      <c r="A233" s="1"/>
      <c r="B233" s="1" t="s">
        <v>0</v>
      </c>
      <c r="C233" s="1" t="s">
        <v>1</v>
      </c>
      <c r="D233" s="1" t="s">
        <v>3210</v>
      </c>
      <c r="E233" s="1" t="s">
        <v>3211</v>
      </c>
      <c r="F233" s="1" t="s">
        <v>3212</v>
      </c>
      <c r="H233" s="2" t="s">
        <v>5</v>
      </c>
      <c r="I233" s="2" t="s">
        <v>6</v>
      </c>
      <c r="J233" s="2" t="s">
        <v>16</v>
      </c>
      <c r="K233" s="2" t="s">
        <v>5</v>
      </c>
      <c r="L233" s="2" t="s">
        <v>7</v>
      </c>
      <c r="N233" s="1" t="s">
        <v>3213</v>
      </c>
      <c r="O233" s="2" t="s">
        <v>275</v>
      </c>
      <c r="Q233" s="2" t="s">
        <v>11</v>
      </c>
      <c r="R233" s="2" t="s">
        <v>3214</v>
      </c>
      <c r="S233" s="1" t="s">
        <v>3215</v>
      </c>
      <c r="T233" s="2" t="s">
        <v>1367</v>
      </c>
      <c r="U233" s="3">
        <v>2</v>
      </c>
      <c r="V233" s="3">
        <v>2</v>
      </c>
      <c r="W233" s="4" t="s">
        <v>230</v>
      </c>
      <c r="X233" s="4" t="s">
        <v>230</v>
      </c>
      <c r="Y233" s="4" t="s">
        <v>3137</v>
      </c>
      <c r="Z233" s="4" t="s">
        <v>2536</v>
      </c>
      <c r="AA233" s="3">
        <v>350</v>
      </c>
      <c r="AB233" s="3">
        <v>311</v>
      </c>
      <c r="AC233" s="3">
        <v>329</v>
      </c>
      <c r="AD233" s="3">
        <v>5</v>
      </c>
      <c r="AE233" s="7">
        <v>5</v>
      </c>
      <c r="AF233" s="7">
        <v>22</v>
      </c>
      <c r="AG233" s="7">
        <v>22</v>
      </c>
      <c r="AH233" s="3">
        <v>1</v>
      </c>
      <c r="AI233" s="3">
        <v>1</v>
      </c>
      <c r="AJ233" s="3">
        <v>5</v>
      </c>
      <c r="AK233" s="3">
        <v>5</v>
      </c>
      <c r="AL233" s="3">
        <v>3</v>
      </c>
      <c r="AM233" s="3">
        <v>3</v>
      </c>
      <c r="AN233" s="3">
        <v>2</v>
      </c>
      <c r="AO233" s="3">
        <v>2</v>
      </c>
      <c r="AP233" s="3">
        <v>13</v>
      </c>
      <c r="AQ233" s="3">
        <v>13</v>
      </c>
      <c r="AR233" s="2" t="s">
        <v>5</v>
      </c>
      <c r="AS233" s="2" t="s">
        <v>16</v>
      </c>
      <c r="AT233" s="5" t="str">
        <f>HYPERLINK("http://catalog.hathitrust.org/Record/000753676","HathiTrust Record")</f>
        <v>HathiTrust Record</v>
      </c>
      <c r="AU233" s="5" t="str">
        <f>HYPERLINK("https://creighton-primo.hosted.exlibrisgroup.com/primo-explore/search?tab=default_tab&amp;search_scope=EVERYTHING&amp;vid=01CRU&amp;lang=en_US&amp;offset=0&amp;query=any,contains,991001767519702656","Catalog Record")</f>
        <v>Catalog Record</v>
      </c>
      <c r="AV233" s="5" t="str">
        <f>HYPERLINK("http://www.worldcat.org/oclc/5103379","WorldCat Record")</f>
        <v>WorldCat Record</v>
      </c>
      <c r="AW233" s="2" t="s">
        <v>3216</v>
      </c>
      <c r="AX233" s="2" t="s">
        <v>3217</v>
      </c>
      <c r="AY233" s="2" t="s">
        <v>3218</v>
      </c>
      <c r="AZ233" s="2" t="s">
        <v>3218</v>
      </c>
      <c r="BA233" s="2" t="s">
        <v>3219</v>
      </c>
      <c r="BB233" s="2" t="s">
        <v>21</v>
      </c>
      <c r="BD233" s="2" t="s">
        <v>3220</v>
      </c>
      <c r="BE233" s="2" t="s">
        <v>3221</v>
      </c>
      <c r="BF233" s="2" t="s">
        <v>3222</v>
      </c>
    </row>
    <row r="234" spans="1:58" ht="39.75" customHeight="1" x14ac:dyDescent="0.25">
      <c r="A234" s="1"/>
      <c r="B234" s="1" t="s">
        <v>0</v>
      </c>
      <c r="C234" s="1" t="s">
        <v>1</v>
      </c>
      <c r="D234" s="1" t="s">
        <v>3223</v>
      </c>
      <c r="E234" s="1" t="s">
        <v>3224</v>
      </c>
      <c r="F234" s="1" t="s">
        <v>3225</v>
      </c>
      <c r="H234" s="2" t="s">
        <v>5</v>
      </c>
      <c r="I234" s="2" t="s">
        <v>6</v>
      </c>
      <c r="J234" s="2" t="s">
        <v>5</v>
      </c>
      <c r="K234" s="2" t="s">
        <v>5</v>
      </c>
      <c r="L234" s="2" t="s">
        <v>7</v>
      </c>
      <c r="M234" s="1" t="s">
        <v>3226</v>
      </c>
      <c r="N234" s="1" t="s">
        <v>3227</v>
      </c>
      <c r="O234" s="2" t="s">
        <v>918</v>
      </c>
      <c r="P234" s="1" t="s">
        <v>3228</v>
      </c>
      <c r="Q234" s="2" t="s">
        <v>11</v>
      </c>
      <c r="R234" s="2" t="s">
        <v>76</v>
      </c>
      <c r="T234" s="2" t="s">
        <v>1367</v>
      </c>
      <c r="U234" s="3">
        <v>1</v>
      </c>
      <c r="V234" s="3">
        <v>1</v>
      </c>
      <c r="W234" s="4" t="s">
        <v>3229</v>
      </c>
      <c r="X234" s="4" t="s">
        <v>3229</v>
      </c>
      <c r="Y234" s="4" t="s">
        <v>3230</v>
      </c>
      <c r="Z234" s="4" t="s">
        <v>3230</v>
      </c>
      <c r="AA234" s="3">
        <v>110</v>
      </c>
      <c r="AB234" s="3">
        <v>96</v>
      </c>
      <c r="AC234" s="3">
        <v>791</v>
      </c>
      <c r="AD234" s="3">
        <v>1</v>
      </c>
      <c r="AE234" s="7">
        <v>4</v>
      </c>
      <c r="AF234" s="7">
        <v>6</v>
      </c>
      <c r="AG234" s="7">
        <v>44</v>
      </c>
      <c r="AH234" s="3">
        <v>1</v>
      </c>
      <c r="AI234" s="3">
        <v>13</v>
      </c>
      <c r="AJ234" s="3">
        <v>2</v>
      </c>
      <c r="AK234" s="3">
        <v>6</v>
      </c>
      <c r="AL234" s="3">
        <v>5</v>
      </c>
      <c r="AM234" s="3">
        <v>16</v>
      </c>
      <c r="AN234" s="3">
        <v>0</v>
      </c>
      <c r="AO234" s="3">
        <v>2</v>
      </c>
      <c r="AP234" s="3">
        <v>0</v>
      </c>
      <c r="AQ234" s="3">
        <v>14</v>
      </c>
      <c r="AR234" s="2" t="s">
        <v>5</v>
      </c>
      <c r="AS234" s="2" t="s">
        <v>16</v>
      </c>
      <c r="AT234" s="5" t="str">
        <f>HYPERLINK("http://catalog.hathitrust.org/Record/008306616","HathiTrust Record")</f>
        <v>HathiTrust Record</v>
      </c>
      <c r="AU234" s="5" t="str">
        <f>HYPERLINK("https://creighton-primo.hosted.exlibrisgroup.com/primo-explore/search?tab=default_tab&amp;search_scope=EVERYTHING&amp;vid=01CRU&amp;lang=en_US&amp;offset=0&amp;query=any,contains,991002889109702656","Catalog Record")</f>
        <v>Catalog Record</v>
      </c>
      <c r="AV234" s="5" t="str">
        <f>HYPERLINK("http://www.worldcat.org/oclc/38063658","WorldCat Record")</f>
        <v>WorldCat Record</v>
      </c>
      <c r="AW234" s="2" t="s">
        <v>3231</v>
      </c>
      <c r="AX234" s="2" t="s">
        <v>3232</v>
      </c>
      <c r="AY234" s="2" t="s">
        <v>3233</v>
      </c>
      <c r="AZ234" s="2" t="s">
        <v>3233</v>
      </c>
      <c r="BA234" s="2" t="s">
        <v>3234</v>
      </c>
      <c r="BB234" s="2" t="s">
        <v>21</v>
      </c>
      <c r="BD234" s="2" t="s">
        <v>3235</v>
      </c>
      <c r="BE234" s="2" t="s">
        <v>3236</v>
      </c>
      <c r="BF234" s="2" t="s">
        <v>3237</v>
      </c>
    </row>
    <row r="235" spans="1:58" ht="39.75" customHeight="1" x14ac:dyDescent="0.25">
      <c r="A235" s="1"/>
      <c r="B235" s="1" t="s">
        <v>0</v>
      </c>
      <c r="C235" s="1" t="s">
        <v>1</v>
      </c>
      <c r="D235" s="1" t="s">
        <v>3238</v>
      </c>
      <c r="E235" s="1" t="s">
        <v>3239</v>
      </c>
      <c r="F235" s="1" t="s">
        <v>3240</v>
      </c>
      <c r="H235" s="2" t="s">
        <v>5</v>
      </c>
      <c r="I235" s="2" t="s">
        <v>6</v>
      </c>
      <c r="J235" s="2" t="s">
        <v>5</v>
      </c>
      <c r="K235" s="2" t="s">
        <v>16</v>
      </c>
      <c r="L235" s="2" t="s">
        <v>7</v>
      </c>
      <c r="M235" s="1" t="s">
        <v>3241</v>
      </c>
      <c r="N235" s="1" t="s">
        <v>3242</v>
      </c>
      <c r="O235" s="2" t="s">
        <v>107</v>
      </c>
      <c r="Q235" s="2" t="s">
        <v>11</v>
      </c>
      <c r="R235" s="2" t="s">
        <v>1934</v>
      </c>
      <c r="T235" s="2" t="s">
        <v>1367</v>
      </c>
      <c r="U235" s="3">
        <v>1</v>
      </c>
      <c r="V235" s="3">
        <v>1</v>
      </c>
      <c r="W235" s="4" t="s">
        <v>3243</v>
      </c>
      <c r="X235" s="4" t="s">
        <v>3243</v>
      </c>
      <c r="Y235" s="4" t="s">
        <v>3244</v>
      </c>
      <c r="Z235" s="4" t="s">
        <v>3244</v>
      </c>
      <c r="AA235" s="3">
        <v>130</v>
      </c>
      <c r="AB235" s="3">
        <v>112</v>
      </c>
      <c r="AC235" s="3">
        <v>1200</v>
      </c>
      <c r="AD235" s="3">
        <v>1</v>
      </c>
      <c r="AE235" s="7">
        <v>10</v>
      </c>
      <c r="AF235" s="7">
        <v>6</v>
      </c>
      <c r="AG235" s="7">
        <v>61</v>
      </c>
      <c r="AH235" s="3">
        <v>4</v>
      </c>
      <c r="AI235" s="3">
        <v>24</v>
      </c>
      <c r="AJ235" s="3">
        <v>1</v>
      </c>
      <c r="AK235" s="3">
        <v>9</v>
      </c>
      <c r="AL235" s="3">
        <v>0</v>
      </c>
      <c r="AM235" s="3">
        <v>17</v>
      </c>
      <c r="AN235" s="3">
        <v>0</v>
      </c>
      <c r="AO235" s="3">
        <v>7</v>
      </c>
      <c r="AP235" s="3">
        <v>1</v>
      </c>
      <c r="AQ235" s="3">
        <v>15</v>
      </c>
      <c r="AR235" s="2" t="s">
        <v>5</v>
      </c>
      <c r="AS235" s="2" t="s">
        <v>5</v>
      </c>
      <c r="AU235" s="5" t="str">
        <f>HYPERLINK("https://creighton-primo.hosted.exlibrisgroup.com/primo-explore/search?tab=default_tab&amp;search_scope=EVERYTHING&amp;vid=01CRU&amp;lang=en_US&amp;offset=0&amp;query=any,contains,991003711179702656","Catalog Record")</f>
        <v>Catalog Record</v>
      </c>
      <c r="AV235" s="5" t="str">
        <f>HYPERLINK("http://www.worldcat.org/oclc/152168","WorldCat Record")</f>
        <v>WorldCat Record</v>
      </c>
      <c r="AW235" s="2" t="s">
        <v>3245</v>
      </c>
      <c r="AX235" s="2" t="s">
        <v>3246</v>
      </c>
      <c r="AY235" s="2" t="s">
        <v>3247</v>
      </c>
      <c r="AZ235" s="2" t="s">
        <v>3247</v>
      </c>
      <c r="BA235" s="2" t="s">
        <v>3248</v>
      </c>
      <c r="BB235" s="2" t="s">
        <v>21</v>
      </c>
      <c r="BD235" s="2" t="s">
        <v>3249</v>
      </c>
      <c r="BE235" s="2" t="s">
        <v>3250</v>
      </c>
      <c r="BF235" s="2" t="s">
        <v>3251</v>
      </c>
    </row>
    <row r="236" spans="1:58" ht="39.75" customHeight="1" x14ac:dyDescent="0.25">
      <c r="A236" s="1"/>
      <c r="B236" s="1" t="s">
        <v>0</v>
      </c>
      <c r="C236" s="1" t="s">
        <v>1</v>
      </c>
      <c r="D236" s="1" t="s">
        <v>3252</v>
      </c>
      <c r="E236" s="1" t="s">
        <v>3253</v>
      </c>
      <c r="F236" s="1" t="s">
        <v>3254</v>
      </c>
      <c r="H236" s="2" t="s">
        <v>5</v>
      </c>
      <c r="I236" s="2" t="s">
        <v>6</v>
      </c>
      <c r="J236" s="2" t="s">
        <v>5</v>
      </c>
      <c r="K236" s="2" t="s">
        <v>5</v>
      </c>
      <c r="L236" s="2" t="s">
        <v>7</v>
      </c>
      <c r="N236" s="1" t="s">
        <v>3255</v>
      </c>
      <c r="O236" s="2" t="s">
        <v>530</v>
      </c>
      <c r="Q236" s="2" t="s">
        <v>11</v>
      </c>
      <c r="R236" s="2" t="s">
        <v>76</v>
      </c>
      <c r="T236" s="2" t="s">
        <v>1367</v>
      </c>
      <c r="U236" s="3">
        <v>5</v>
      </c>
      <c r="V236" s="3">
        <v>5</v>
      </c>
      <c r="W236" s="4" t="s">
        <v>3256</v>
      </c>
      <c r="X236" s="4" t="s">
        <v>3256</v>
      </c>
      <c r="Y236" s="4" t="s">
        <v>1498</v>
      </c>
      <c r="Z236" s="4" t="s">
        <v>1498</v>
      </c>
      <c r="AA236" s="3">
        <v>1152</v>
      </c>
      <c r="AB236" s="3">
        <v>1083</v>
      </c>
      <c r="AC236" s="3">
        <v>1090</v>
      </c>
      <c r="AD236" s="3">
        <v>4</v>
      </c>
      <c r="AE236" s="7">
        <v>4</v>
      </c>
      <c r="AF236" s="7">
        <v>32</v>
      </c>
      <c r="AG236" s="7">
        <v>32</v>
      </c>
      <c r="AH236" s="3">
        <v>11</v>
      </c>
      <c r="AI236" s="3">
        <v>11</v>
      </c>
      <c r="AJ236" s="3">
        <v>5</v>
      </c>
      <c r="AK236" s="3">
        <v>5</v>
      </c>
      <c r="AL236" s="3">
        <v>11</v>
      </c>
      <c r="AM236" s="3">
        <v>11</v>
      </c>
      <c r="AN236" s="3">
        <v>2</v>
      </c>
      <c r="AO236" s="3">
        <v>2</v>
      </c>
      <c r="AP236" s="3">
        <v>9</v>
      </c>
      <c r="AQ236" s="3">
        <v>9</v>
      </c>
      <c r="AR236" s="2" t="s">
        <v>5</v>
      </c>
      <c r="AS236" s="2" t="s">
        <v>16</v>
      </c>
      <c r="AT236" s="5" t="str">
        <f>HYPERLINK("http://catalog.hathitrust.org/Record/000806864","HathiTrust Record")</f>
        <v>HathiTrust Record</v>
      </c>
      <c r="AU236" s="5" t="str">
        <f>HYPERLINK("https://creighton-primo.hosted.exlibrisgroup.com/primo-explore/search?tab=default_tab&amp;search_scope=EVERYTHING&amp;vid=01CRU&amp;lang=en_US&amp;offset=0&amp;query=any,contains,991000826309702656","Catalog Record")</f>
        <v>Catalog Record</v>
      </c>
      <c r="AV236" s="5" t="str">
        <f>HYPERLINK("http://www.worldcat.org/oclc/13423503","WorldCat Record")</f>
        <v>WorldCat Record</v>
      </c>
      <c r="AW236" s="2" t="s">
        <v>3257</v>
      </c>
      <c r="AX236" s="2" t="s">
        <v>3258</v>
      </c>
      <c r="AY236" s="2" t="s">
        <v>3259</v>
      </c>
      <c r="AZ236" s="2" t="s">
        <v>3259</v>
      </c>
      <c r="BA236" s="2" t="s">
        <v>3260</v>
      </c>
      <c r="BB236" s="2" t="s">
        <v>21</v>
      </c>
      <c r="BD236" s="2" t="s">
        <v>3261</v>
      </c>
      <c r="BE236" s="2" t="s">
        <v>3262</v>
      </c>
      <c r="BF236" s="2" t="s">
        <v>3263</v>
      </c>
    </row>
    <row r="237" spans="1:58" ht="39.75" customHeight="1" x14ac:dyDescent="0.25">
      <c r="A237" s="1"/>
      <c r="B237" s="1" t="s">
        <v>0</v>
      </c>
      <c r="C237" s="1" t="s">
        <v>1</v>
      </c>
      <c r="D237" s="1" t="s">
        <v>3264</v>
      </c>
      <c r="E237" s="1" t="s">
        <v>3265</v>
      </c>
      <c r="F237" s="1" t="s">
        <v>3266</v>
      </c>
      <c r="H237" s="2" t="s">
        <v>5</v>
      </c>
      <c r="I237" s="2" t="s">
        <v>6</v>
      </c>
      <c r="J237" s="2" t="s">
        <v>5</v>
      </c>
      <c r="K237" s="2" t="s">
        <v>5</v>
      </c>
      <c r="L237" s="2" t="s">
        <v>7</v>
      </c>
      <c r="N237" s="1" t="s">
        <v>3267</v>
      </c>
      <c r="O237" s="2" t="s">
        <v>629</v>
      </c>
      <c r="P237" s="1" t="s">
        <v>229</v>
      </c>
      <c r="Q237" s="2" t="s">
        <v>11</v>
      </c>
      <c r="R237" s="2" t="s">
        <v>76</v>
      </c>
      <c r="T237" s="2" t="s">
        <v>1367</v>
      </c>
      <c r="U237" s="3">
        <v>8</v>
      </c>
      <c r="V237" s="3">
        <v>8</v>
      </c>
      <c r="W237" s="4" t="s">
        <v>3268</v>
      </c>
      <c r="X237" s="4" t="s">
        <v>3268</v>
      </c>
      <c r="Y237" s="4" t="s">
        <v>3137</v>
      </c>
      <c r="Z237" s="4" t="s">
        <v>3137</v>
      </c>
      <c r="AA237" s="3">
        <v>970</v>
      </c>
      <c r="AB237" s="3">
        <v>922</v>
      </c>
      <c r="AC237" s="3">
        <v>934</v>
      </c>
      <c r="AD237" s="3">
        <v>7</v>
      </c>
      <c r="AE237" s="7">
        <v>7</v>
      </c>
      <c r="AF237" s="7">
        <v>29</v>
      </c>
      <c r="AG237" s="7">
        <v>29</v>
      </c>
      <c r="AH237" s="3">
        <v>5</v>
      </c>
      <c r="AI237" s="3">
        <v>5</v>
      </c>
      <c r="AJ237" s="3">
        <v>4</v>
      </c>
      <c r="AK237" s="3">
        <v>4</v>
      </c>
      <c r="AL237" s="3">
        <v>11</v>
      </c>
      <c r="AM237" s="3">
        <v>11</v>
      </c>
      <c r="AN237" s="3">
        <v>3</v>
      </c>
      <c r="AO237" s="3">
        <v>3</v>
      </c>
      <c r="AP237" s="3">
        <v>11</v>
      </c>
      <c r="AQ237" s="3">
        <v>11</v>
      </c>
      <c r="AR237" s="2" t="s">
        <v>5</v>
      </c>
      <c r="AS237" s="2" t="s">
        <v>5</v>
      </c>
      <c r="AU237" s="5" t="str">
        <f>HYPERLINK("https://creighton-primo.hosted.exlibrisgroup.com/primo-explore/search?tab=default_tab&amp;search_scope=EVERYTHING&amp;vid=01CRU&amp;lang=en_US&amp;offset=0&amp;query=any,contains,991000983969702656","Catalog Record")</f>
        <v>Catalog Record</v>
      </c>
      <c r="AV237" s="5" t="str">
        <f>HYPERLINK("http://www.worldcat.org/oclc/15054938","WorldCat Record")</f>
        <v>WorldCat Record</v>
      </c>
      <c r="AW237" s="2" t="s">
        <v>3269</v>
      </c>
      <c r="AX237" s="2" t="s">
        <v>3270</v>
      </c>
      <c r="AY237" s="2" t="s">
        <v>3271</v>
      </c>
      <c r="AZ237" s="2" t="s">
        <v>3271</v>
      </c>
      <c r="BA237" s="2" t="s">
        <v>3272</v>
      </c>
      <c r="BB237" s="2" t="s">
        <v>21</v>
      </c>
      <c r="BD237" s="2" t="s">
        <v>3273</v>
      </c>
      <c r="BE237" s="2" t="s">
        <v>3274</v>
      </c>
      <c r="BF237" s="2" t="s">
        <v>3275</v>
      </c>
    </row>
    <row r="238" spans="1:58" ht="39.75" customHeight="1" x14ac:dyDescent="0.25">
      <c r="A238" s="1"/>
      <c r="B238" s="1" t="s">
        <v>0</v>
      </c>
      <c r="C238" s="1" t="s">
        <v>1</v>
      </c>
      <c r="D238" s="1" t="s">
        <v>3276</v>
      </c>
      <c r="E238" s="1" t="s">
        <v>3277</v>
      </c>
      <c r="F238" s="1" t="s">
        <v>3278</v>
      </c>
      <c r="H238" s="2" t="s">
        <v>5</v>
      </c>
      <c r="I238" s="2" t="s">
        <v>6</v>
      </c>
      <c r="J238" s="2" t="s">
        <v>5</v>
      </c>
      <c r="K238" s="2" t="s">
        <v>5</v>
      </c>
      <c r="L238" s="2" t="s">
        <v>7</v>
      </c>
      <c r="N238" s="1" t="s">
        <v>3279</v>
      </c>
      <c r="O238" s="2" t="s">
        <v>228</v>
      </c>
      <c r="P238" s="1" t="s">
        <v>229</v>
      </c>
      <c r="Q238" s="2" t="s">
        <v>11</v>
      </c>
      <c r="R238" s="2" t="s">
        <v>1934</v>
      </c>
      <c r="S238" s="1" t="s">
        <v>3280</v>
      </c>
      <c r="T238" s="2" t="s">
        <v>1367</v>
      </c>
      <c r="U238" s="3">
        <v>10</v>
      </c>
      <c r="V238" s="3">
        <v>10</v>
      </c>
      <c r="W238" s="4" t="s">
        <v>3281</v>
      </c>
      <c r="X238" s="4" t="s">
        <v>3281</v>
      </c>
      <c r="Y238" s="4" t="s">
        <v>3282</v>
      </c>
      <c r="Z238" s="4" t="s">
        <v>3282</v>
      </c>
      <c r="AA238" s="3">
        <v>621</v>
      </c>
      <c r="AB238" s="3">
        <v>567</v>
      </c>
      <c r="AC238" s="3">
        <v>782</v>
      </c>
      <c r="AD238" s="3">
        <v>4</v>
      </c>
      <c r="AE238" s="7">
        <v>4</v>
      </c>
      <c r="AF238" s="7">
        <v>34</v>
      </c>
      <c r="AG238" s="7">
        <v>45</v>
      </c>
      <c r="AH238" s="3">
        <v>7</v>
      </c>
      <c r="AI238" s="3">
        <v>12</v>
      </c>
      <c r="AJ238" s="3">
        <v>6</v>
      </c>
      <c r="AK238" s="3">
        <v>7</v>
      </c>
      <c r="AL238" s="3">
        <v>11</v>
      </c>
      <c r="AM238" s="3">
        <v>16</v>
      </c>
      <c r="AN238" s="3">
        <v>3</v>
      </c>
      <c r="AO238" s="3">
        <v>3</v>
      </c>
      <c r="AP238" s="3">
        <v>14</v>
      </c>
      <c r="AQ238" s="3">
        <v>17</v>
      </c>
      <c r="AR238" s="2" t="s">
        <v>5</v>
      </c>
      <c r="AS238" s="2" t="s">
        <v>16</v>
      </c>
      <c r="AT238" s="5" t="str">
        <f>HYPERLINK("http://catalog.hathitrust.org/Record/006217257","HathiTrust Record")</f>
        <v>HathiTrust Record</v>
      </c>
      <c r="AU238" s="5" t="str">
        <f>HYPERLINK("https://creighton-primo.hosted.exlibrisgroup.com/primo-explore/search?tab=default_tab&amp;search_scope=EVERYTHING&amp;vid=01CRU&amp;lang=en_US&amp;offset=0&amp;query=any,contains,991001283589702656","Catalog Record")</f>
        <v>Catalog Record</v>
      </c>
      <c r="AV238" s="5" t="str">
        <f>HYPERLINK("http://www.worldcat.org/oclc/17951429","WorldCat Record")</f>
        <v>WorldCat Record</v>
      </c>
      <c r="AW238" s="2" t="s">
        <v>3283</v>
      </c>
      <c r="AX238" s="2" t="s">
        <v>3284</v>
      </c>
      <c r="AY238" s="2" t="s">
        <v>3285</v>
      </c>
      <c r="AZ238" s="2" t="s">
        <v>3285</v>
      </c>
      <c r="BA238" s="2" t="s">
        <v>3286</v>
      </c>
      <c r="BB238" s="2" t="s">
        <v>21</v>
      </c>
      <c r="BD238" s="2" t="s">
        <v>3287</v>
      </c>
      <c r="BE238" s="2" t="s">
        <v>3288</v>
      </c>
      <c r="BF238" s="2" t="s">
        <v>3289</v>
      </c>
    </row>
    <row r="239" spans="1:58" ht="39.75" customHeight="1" x14ac:dyDescent="0.25">
      <c r="A239" s="1"/>
      <c r="B239" s="1" t="s">
        <v>0</v>
      </c>
      <c r="C239" s="1" t="s">
        <v>1</v>
      </c>
      <c r="D239" s="1" t="s">
        <v>3290</v>
      </c>
      <c r="E239" s="1" t="s">
        <v>3291</v>
      </c>
      <c r="F239" s="1" t="s">
        <v>3292</v>
      </c>
      <c r="H239" s="2" t="s">
        <v>5</v>
      </c>
      <c r="I239" s="2" t="s">
        <v>6</v>
      </c>
      <c r="J239" s="2" t="s">
        <v>5</v>
      </c>
      <c r="K239" s="2" t="s">
        <v>5</v>
      </c>
      <c r="L239" s="2" t="s">
        <v>7</v>
      </c>
      <c r="M239" s="1" t="s">
        <v>3293</v>
      </c>
      <c r="N239" s="1" t="s">
        <v>3294</v>
      </c>
      <c r="O239" s="2" t="s">
        <v>629</v>
      </c>
      <c r="Q239" s="2" t="s">
        <v>11</v>
      </c>
      <c r="R239" s="2" t="s">
        <v>76</v>
      </c>
      <c r="T239" s="2" t="s">
        <v>1367</v>
      </c>
      <c r="U239" s="3">
        <v>4</v>
      </c>
      <c r="V239" s="3">
        <v>4</v>
      </c>
      <c r="W239" s="4" t="s">
        <v>3295</v>
      </c>
      <c r="X239" s="4" t="s">
        <v>3295</v>
      </c>
      <c r="Y239" s="4" t="s">
        <v>156</v>
      </c>
      <c r="Z239" s="4" t="s">
        <v>156</v>
      </c>
      <c r="AA239" s="3">
        <v>1068</v>
      </c>
      <c r="AB239" s="3">
        <v>1043</v>
      </c>
      <c r="AC239" s="3">
        <v>1050</v>
      </c>
      <c r="AD239" s="3">
        <v>9</v>
      </c>
      <c r="AE239" s="7">
        <v>9</v>
      </c>
      <c r="AF239" s="7">
        <v>28</v>
      </c>
      <c r="AG239" s="7">
        <v>28</v>
      </c>
      <c r="AH239" s="3">
        <v>6</v>
      </c>
      <c r="AI239" s="3">
        <v>6</v>
      </c>
      <c r="AJ239" s="3">
        <v>4</v>
      </c>
      <c r="AK239" s="3">
        <v>4</v>
      </c>
      <c r="AL239" s="3">
        <v>9</v>
      </c>
      <c r="AM239" s="3">
        <v>9</v>
      </c>
      <c r="AN239" s="3">
        <v>2</v>
      </c>
      <c r="AO239" s="3">
        <v>2</v>
      </c>
      <c r="AP239" s="3">
        <v>11</v>
      </c>
      <c r="AQ239" s="3">
        <v>11</v>
      </c>
      <c r="AR239" s="2" t="s">
        <v>5</v>
      </c>
      <c r="AS239" s="2" t="s">
        <v>16</v>
      </c>
      <c r="AT239" s="5" t="str">
        <f>HYPERLINK("http://catalog.hathitrust.org/Record/000825297","HathiTrust Record")</f>
        <v>HathiTrust Record</v>
      </c>
      <c r="AU239" s="5" t="str">
        <f>HYPERLINK("https://creighton-primo.hosted.exlibrisgroup.com/primo-explore/search?tab=default_tab&amp;search_scope=EVERYTHING&amp;vid=01CRU&amp;lang=en_US&amp;offset=0&amp;query=any,contains,991001011199702656","Catalog Record")</f>
        <v>Catalog Record</v>
      </c>
      <c r="AV239" s="5" t="str">
        <f>HYPERLINK("http://www.worldcat.org/oclc/15283707","WorldCat Record")</f>
        <v>WorldCat Record</v>
      </c>
      <c r="AW239" s="2" t="s">
        <v>3296</v>
      </c>
      <c r="AX239" s="2" t="s">
        <v>3297</v>
      </c>
      <c r="AY239" s="2" t="s">
        <v>3298</v>
      </c>
      <c r="AZ239" s="2" t="s">
        <v>3298</v>
      </c>
      <c r="BA239" s="2" t="s">
        <v>3299</v>
      </c>
      <c r="BB239" s="2" t="s">
        <v>21</v>
      </c>
      <c r="BD239" s="2" t="s">
        <v>3300</v>
      </c>
      <c r="BE239" s="2" t="s">
        <v>3301</v>
      </c>
      <c r="BF239" s="2" t="s">
        <v>3302</v>
      </c>
    </row>
    <row r="240" spans="1:58" ht="39.75" customHeight="1" x14ac:dyDescent="0.25">
      <c r="A240" s="1"/>
      <c r="B240" s="1" t="s">
        <v>0</v>
      </c>
      <c r="C240" s="1" t="s">
        <v>1</v>
      </c>
      <c r="D240" s="1" t="s">
        <v>3303</v>
      </c>
      <c r="E240" s="1" t="s">
        <v>3304</v>
      </c>
      <c r="F240" s="1" t="s">
        <v>3305</v>
      </c>
      <c r="G240" s="2" t="s">
        <v>3306</v>
      </c>
      <c r="H240" s="2" t="s">
        <v>16</v>
      </c>
      <c r="I240" s="2" t="s">
        <v>6</v>
      </c>
      <c r="J240" s="2" t="s">
        <v>5</v>
      </c>
      <c r="K240" s="2" t="s">
        <v>5</v>
      </c>
      <c r="L240" s="2" t="s">
        <v>7</v>
      </c>
      <c r="M240" s="1" t="s">
        <v>3307</v>
      </c>
      <c r="N240" s="1" t="s">
        <v>3308</v>
      </c>
      <c r="O240" s="2" t="s">
        <v>3309</v>
      </c>
      <c r="Q240" s="2" t="s">
        <v>11</v>
      </c>
      <c r="R240" s="2" t="s">
        <v>76</v>
      </c>
      <c r="T240" s="2" t="s">
        <v>1367</v>
      </c>
      <c r="U240" s="3">
        <v>6</v>
      </c>
      <c r="V240" s="3">
        <v>8</v>
      </c>
      <c r="W240" s="4" t="s">
        <v>3310</v>
      </c>
      <c r="X240" s="4" t="s">
        <v>3310</v>
      </c>
      <c r="Y240" s="4" t="s">
        <v>1144</v>
      </c>
      <c r="Z240" s="4" t="s">
        <v>2848</v>
      </c>
      <c r="AA240" s="3">
        <v>28</v>
      </c>
      <c r="AB240" s="3">
        <v>25</v>
      </c>
      <c r="AC240" s="3">
        <v>660</v>
      </c>
      <c r="AD240" s="3">
        <v>1</v>
      </c>
      <c r="AE240" s="7">
        <v>8</v>
      </c>
      <c r="AF240" s="7">
        <v>1</v>
      </c>
      <c r="AG240" s="7">
        <v>48</v>
      </c>
      <c r="AH240" s="3">
        <v>0</v>
      </c>
      <c r="AI240" s="3">
        <v>9</v>
      </c>
      <c r="AJ240" s="3">
        <v>0</v>
      </c>
      <c r="AK240" s="3">
        <v>6</v>
      </c>
      <c r="AL240" s="3">
        <v>0</v>
      </c>
      <c r="AM240" s="3">
        <v>11</v>
      </c>
      <c r="AN240" s="3">
        <v>0</v>
      </c>
      <c r="AO240" s="3">
        <v>5</v>
      </c>
      <c r="AP240" s="3">
        <v>1</v>
      </c>
      <c r="AQ240" s="3">
        <v>21</v>
      </c>
      <c r="AR240" s="2" t="s">
        <v>16</v>
      </c>
      <c r="AS240" s="2" t="s">
        <v>5</v>
      </c>
      <c r="AT240" s="5" t="str">
        <f>HYPERLINK("http://catalog.hathitrust.org/Record/007647096","HathiTrust Record")</f>
        <v>HathiTrust Record</v>
      </c>
      <c r="AU240" s="5" t="str">
        <f>HYPERLINK("https://creighton-primo.hosted.exlibrisgroup.com/primo-explore/search?tab=default_tab&amp;search_scope=EVERYTHING&amp;vid=01CRU&amp;lang=en_US&amp;offset=0&amp;query=any,contains,991005178549702656","Catalog Record")</f>
        <v>Catalog Record</v>
      </c>
      <c r="AV240" s="5" t="str">
        <f>HYPERLINK("http://www.worldcat.org/oclc/7927691","WorldCat Record")</f>
        <v>WorldCat Record</v>
      </c>
      <c r="AW240" s="2" t="s">
        <v>3311</v>
      </c>
      <c r="AX240" s="2" t="s">
        <v>3312</v>
      </c>
      <c r="AY240" s="2" t="s">
        <v>3313</v>
      </c>
      <c r="AZ240" s="2" t="s">
        <v>3313</v>
      </c>
      <c r="BA240" s="2" t="s">
        <v>3314</v>
      </c>
      <c r="BB240" s="2" t="s">
        <v>21</v>
      </c>
      <c r="BE240" s="2" t="s">
        <v>3315</v>
      </c>
      <c r="BF240" s="2" t="s">
        <v>3316</v>
      </c>
    </row>
    <row r="241" spans="1:58" ht="39.75" customHeight="1" x14ac:dyDescent="0.25">
      <c r="A241" s="1"/>
      <c r="B241" s="1" t="s">
        <v>0</v>
      </c>
      <c r="C241" s="1" t="s">
        <v>1</v>
      </c>
      <c r="D241" s="1" t="s">
        <v>3303</v>
      </c>
      <c r="E241" s="1" t="s">
        <v>3304</v>
      </c>
      <c r="F241" s="1" t="s">
        <v>3305</v>
      </c>
      <c r="G241" s="2" t="s">
        <v>3317</v>
      </c>
      <c r="H241" s="2" t="s">
        <v>16</v>
      </c>
      <c r="I241" s="2" t="s">
        <v>6</v>
      </c>
      <c r="J241" s="2" t="s">
        <v>5</v>
      </c>
      <c r="K241" s="2" t="s">
        <v>5</v>
      </c>
      <c r="L241" s="2" t="s">
        <v>7</v>
      </c>
      <c r="M241" s="1" t="s">
        <v>3307</v>
      </c>
      <c r="N241" s="1" t="s">
        <v>3308</v>
      </c>
      <c r="O241" s="2" t="s">
        <v>3309</v>
      </c>
      <c r="Q241" s="2" t="s">
        <v>11</v>
      </c>
      <c r="R241" s="2" t="s">
        <v>76</v>
      </c>
      <c r="T241" s="2" t="s">
        <v>1367</v>
      </c>
      <c r="U241" s="3">
        <v>2</v>
      </c>
      <c r="V241" s="3">
        <v>8</v>
      </c>
      <c r="X241" s="4" t="s">
        <v>3310</v>
      </c>
      <c r="Y241" s="4" t="s">
        <v>2848</v>
      </c>
      <c r="Z241" s="4" t="s">
        <v>2848</v>
      </c>
      <c r="AA241" s="3">
        <v>28</v>
      </c>
      <c r="AB241" s="3">
        <v>25</v>
      </c>
      <c r="AC241" s="3">
        <v>660</v>
      </c>
      <c r="AD241" s="3">
        <v>1</v>
      </c>
      <c r="AE241" s="7">
        <v>8</v>
      </c>
      <c r="AF241" s="7">
        <v>1</v>
      </c>
      <c r="AG241" s="7">
        <v>48</v>
      </c>
      <c r="AH241" s="3">
        <v>0</v>
      </c>
      <c r="AI241" s="3">
        <v>9</v>
      </c>
      <c r="AJ241" s="3">
        <v>0</v>
      </c>
      <c r="AK241" s="3">
        <v>6</v>
      </c>
      <c r="AL241" s="3">
        <v>0</v>
      </c>
      <c r="AM241" s="3">
        <v>11</v>
      </c>
      <c r="AN241" s="3">
        <v>0</v>
      </c>
      <c r="AO241" s="3">
        <v>5</v>
      </c>
      <c r="AP241" s="3">
        <v>1</v>
      </c>
      <c r="AQ241" s="3">
        <v>21</v>
      </c>
      <c r="AR241" s="2" t="s">
        <v>16</v>
      </c>
      <c r="AS241" s="2" t="s">
        <v>5</v>
      </c>
      <c r="AT241" s="5" t="str">
        <f>HYPERLINK("http://catalog.hathitrust.org/Record/007647096","HathiTrust Record")</f>
        <v>HathiTrust Record</v>
      </c>
      <c r="AU241" s="5" t="str">
        <f>HYPERLINK("https://creighton-primo.hosted.exlibrisgroup.com/primo-explore/search?tab=default_tab&amp;search_scope=EVERYTHING&amp;vid=01CRU&amp;lang=en_US&amp;offset=0&amp;query=any,contains,991005178549702656","Catalog Record")</f>
        <v>Catalog Record</v>
      </c>
      <c r="AV241" s="5" t="str">
        <f>HYPERLINK("http://www.worldcat.org/oclc/7927691","WorldCat Record")</f>
        <v>WorldCat Record</v>
      </c>
      <c r="AW241" s="2" t="s">
        <v>3311</v>
      </c>
      <c r="AX241" s="2" t="s">
        <v>3312</v>
      </c>
      <c r="AY241" s="2" t="s">
        <v>3313</v>
      </c>
      <c r="AZ241" s="2" t="s">
        <v>3313</v>
      </c>
      <c r="BA241" s="2" t="s">
        <v>3314</v>
      </c>
      <c r="BB241" s="2" t="s">
        <v>21</v>
      </c>
      <c r="BE241" s="2" t="s">
        <v>3318</v>
      </c>
      <c r="BF241" s="2" t="s">
        <v>3319</v>
      </c>
    </row>
    <row r="242" spans="1:58" ht="39.75" customHeight="1" x14ac:dyDescent="0.25">
      <c r="A242" s="1"/>
      <c r="B242" s="1" t="s">
        <v>0</v>
      </c>
      <c r="C242" s="1" t="s">
        <v>1</v>
      </c>
      <c r="D242" s="1" t="s">
        <v>3320</v>
      </c>
      <c r="E242" s="1" t="s">
        <v>3321</v>
      </c>
      <c r="F242" s="1" t="s">
        <v>3322</v>
      </c>
      <c r="H242" s="2" t="s">
        <v>5</v>
      </c>
      <c r="I242" s="2" t="s">
        <v>6</v>
      </c>
      <c r="J242" s="2" t="s">
        <v>5</v>
      </c>
      <c r="K242" s="2" t="s">
        <v>5</v>
      </c>
      <c r="L242" s="2" t="s">
        <v>7</v>
      </c>
      <c r="M242" s="1" t="s">
        <v>3323</v>
      </c>
      <c r="N242" s="1" t="s">
        <v>3324</v>
      </c>
      <c r="O242" s="2" t="s">
        <v>259</v>
      </c>
      <c r="Q242" s="2" t="s">
        <v>11</v>
      </c>
      <c r="R242" s="2" t="s">
        <v>76</v>
      </c>
      <c r="T242" s="2" t="s">
        <v>1367</v>
      </c>
      <c r="U242" s="3">
        <v>6</v>
      </c>
      <c r="V242" s="3">
        <v>6</v>
      </c>
      <c r="W242" s="4" t="s">
        <v>3325</v>
      </c>
      <c r="X242" s="4" t="s">
        <v>3325</v>
      </c>
      <c r="Y242" s="4" t="s">
        <v>3326</v>
      </c>
      <c r="Z242" s="4" t="s">
        <v>3326</v>
      </c>
      <c r="AA242" s="3">
        <v>397</v>
      </c>
      <c r="AB242" s="3">
        <v>359</v>
      </c>
      <c r="AC242" s="3">
        <v>1512</v>
      </c>
      <c r="AD242" s="3">
        <v>2</v>
      </c>
      <c r="AE242" s="7">
        <v>32</v>
      </c>
      <c r="AF242" s="7">
        <v>19</v>
      </c>
      <c r="AG242" s="7">
        <v>60</v>
      </c>
      <c r="AH242" s="3">
        <v>7</v>
      </c>
      <c r="AI242" s="3">
        <v>17</v>
      </c>
      <c r="AJ242" s="3">
        <v>3</v>
      </c>
      <c r="AK242" s="3">
        <v>10</v>
      </c>
      <c r="AL242" s="3">
        <v>4</v>
      </c>
      <c r="AM242" s="3">
        <v>16</v>
      </c>
      <c r="AN242" s="3">
        <v>1</v>
      </c>
      <c r="AO242" s="3">
        <v>16</v>
      </c>
      <c r="AP242" s="3">
        <v>6</v>
      </c>
      <c r="AQ242" s="3">
        <v>10</v>
      </c>
      <c r="AR242" s="2" t="s">
        <v>5</v>
      </c>
      <c r="AS242" s="2" t="s">
        <v>5</v>
      </c>
      <c r="AU242" s="5" t="str">
        <f>HYPERLINK("https://creighton-primo.hosted.exlibrisgroup.com/primo-explore/search?tab=default_tab&amp;search_scope=EVERYTHING&amp;vid=01CRU&amp;lang=en_US&amp;offset=0&amp;query=any,contains,991001153189702656","Catalog Record")</f>
        <v>Catalog Record</v>
      </c>
      <c r="AV242" s="5" t="str">
        <f>HYPERLINK("http://www.worldcat.org/oclc/16831446","WorldCat Record")</f>
        <v>WorldCat Record</v>
      </c>
      <c r="AW242" s="2" t="s">
        <v>3327</v>
      </c>
      <c r="AX242" s="2" t="s">
        <v>3328</v>
      </c>
      <c r="AY242" s="2" t="s">
        <v>3329</v>
      </c>
      <c r="AZ242" s="2" t="s">
        <v>3329</v>
      </c>
      <c r="BA242" s="2" t="s">
        <v>3330</v>
      </c>
      <c r="BB242" s="2" t="s">
        <v>21</v>
      </c>
      <c r="BD242" s="2" t="s">
        <v>3331</v>
      </c>
      <c r="BE242" s="2" t="s">
        <v>3332</v>
      </c>
      <c r="BF242" s="2" t="s">
        <v>3333</v>
      </c>
    </row>
    <row r="243" spans="1:58" ht="39.75" customHeight="1" x14ac:dyDescent="0.25">
      <c r="A243" s="1"/>
      <c r="B243" s="1" t="s">
        <v>0</v>
      </c>
      <c r="C243" s="1" t="s">
        <v>1</v>
      </c>
      <c r="D243" s="1" t="s">
        <v>3334</v>
      </c>
      <c r="E243" s="1" t="s">
        <v>3335</v>
      </c>
      <c r="F243" s="1" t="s">
        <v>3336</v>
      </c>
      <c r="H243" s="2" t="s">
        <v>5</v>
      </c>
      <c r="I243" s="2" t="s">
        <v>6</v>
      </c>
      <c r="J243" s="2" t="s">
        <v>5</v>
      </c>
      <c r="K243" s="2" t="s">
        <v>5</v>
      </c>
      <c r="L243" s="2" t="s">
        <v>7</v>
      </c>
      <c r="M243" s="1" t="s">
        <v>3337</v>
      </c>
      <c r="N243" s="1" t="s">
        <v>3338</v>
      </c>
      <c r="O243" s="2" t="s">
        <v>629</v>
      </c>
      <c r="P243" s="1" t="s">
        <v>229</v>
      </c>
      <c r="Q243" s="2" t="s">
        <v>11</v>
      </c>
      <c r="R243" s="2" t="s">
        <v>76</v>
      </c>
      <c r="T243" s="2" t="s">
        <v>1367</v>
      </c>
      <c r="U243" s="3">
        <v>5</v>
      </c>
      <c r="V243" s="3">
        <v>5</v>
      </c>
      <c r="W243" s="4" t="s">
        <v>3256</v>
      </c>
      <c r="X243" s="4" t="s">
        <v>3256</v>
      </c>
      <c r="Y243" s="4" t="s">
        <v>3137</v>
      </c>
      <c r="Z243" s="4" t="s">
        <v>3137</v>
      </c>
      <c r="AA243" s="3">
        <v>1857</v>
      </c>
      <c r="AB243" s="3">
        <v>1799</v>
      </c>
      <c r="AC243" s="3">
        <v>1808</v>
      </c>
      <c r="AD243" s="3">
        <v>17</v>
      </c>
      <c r="AE243" s="7">
        <v>17</v>
      </c>
      <c r="AF243" s="7">
        <v>44</v>
      </c>
      <c r="AG243" s="7">
        <v>44</v>
      </c>
      <c r="AH243" s="3">
        <v>14</v>
      </c>
      <c r="AI243" s="3">
        <v>14</v>
      </c>
      <c r="AJ243" s="3">
        <v>7</v>
      </c>
      <c r="AK243" s="3">
        <v>7</v>
      </c>
      <c r="AL243" s="3">
        <v>15</v>
      </c>
      <c r="AM243" s="3">
        <v>15</v>
      </c>
      <c r="AN243" s="3">
        <v>7</v>
      </c>
      <c r="AO243" s="3">
        <v>7</v>
      </c>
      <c r="AP243" s="3">
        <v>9</v>
      </c>
      <c r="AQ243" s="3">
        <v>9</v>
      </c>
      <c r="AR243" s="2" t="s">
        <v>5</v>
      </c>
      <c r="AS243" s="2" t="s">
        <v>16</v>
      </c>
      <c r="AT243" s="5" t="str">
        <f>HYPERLINK("http://catalog.hathitrust.org/Record/000805852","HathiTrust Record")</f>
        <v>HathiTrust Record</v>
      </c>
      <c r="AU243" s="5" t="str">
        <f>HYPERLINK("https://creighton-primo.hosted.exlibrisgroup.com/primo-explore/search?tab=default_tab&amp;search_scope=EVERYTHING&amp;vid=01CRU&amp;lang=en_US&amp;offset=0&amp;query=any,contains,991000878779702656","Catalog Record")</f>
        <v>Catalog Record</v>
      </c>
      <c r="AV243" s="5" t="str">
        <f>HYPERLINK("http://www.worldcat.org/oclc/13822185","WorldCat Record")</f>
        <v>WorldCat Record</v>
      </c>
      <c r="AW243" s="2" t="s">
        <v>3339</v>
      </c>
      <c r="AX243" s="2" t="s">
        <v>3340</v>
      </c>
      <c r="AY243" s="2" t="s">
        <v>3341</v>
      </c>
      <c r="AZ243" s="2" t="s">
        <v>3341</v>
      </c>
      <c r="BA243" s="2" t="s">
        <v>3342</v>
      </c>
      <c r="BB243" s="2" t="s">
        <v>21</v>
      </c>
      <c r="BD243" s="2" t="s">
        <v>3343</v>
      </c>
      <c r="BE243" s="2" t="s">
        <v>3344</v>
      </c>
      <c r="BF243" s="2" t="s">
        <v>3345</v>
      </c>
    </row>
    <row r="244" spans="1:58" ht="39.75" customHeight="1" x14ac:dyDescent="0.25">
      <c r="A244" s="1"/>
      <c r="B244" s="1" t="s">
        <v>0</v>
      </c>
      <c r="C244" s="1" t="s">
        <v>1</v>
      </c>
      <c r="D244" s="1" t="s">
        <v>3346</v>
      </c>
      <c r="E244" s="1" t="s">
        <v>3347</v>
      </c>
      <c r="F244" s="1" t="s">
        <v>3348</v>
      </c>
      <c r="H244" s="2" t="s">
        <v>5</v>
      </c>
      <c r="I244" s="2" t="s">
        <v>6</v>
      </c>
      <c r="J244" s="2" t="s">
        <v>16</v>
      </c>
      <c r="K244" s="2" t="s">
        <v>5</v>
      </c>
      <c r="L244" s="2" t="s">
        <v>7</v>
      </c>
      <c r="M244" s="1" t="s">
        <v>3349</v>
      </c>
      <c r="N244" s="1" t="s">
        <v>3350</v>
      </c>
      <c r="O244" s="2" t="s">
        <v>228</v>
      </c>
      <c r="Q244" s="2" t="s">
        <v>11</v>
      </c>
      <c r="R244" s="2" t="s">
        <v>46</v>
      </c>
      <c r="T244" s="2" t="s">
        <v>1367</v>
      </c>
      <c r="U244" s="3">
        <v>4</v>
      </c>
      <c r="V244" s="3">
        <v>6</v>
      </c>
      <c r="W244" s="4" t="s">
        <v>3351</v>
      </c>
      <c r="X244" s="4" t="s">
        <v>3351</v>
      </c>
      <c r="Y244" s="4" t="s">
        <v>3352</v>
      </c>
      <c r="Z244" s="4" t="s">
        <v>3353</v>
      </c>
      <c r="AA244" s="3">
        <v>771</v>
      </c>
      <c r="AB244" s="3">
        <v>711</v>
      </c>
      <c r="AC244" s="3">
        <v>735</v>
      </c>
      <c r="AD244" s="3">
        <v>3</v>
      </c>
      <c r="AE244" s="7">
        <v>3</v>
      </c>
      <c r="AF244" s="7">
        <v>35</v>
      </c>
      <c r="AG244" s="7">
        <v>38</v>
      </c>
      <c r="AH244" s="3">
        <v>6</v>
      </c>
      <c r="AI244" s="3">
        <v>9</v>
      </c>
      <c r="AJ244" s="3">
        <v>6</v>
      </c>
      <c r="AK244" s="3">
        <v>6</v>
      </c>
      <c r="AL244" s="3">
        <v>12</v>
      </c>
      <c r="AM244" s="3">
        <v>13</v>
      </c>
      <c r="AN244" s="3">
        <v>1</v>
      </c>
      <c r="AO244" s="3">
        <v>1</v>
      </c>
      <c r="AP244" s="3">
        <v>17</v>
      </c>
      <c r="AQ244" s="3">
        <v>17</v>
      </c>
      <c r="AR244" s="2" t="s">
        <v>5</v>
      </c>
      <c r="AS244" s="2" t="s">
        <v>16</v>
      </c>
      <c r="AT244" s="5" t="str">
        <f>HYPERLINK("http://catalog.hathitrust.org/Record/001091005","HathiTrust Record")</f>
        <v>HathiTrust Record</v>
      </c>
      <c r="AU244" s="5" t="str">
        <f>HYPERLINK("https://creighton-primo.hosted.exlibrisgroup.com/primo-explore/search?tab=default_tab&amp;search_scope=EVERYTHING&amp;vid=01CRU&amp;lang=en_US&amp;offset=0&amp;query=any,contains,991001639519702656","Catalog Record")</f>
        <v>Catalog Record</v>
      </c>
      <c r="AV244" s="5" t="str">
        <f>HYPERLINK("http://www.worldcat.org/oclc/18324948","WorldCat Record")</f>
        <v>WorldCat Record</v>
      </c>
      <c r="AW244" s="2" t="s">
        <v>3354</v>
      </c>
      <c r="AX244" s="2" t="s">
        <v>3355</v>
      </c>
      <c r="AY244" s="2" t="s">
        <v>3356</v>
      </c>
      <c r="AZ244" s="2" t="s">
        <v>3356</v>
      </c>
      <c r="BA244" s="2" t="s">
        <v>3357</v>
      </c>
      <c r="BB244" s="2" t="s">
        <v>21</v>
      </c>
      <c r="BD244" s="2" t="s">
        <v>3358</v>
      </c>
      <c r="BE244" s="2" t="s">
        <v>3359</v>
      </c>
      <c r="BF244" s="2" t="s">
        <v>3360</v>
      </c>
    </row>
    <row r="245" spans="1:58" ht="39.75" customHeight="1" x14ac:dyDescent="0.25">
      <c r="A245" s="1"/>
      <c r="B245" s="1" t="s">
        <v>0</v>
      </c>
      <c r="C245" s="1" t="s">
        <v>1</v>
      </c>
      <c r="D245" s="1" t="s">
        <v>3361</v>
      </c>
      <c r="E245" s="1" t="s">
        <v>3362</v>
      </c>
      <c r="F245" s="1" t="s">
        <v>3363</v>
      </c>
      <c r="H245" s="2" t="s">
        <v>5</v>
      </c>
      <c r="I245" s="2" t="s">
        <v>6</v>
      </c>
      <c r="J245" s="2" t="s">
        <v>5</v>
      </c>
      <c r="K245" s="2" t="s">
        <v>5</v>
      </c>
      <c r="L245" s="2" t="s">
        <v>7</v>
      </c>
      <c r="M245" s="1" t="s">
        <v>3364</v>
      </c>
      <c r="N245" s="1" t="s">
        <v>3365</v>
      </c>
      <c r="O245" s="2" t="s">
        <v>3366</v>
      </c>
      <c r="Q245" s="2" t="s">
        <v>11</v>
      </c>
      <c r="R245" s="2" t="s">
        <v>76</v>
      </c>
      <c r="S245" s="1" t="s">
        <v>3367</v>
      </c>
      <c r="T245" s="2" t="s">
        <v>1367</v>
      </c>
      <c r="U245" s="3">
        <v>3</v>
      </c>
      <c r="V245" s="3">
        <v>3</v>
      </c>
      <c r="W245" s="4" t="s">
        <v>3368</v>
      </c>
      <c r="X245" s="4" t="s">
        <v>3368</v>
      </c>
      <c r="Y245" s="4" t="s">
        <v>2334</v>
      </c>
      <c r="Z245" s="4" t="s">
        <v>2334</v>
      </c>
      <c r="AA245" s="3">
        <v>166</v>
      </c>
      <c r="AB245" s="3">
        <v>158</v>
      </c>
      <c r="AC245" s="3">
        <v>1174</v>
      </c>
      <c r="AD245" s="3">
        <v>1</v>
      </c>
      <c r="AE245" s="7">
        <v>9</v>
      </c>
      <c r="AF245" s="7">
        <v>10</v>
      </c>
      <c r="AG245" s="7">
        <v>63</v>
      </c>
      <c r="AH245" s="3">
        <v>3</v>
      </c>
      <c r="AI245" s="3">
        <v>15</v>
      </c>
      <c r="AJ245" s="3">
        <v>4</v>
      </c>
      <c r="AK245" s="3">
        <v>8</v>
      </c>
      <c r="AL245" s="3">
        <v>4</v>
      </c>
      <c r="AM245" s="3">
        <v>21</v>
      </c>
      <c r="AN245" s="3">
        <v>0</v>
      </c>
      <c r="AO245" s="3">
        <v>6</v>
      </c>
      <c r="AP245" s="3">
        <v>1</v>
      </c>
      <c r="AQ245" s="3">
        <v>21</v>
      </c>
      <c r="AR245" s="2" t="s">
        <v>5</v>
      </c>
      <c r="AS245" s="2" t="s">
        <v>16</v>
      </c>
      <c r="AT245" s="5" t="str">
        <f>HYPERLINK("http://catalog.hathitrust.org/Record/001140884","HathiTrust Record")</f>
        <v>HathiTrust Record</v>
      </c>
      <c r="AU245" s="5" t="str">
        <f>HYPERLINK("https://creighton-primo.hosted.exlibrisgroup.com/primo-explore/search?tab=default_tab&amp;search_scope=EVERYTHING&amp;vid=01CRU&amp;lang=en_US&amp;offset=0&amp;query=any,contains,991000881619702656","Catalog Record")</f>
        <v>Catalog Record</v>
      </c>
      <c r="AV245" s="5" t="str">
        <f>HYPERLINK("http://www.worldcat.org/oclc/13836230","WorldCat Record")</f>
        <v>WorldCat Record</v>
      </c>
      <c r="AW245" s="2" t="s">
        <v>3369</v>
      </c>
      <c r="AX245" s="2" t="s">
        <v>3370</v>
      </c>
      <c r="AY245" s="2" t="s">
        <v>3371</v>
      </c>
      <c r="AZ245" s="2" t="s">
        <v>3371</v>
      </c>
      <c r="BA245" s="2" t="s">
        <v>3372</v>
      </c>
      <c r="BB245" s="2" t="s">
        <v>21</v>
      </c>
      <c r="BE245" s="2" t="s">
        <v>3373</v>
      </c>
      <c r="BF245" s="2" t="s">
        <v>3374</v>
      </c>
    </row>
    <row r="246" spans="1:58" ht="39.75" customHeight="1" x14ac:dyDescent="0.25">
      <c r="A246" s="1"/>
      <c r="B246" s="1" t="s">
        <v>0</v>
      </c>
      <c r="C246" s="1" t="s">
        <v>1</v>
      </c>
      <c r="D246" s="1" t="s">
        <v>3375</v>
      </c>
      <c r="E246" s="1" t="s">
        <v>3376</v>
      </c>
      <c r="F246" s="1" t="s">
        <v>3377</v>
      </c>
      <c r="H246" s="2" t="s">
        <v>5</v>
      </c>
      <c r="I246" s="2" t="s">
        <v>6</v>
      </c>
      <c r="J246" s="2" t="s">
        <v>5</v>
      </c>
      <c r="K246" s="2" t="s">
        <v>5</v>
      </c>
      <c r="L246" s="2" t="s">
        <v>7</v>
      </c>
      <c r="M246" s="1" t="s">
        <v>3378</v>
      </c>
      <c r="N246" s="1" t="s">
        <v>3379</v>
      </c>
      <c r="O246" s="2" t="s">
        <v>2137</v>
      </c>
      <c r="Q246" s="2" t="s">
        <v>11</v>
      </c>
      <c r="R246" s="2" t="s">
        <v>76</v>
      </c>
      <c r="T246" s="2" t="s">
        <v>1367</v>
      </c>
      <c r="U246" s="3">
        <v>5</v>
      </c>
      <c r="V246" s="3">
        <v>5</v>
      </c>
      <c r="W246" s="4" t="s">
        <v>3380</v>
      </c>
      <c r="X246" s="4" t="s">
        <v>3380</v>
      </c>
      <c r="Y246" s="4" t="s">
        <v>1144</v>
      </c>
      <c r="Z246" s="4" t="s">
        <v>1144</v>
      </c>
      <c r="AA246" s="3">
        <v>68</v>
      </c>
      <c r="AB246" s="3">
        <v>68</v>
      </c>
      <c r="AC246" s="3">
        <v>372</v>
      </c>
      <c r="AD246" s="3">
        <v>2</v>
      </c>
      <c r="AE246" s="7">
        <v>7</v>
      </c>
      <c r="AF246" s="7">
        <v>5</v>
      </c>
      <c r="AG246" s="7">
        <v>32</v>
      </c>
      <c r="AH246" s="3">
        <v>0</v>
      </c>
      <c r="AI246" s="3">
        <v>1</v>
      </c>
      <c r="AJ246" s="3">
        <v>1</v>
      </c>
      <c r="AK246" s="3">
        <v>3</v>
      </c>
      <c r="AL246" s="3">
        <v>2</v>
      </c>
      <c r="AM246" s="3">
        <v>8</v>
      </c>
      <c r="AN246" s="3">
        <v>1</v>
      </c>
      <c r="AO246" s="3">
        <v>4</v>
      </c>
      <c r="AP246" s="3">
        <v>2</v>
      </c>
      <c r="AQ246" s="3">
        <v>18</v>
      </c>
      <c r="AR246" s="2" t="s">
        <v>5</v>
      </c>
      <c r="AS246" s="2" t="s">
        <v>5</v>
      </c>
      <c r="AU246" s="5" t="str">
        <f>HYPERLINK("https://creighton-primo.hosted.exlibrisgroup.com/primo-explore/search?tab=default_tab&amp;search_scope=EVERYTHING&amp;vid=01CRU&amp;lang=en_US&amp;offset=0&amp;query=any,contains,991004188849702656","Catalog Record")</f>
        <v>Catalog Record</v>
      </c>
      <c r="AV246" s="5" t="str">
        <f>HYPERLINK("http://www.worldcat.org/oclc/2624028","WorldCat Record")</f>
        <v>WorldCat Record</v>
      </c>
      <c r="AW246" s="2" t="s">
        <v>3381</v>
      </c>
      <c r="AX246" s="2" t="s">
        <v>3382</v>
      </c>
      <c r="AY246" s="2" t="s">
        <v>3383</v>
      </c>
      <c r="AZ246" s="2" t="s">
        <v>3383</v>
      </c>
      <c r="BA246" s="2" t="s">
        <v>3384</v>
      </c>
      <c r="BB246" s="2" t="s">
        <v>21</v>
      </c>
      <c r="BE246" s="2" t="s">
        <v>3385</v>
      </c>
      <c r="BF246" s="2" t="s">
        <v>3386</v>
      </c>
    </row>
    <row r="247" spans="1:58" ht="39.75" customHeight="1" x14ac:dyDescent="0.25">
      <c r="A247" s="1"/>
      <c r="B247" s="1" t="s">
        <v>0</v>
      </c>
      <c r="C247" s="1" t="s">
        <v>1</v>
      </c>
      <c r="D247" s="1" t="s">
        <v>3387</v>
      </c>
      <c r="E247" s="1" t="s">
        <v>3388</v>
      </c>
      <c r="F247" s="1" t="s">
        <v>3389</v>
      </c>
      <c r="H247" s="2" t="s">
        <v>5</v>
      </c>
      <c r="I247" s="2" t="s">
        <v>6</v>
      </c>
      <c r="J247" s="2" t="s">
        <v>5</v>
      </c>
      <c r="K247" s="2" t="s">
        <v>5</v>
      </c>
      <c r="L247" s="2" t="s">
        <v>7</v>
      </c>
      <c r="N247" s="1" t="s">
        <v>3390</v>
      </c>
      <c r="O247" s="2" t="s">
        <v>275</v>
      </c>
      <c r="Q247" s="2" t="s">
        <v>11</v>
      </c>
      <c r="R247" s="2" t="s">
        <v>260</v>
      </c>
      <c r="T247" s="2" t="s">
        <v>1367</v>
      </c>
      <c r="U247" s="3">
        <v>5</v>
      </c>
      <c r="V247" s="3">
        <v>5</v>
      </c>
      <c r="W247" s="4" t="s">
        <v>3391</v>
      </c>
      <c r="X247" s="4" t="s">
        <v>3391</v>
      </c>
      <c r="Y247" s="4" t="s">
        <v>1498</v>
      </c>
      <c r="Z247" s="4" t="s">
        <v>1498</v>
      </c>
      <c r="AA247" s="3">
        <v>284</v>
      </c>
      <c r="AB247" s="3">
        <v>274</v>
      </c>
      <c r="AC247" s="3">
        <v>490</v>
      </c>
      <c r="AD247" s="3">
        <v>1</v>
      </c>
      <c r="AE247" s="7">
        <v>3</v>
      </c>
      <c r="AF247" s="7">
        <v>18</v>
      </c>
      <c r="AG247" s="7">
        <v>29</v>
      </c>
      <c r="AH247" s="3">
        <v>6</v>
      </c>
      <c r="AI247" s="3">
        <v>8</v>
      </c>
      <c r="AJ247" s="3">
        <v>3</v>
      </c>
      <c r="AK247" s="3">
        <v>5</v>
      </c>
      <c r="AL247" s="3">
        <v>9</v>
      </c>
      <c r="AM247" s="3">
        <v>13</v>
      </c>
      <c r="AN247" s="3">
        <v>0</v>
      </c>
      <c r="AO247" s="3">
        <v>1</v>
      </c>
      <c r="AP247" s="3">
        <v>3</v>
      </c>
      <c r="AQ247" s="3">
        <v>8</v>
      </c>
      <c r="AR247" s="2" t="s">
        <v>5</v>
      </c>
      <c r="AS247" s="2" t="s">
        <v>16</v>
      </c>
      <c r="AT247" s="5" t="str">
        <f>HYPERLINK("http://catalog.hathitrust.org/Record/101932278","HathiTrust Record")</f>
        <v>HathiTrust Record</v>
      </c>
      <c r="AU247" s="5" t="str">
        <f>HYPERLINK("https://creighton-primo.hosted.exlibrisgroup.com/primo-explore/search?tab=default_tab&amp;search_scope=EVERYTHING&amp;vid=01CRU&amp;lang=en_US&amp;offset=0&amp;query=any,contains,991004932339702656","Catalog Record")</f>
        <v>Catalog Record</v>
      </c>
      <c r="AV247" s="5" t="str">
        <f>HYPERLINK("http://www.worldcat.org/oclc/6044758","WorldCat Record")</f>
        <v>WorldCat Record</v>
      </c>
      <c r="AW247" s="2" t="s">
        <v>3392</v>
      </c>
      <c r="AX247" s="2" t="s">
        <v>3393</v>
      </c>
      <c r="AY247" s="2" t="s">
        <v>3394</v>
      </c>
      <c r="AZ247" s="2" t="s">
        <v>3394</v>
      </c>
      <c r="BA247" s="2" t="s">
        <v>3395</v>
      </c>
      <c r="BB247" s="2" t="s">
        <v>21</v>
      </c>
      <c r="BD247" s="2" t="s">
        <v>3396</v>
      </c>
      <c r="BE247" s="2" t="s">
        <v>3397</v>
      </c>
      <c r="BF247" s="2" t="s">
        <v>3398</v>
      </c>
    </row>
    <row r="248" spans="1:58" ht="39.75" customHeight="1" x14ac:dyDescent="0.25">
      <c r="A248" s="1"/>
      <c r="B248" s="1" t="s">
        <v>0</v>
      </c>
      <c r="C248" s="1" t="s">
        <v>1</v>
      </c>
      <c r="D248" s="1" t="s">
        <v>3399</v>
      </c>
      <c r="E248" s="1" t="s">
        <v>3400</v>
      </c>
      <c r="F248" s="1" t="s">
        <v>3401</v>
      </c>
      <c r="H248" s="2" t="s">
        <v>5</v>
      </c>
      <c r="I248" s="2" t="s">
        <v>6</v>
      </c>
      <c r="J248" s="2" t="s">
        <v>5</v>
      </c>
      <c r="K248" s="2" t="s">
        <v>5</v>
      </c>
      <c r="L248" s="2" t="s">
        <v>7</v>
      </c>
      <c r="M248" s="1" t="s">
        <v>3402</v>
      </c>
      <c r="N248" s="1" t="s">
        <v>3403</v>
      </c>
      <c r="O248" s="2" t="s">
        <v>259</v>
      </c>
      <c r="Q248" s="2" t="s">
        <v>11</v>
      </c>
      <c r="R248" s="2" t="s">
        <v>3214</v>
      </c>
      <c r="T248" s="2" t="s">
        <v>1367</v>
      </c>
      <c r="U248" s="3">
        <v>5</v>
      </c>
      <c r="V248" s="3">
        <v>5</v>
      </c>
      <c r="W248" s="4" t="s">
        <v>3404</v>
      </c>
      <c r="X248" s="4" t="s">
        <v>3404</v>
      </c>
      <c r="Y248" s="4" t="s">
        <v>2074</v>
      </c>
      <c r="Z248" s="4" t="s">
        <v>2074</v>
      </c>
      <c r="AA248" s="3">
        <v>417</v>
      </c>
      <c r="AB248" s="3">
        <v>397</v>
      </c>
      <c r="AC248" s="3">
        <v>402</v>
      </c>
      <c r="AD248" s="3">
        <v>4</v>
      </c>
      <c r="AE248" s="7">
        <v>4</v>
      </c>
      <c r="AF248" s="7">
        <v>26</v>
      </c>
      <c r="AG248" s="7">
        <v>26</v>
      </c>
      <c r="AH248" s="3">
        <v>8</v>
      </c>
      <c r="AI248" s="3">
        <v>8</v>
      </c>
      <c r="AJ248" s="3">
        <v>5</v>
      </c>
      <c r="AK248" s="3">
        <v>5</v>
      </c>
      <c r="AL248" s="3">
        <v>8</v>
      </c>
      <c r="AM248" s="3">
        <v>8</v>
      </c>
      <c r="AN248" s="3">
        <v>3</v>
      </c>
      <c r="AO248" s="3">
        <v>3</v>
      </c>
      <c r="AP248" s="3">
        <v>8</v>
      </c>
      <c r="AQ248" s="3">
        <v>8</v>
      </c>
      <c r="AR248" s="2" t="s">
        <v>5</v>
      </c>
      <c r="AS248" s="2" t="s">
        <v>5</v>
      </c>
      <c r="AU248" s="5" t="str">
        <f>HYPERLINK("https://creighton-primo.hosted.exlibrisgroup.com/primo-explore/search?tab=default_tab&amp;search_scope=EVERYTHING&amp;vid=01CRU&amp;lang=en_US&amp;offset=0&amp;query=any,contains,991001188769702656","Catalog Record")</f>
        <v>Catalog Record</v>
      </c>
      <c r="AV248" s="5" t="str">
        <f>HYPERLINK("http://www.worldcat.org/oclc/17234007","WorldCat Record")</f>
        <v>WorldCat Record</v>
      </c>
      <c r="AW248" s="2" t="s">
        <v>3405</v>
      </c>
      <c r="AX248" s="2" t="s">
        <v>3406</v>
      </c>
      <c r="AY248" s="2" t="s">
        <v>3407</v>
      </c>
      <c r="AZ248" s="2" t="s">
        <v>3407</v>
      </c>
      <c r="BA248" s="2" t="s">
        <v>3408</v>
      </c>
      <c r="BB248" s="2" t="s">
        <v>21</v>
      </c>
      <c r="BD248" s="2" t="s">
        <v>3409</v>
      </c>
      <c r="BE248" s="2" t="s">
        <v>3410</v>
      </c>
      <c r="BF248" s="2" t="s">
        <v>3411</v>
      </c>
    </row>
    <row r="249" spans="1:58" ht="39.75" customHeight="1" x14ac:dyDescent="0.25">
      <c r="A249" s="1"/>
      <c r="B249" s="1" t="s">
        <v>0</v>
      </c>
      <c r="C249" s="1" t="s">
        <v>1</v>
      </c>
      <c r="D249" s="1" t="s">
        <v>3412</v>
      </c>
      <c r="E249" s="1" t="s">
        <v>3413</v>
      </c>
      <c r="F249" s="1" t="s">
        <v>3414</v>
      </c>
      <c r="H249" s="2" t="s">
        <v>5</v>
      </c>
      <c r="I249" s="2" t="s">
        <v>6</v>
      </c>
      <c r="J249" s="2" t="s">
        <v>5</v>
      </c>
      <c r="K249" s="2" t="s">
        <v>5</v>
      </c>
      <c r="L249" s="2" t="s">
        <v>7</v>
      </c>
      <c r="M249" s="1" t="s">
        <v>3415</v>
      </c>
      <c r="N249" s="1" t="s">
        <v>3416</v>
      </c>
      <c r="O249" s="2" t="s">
        <v>355</v>
      </c>
      <c r="P249" s="1" t="s">
        <v>2944</v>
      </c>
      <c r="Q249" s="2" t="s">
        <v>11</v>
      </c>
      <c r="R249" s="2" t="s">
        <v>76</v>
      </c>
      <c r="S249" s="1" t="s">
        <v>3417</v>
      </c>
      <c r="T249" s="2" t="s">
        <v>1367</v>
      </c>
      <c r="U249" s="3">
        <v>5</v>
      </c>
      <c r="V249" s="3">
        <v>5</v>
      </c>
      <c r="W249" s="4" t="s">
        <v>3418</v>
      </c>
      <c r="X249" s="4" t="s">
        <v>3418</v>
      </c>
      <c r="Y249" s="4" t="s">
        <v>645</v>
      </c>
      <c r="Z249" s="4" t="s">
        <v>645</v>
      </c>
      <c r="AA249" s="3">
        <v>132</v>
      </c>
      <c r="AB249" s="3">
        <v>103</v>
      </c>
      <c r="AC249" s="3">
        <v>325</v>
      </c>
      <c r="AD249" s="3">
        <v>2</v>
      </c>
      <c r="AE249" s="7">
        <v>3</v>
      </c>
      <c r="AF249" s="7">
        <v>11</v>
      </c>
      <c r="AG249" s="7">
        <v>22</v>
      </c>
      <c r="AH249" s="3">
        <v>0</v>
      </c>
      <c r="AI249" s="3">
        <v>1</v>
      </c>
      <c r="AJ249" s="3">
        <v>1</v>
      </c>
      <c r="AK249" s="3">
        <v>2</v>
      </c>
      <c r="AL249" s="3">
        <v>2</v>
      </c>
      <c r="AM249" s="3">
        <v>6</v>
      </c>
      <c r="AN249" s="3">
        <v>1</v>
      </c>
      <c r="AO249" s="3">
        <v>1</v>
      </c>
      <c r="AP249" s="3">
        <v>8</v>
      </c>
      <c r="AQ249" s="3">
        <v>14</v>
      </c>
      <c r="AR249" s="2" t="s">
        <v>5</v>
      </c>
      <c r="AS249" s="2" t="s">
        <v>5</v>
      </c>
      <c r="AU249" s="5" t="str">
        <f>HYPERLINK("https://creighton-primo.hosted.exlibrisgroup.com/primo-explore/search?tab=default_tab&amp;search_scope=EVERYTHING&amp;vid=01CRU&amp;lang=en_US&amp;offset=0&amp;query=any,contains,991005044689702656","Catalog Record")</f>
        <v>Catalog Record</v>
      </c>
      <c r="AV249" s="5" t="str">
        <f>HYPERLINK("http://www.worldcat.org/oclc/695912","WorldCat Record")</f>
        <v>WorldCat Record</v>
      </c>
      <c r="AW249" s="2" t="s">
        <v>3419</v>
      </c>
      <c r="AX249" s="2" t="s">
        <v>3420</v>
      </c>
      <c r="AY249" s="2" t="s">
        <v>3421</v>
      </c>
      <c r="AZ249" s="2" t="s">
        <v>3421</v>
      </c>
      <c r="BA249" s="2" t="s">
        <v>3422</v>
      </c>
      <c r="BB249" s="2" t="s">
        <v>21</v>
      </c>
      <c r="BE249" s="2" t="s">
        <v>3423</v>
      </c>
      <c r="BF249" s="2" t="s">
        <v>3424</v>
      </c>
    </row>
    <row r="250" spans="1:58" ht="39.75" customHeight="1" x14ac:dyDescent="0.25">
      <c r="A250" s="1"/>
      <c r="B250" s="1" t="s">
        <v>0</v>
      </c>
      <c r="C250" s="1" t="s">
        <v>1</v>
      </c>
      <c r="D250" s="1" t="s">
        <v>3425</v>
      </c>
      <c r="E250" s="1" t="s">
        <v>3426</v>
      </c>
      <c r="F250" s="1" t="s">
        <v>3427</v>
      </c>
      <c r="H250" s="2" t="s">
        <v>5</v>
      </c>
      <c r="I250" s="2" t="s">
        <v>6</v>
      </c>
      <c r="J250" s="2" t="s">
        <v>5</v>
      </c>
      <c r="K250" s="2" t="s">
        <v>5</v>
      </c>
      <c r="L250" s="2" t="s">
        <v>7</v>
      </c>
      <c r="M250" s="1" t="s">
        <v>3428</v>
      </c>
      <c r="N250" s="1" t="s">
        <v>3429</v>
      </c>
      <c r="O250" s="2" t="s">
        <v>387</v>
      </c>
      <c r="Q250" s="2" t="s">
        <v>11</v>
      </c>
      <c r="R250" s="2" t="s">
        <v>46</v>
      </c>
      <c r="T250" s="2" t="s">
        <v>1367</v>
      </c>
      <c r="U250" s="3">
        <v>1</v>
      </c>
      <c r="V250" s="3">
        <v>1</v>
      </c>
      <c r="W250" s="4" t="s">
        <v>3430</v>
      </c>
      <c r="X250" s="4" t="s">
        <v>3430</v>
      </c>
      <c r="Y250" s="4" t="s">
        <v>3137</v>
      </c>
      <c r="Z250" s="4" t="s">
        <v>3137</v>
      </c>
      <c r="AA250" s="3">
        <v>742</v>
      </c>
      <c r="AB250" s="3">
        <v>670</v>
      </c>
      <c r="AC250" s="3">
        <v>679</v>
      </c>
      <c r="AD250" s="3">
        <v>4</v>
      </c>
      <c r="AE250" s="7">
        <v>4</v>
      </c>
      <c r="AF250" s="7">
        <v>44</v>
      </c>
      <c r="AG250" s="7">
        <v>44</v>
      </c>
      <c r="AH250" s="3">
        <v>11</v>
      </c>
      <c r="AI250" s="3">
        <v>11</v>
      </c>
      <c r="AJ250" s="3">
        <v>7</v>
      </c>
      <c r="AK250" s="3">
        <v>7</v>
      </c>
      <c r="AL250" s="3">
        <v>14</v>
      </c>
      <c r="AM250" s="3">
        <v>14</v>
      </c>
      <c r="AN250" s="3">
        <v>2</v>
      </c>
      <c r="AO250" s="3">
        <v>2</v>
      </c>
      <c r="AP250" s="3">
        <v>17</v>
      </c>
      <c r="AQ250" s="3">
        <v>17</v>
      </c>
      <c r="AR250" s="2" t="s">
        <v>5</v>
      </c>
      <c r="AS250" s="2" t="s">
        <v>16</v>
      </c>
      <c r="AT250" s="5" t="str">
        <f>HYPERLINK("http://catalog.hathitrust.org/Record/000283860","HathiTrust Record")</f>
        <v>HathiTrust Record</v>
      </c>
      <c r="AU250" s="5" t="str">
        <f>HYPERLINK("https://creighton-primo.hosted.exlibrisgroup.com/primo-explore/search?tab=default_tab&amp;search_scope=EVERYTHING&amp;vid=01CRU&amp;lang=en_US&amp;offset=0&amp;query=any,contains,991000257559702656","Catalog Record")</f>
        <v>Catalog Record</v>
      </c>
      <c r="AV250" s="5" t="str">
        <f>HYPERLINK("http://www.worldcat.org/oclc/9784091","WorldCat Record")</f>
        <v>WorldCat Record</v>
      </c>
      <c r="AW250" s="2" t="s">
        <v>3431</v>
      </c>
      <c r="AX250" s="2" t="s">
        <v>3432</v>
      </c>
      <c r="AY250" s="2" t="s">
        <v>3433</v>
      </c>
      <c r="AZ250" s="2" t="s">
        <v>3433</v>
      </c>
      <c r="BA250" s="2" t="s">
        <v>3434</v>
      </c>
      <c r="BB250" s="2" t="s">
        <v>21</v>
      </c>
      <c r="BD250" s="2" t="s">
        <v>3435</v>
      </c>
      <c r="BE250" s="2" t="s">
        <v>3436</v>
      </c>
      <c r="BF250" s="2" t="s">
        <v>3437</v>
      </c>
    </row>
    <row r="251" spans="1:58" ht="39.75" customHeight="1" x14ac:dyDescent="0.25">
      <c r="A251" s="1"/>
      <c r="B251" s="1" t="s">
        <v>0</v>
      </c>
      <c r="C251" s="1" t="s">
        <v>1</v>
      </c>
      <c r="D251" s="1" t="s">
        <v>3438</v>
      </c>
      <c r="E251" s="1" t="s">
        <v>3439</v>
      </c>
      <c r="F251" s="1" t="s">
        <v>3440</v>
      </c>
      <c r="H251" s="2" t="s">
        <v>5</v>
      </c>
      <c r="I251" s="2" t="s">
        <v>6</v>
      </c>
      <c r="J251" s="2" t="s">
        <v>16</v>
      </c>
      <c r="K251" s="2" t="s">
        <v>5</v>
      </c>
      <c r="L251" s="2" t="s">
        <v>7</v>
      </c>
      <c r="M251" s="1" t="s">
        <v>3441</v>
      </c>
      <c r="N251" s="1" t="s">
        <v>3442</v>
      </c>
      <c r="O251" s="2" t="s">
        <v>629</v>
      </c>
      <c r="Q251" s="2" t="s">
        <v>11</v>
      </c>
      <c r="R251" s="2" t="s">
        <v>244</v>
      </c>
      <c r="T251" s="2" t="s">
        <v>1367</v>
      </c>
      <c r="U251" s="3">
        <v>3</v>
      </c>
      <c r="V251" s="3">
        <v>3</v>
      </c>
      <c r="W251" s="4" t="s">
        <v>2086</v>
      </c>
      <c r="X251" s="4" t="s">
        <v>2086</v>
      </c>
      <c r="Y251" s="4" t="s">
        <v>3137</v>
      </c>
      <c r="Z251" s="4" t="s">
        <v>3443</v>
      </c>
      <c r="AA251" s="3">
        <v>2089</v>
      </c>
      <c r="AB251" s="3">
        <v>1981</v>
      </c>
      <c r="AC251" s="3">
        <v>1989</v>
      </c>
      <c r="AD251" s="3">
        <v>15</v>
      </c>
      <c r="AE251" s="7">
        <v>15</v>
      </c>
      <c r="AF251" s="7">
        <v>72</v>
      </c>
      <c r="AG251" s="7">
        <v>72</v>
      </c>
      <c r="AH251" s="3">
        <v>20</v>
      </c>
      <c r="AI251" s="3">
        <v>20</v>
      </c>
      <c r="AJ251" s="3">
        <v>8</v>
      </c>
      <c r="AK251" s="3">
        <v>8</v>
      </c>
      <c r="AL251" s="3">
        <v>24</v>
      </c>
      <c r="AM251" s="3">
        <v>24</v>
      </c>
      <c r="AN251" s="3">
        <v>8</v>
      </c>
      <c r="AO251" s="3">
        <v>8</v>
      </c>
      <c r="AP251" s="3">
        <v>24</v>
      </c>
      <c r="AQ251" s="3">
        <v>24</v>
      </c>
      <c r="AR251" s="2" t="s">
        <v>5</v>
      </c>
      <c r="AS251" s="2" t="s">
        <v>16</v>
      </c>
      <c r="AT251" s="5" t="str">
        <f>HYPERLINK("http://catalog.hathitrust.org/Record/000838049","HathiTrust Record")</f>
        <v>HathiTrust Record</v>
      </c>
      <c r="AU251" s="5" t="str">
        <f>HYPERLINK("https://creighton-primo.hosted.exlibrisgroup.com/primo-explore/search?tab=default_tab&amp;search_scope=EVERYTHING&amp;vid=01CRU&amp;lang=en_US&amp;offset=0&amp;query=any,contains,991001031849702656","Catalog Record")</f>
        <v>Catalog Record</v>
      </c>
      <c r="AV251" s="5" t="str">
        <f>HYPERLINK("http://www.worldcat.org/oclc/15519342","WorldCat Record")</f>
        <v>WorldCat Record</v>
      </c>
      <c r="AW251" s="2" t="s">
        <v>3444</v>
      </c>
      <c r="AX251" s="2" t="s">
        <v>3445</v>
      </c>
      <c r="AY251" s="2" t="s">
        <v>3446</v>
      </c>
      <c r="AZ251" s="2" t="s">
        <v>3446</v>
      </c>
      <c r="BA251" s="2" t="s">
        <v>3447</v>
      </c>
      <c r="BB251" s="2" t="s">
        <v>21</v>
      </c>
      <c r="BD251" s="2" t="s">
        <v>3448</v>
      </c>
      <c r="BE251" s="2" t="s">
        <v>3449</v>
      </c>
      <c r="BF251" s="2" t="s">
        <v>3450</v>
      </c>
    </row>
    <row r="252" spans="1:58" ht="39.75" customHeight="1" x14ac:dyDescent="0.25">
      <c r="A252" s="1"/>
      <c r="B252" s="1" t="s">
        <v>0</v>
      </c>
      <c r="C252" s="1" t="s">
        <v>1</v>
      </c>
      <c r="D252" s="1" t="s">
        <v>3451</v>
      </c>
      <c r="E252" s="1" t="s">
        <v>3452</v>
      </c>
      <c r="F252" s="1" t="s">
        <v>3453</v>
      </c>
      <c r="H252" s="2" t="s">
        <v>5</v>
      </c>
      <c r="I252" s="2" t="s">
        <v>6</v>
      </c>
      <c r="J252" s="2" t="s">
        <v>16</v>
      </c>
      <c r="K252" s="2" t="s">
        <v>16</v>
      </c>
      <c r="L252" s="2" t="s">
        <v>7</v>
      </c>
      <c r="M252" s="1" t="s">
        <v>3454</v>
      </c>
      <c r="N252" s="1" t="s">
        <v>3455</v>
      </c>
      <c r="O252" s="2" t="s">
        <v>259</v>
      </c>
      <c r="Q252" s="2" t="s">
        <v>11</v>
      </c>
      <c r="R252" s="2" t="s">
        <v>76</v>
      </c>
      <c r="T252" s="2" t="s">
        <v>1367</v>
      </c>
      <c r="U252" s="3">
        <v>2</v>
      </c>
      <c r="V252" s="3">
        <v>16</v>
      </c>
      <c r="W252" s="4" t="s">
        <v>3310</v>
      </c>
      <c r="X252" s="4" t="s">
        <v>3310</v>
      </c>
      <c r="Y252" s="4" t="s">
        <v>852</v>
      </c>
      <c r="Z252" s="4" t="s">
        <v>852</v>
      </c>
      <c r="AA252" s="3">
        <v>1247</v>
      </c>
      <c r="AB252" s="3">
        <v>1184</v>
      </c>
      <c r="AC252" s="3">
        <v>1306</v>
      </c>
      <c r="AD252" s="3">
        <v>10</v>
      </c>
      <c r="AE252" s="7">
        <v>10</v>
      </c>
      <c r="AF252" s="7">
        <v>60</v>
      </c>
      <c r="AG252" s="7">
        <v>60</v>
      </c>
      <c r="AH252" s="3">
        <v>15</v>
      </c>
      <c r="AI252" s="3">
        <v>15</v>
      </c>
      <c r="AJ252" s="3">
        <v>8</v>
      </c>
      <c r="AK252" s="3">
        <v>8</v>
      </c>
      <c r="AL252" s="3">
        <v>19</v>
      </c>
      <c r="AM252" s="3">
        <v>19</v>
      </c>
      <c r="AN252" s="3">
        <v>6</v>
      </c>
      <c r="AO252" s="3">
        <v>6</v>
      </c>
      <c r="AP252" s="3">
        <v>21</v>
      </c>
      <c r="AQ252" s="3">
        <v>21</v>
      </c>
      <c r="AR252" s="2" t="s">
        <v>5</v>
      </c>
      <c r="AS252" s="2" t="s">
        <v>16</v>
      </c>
      <c r="AT252" s="5" t="str">
        <f>HYPERLINK("http://catalog.hathitrust.org/Record/000947113","HathiTrust Record")</f>
        <v>HathiTrust Record</v>
      </c>
      <c r="AU252" s="5" t="str">
        <f>HYPERLINK("https://creighton-primo.hosted.exlibrisgroup.com/primo-explore/search?tab=default_tab&amp;search_scope=EVERYTHING&amp;vid=01CRU&amp;lang=en_US&amp;offset=0&amp;query=any,contains,991001638859702656","Catalog Record")</f>
        <v>Catalog Record</v>
      </c>
      <c r="AV252" s="5" t="str">
        <f>HYPERLINK("http://www.worldcat.org/oclc/17763894","WorldCat Record")</f>
        <v>WorldCat Record</v>
      </c>
      <c r="AW252" s="2" t="s">
        <v>3456</v>
      </c>
      <c r="AX252" s="2" t="s">
        <v>3457</v>
      </c>
      <c r="AY252" s="2" t="s">
        <v>3458</v>
      </c>
      <c r="AZ252" s="2" t="s">
        <v>3458</v>
      </c>
      <c r="BA252" s="2" t="s">
        <v>3459</v>
      </c>
      <c r="BB252" s="2" t="s">
        <v>21</v>
      </c>
      <c r="BD252" s="2" t="s">
        <v>3460</v>
      </c>
      <c r="BE252" s="2" t="s">
        <v>3461</v>
      </c>
      <c r="BF252" s="2" t="s">
        <v>3462</v>
      </c>
    </row>
    <row r="253" spans="1:58" ht="39.75" customHeight="1" x14ac:dyDescent="0.25">
      <c r="A253" s="1"/>
      <c r="B253" s="1" t="s">
        <v>0</v>
      </c>
      <c r="C253" s="1" t="s">
        <v>1</v>
      </c>
      <c r="D253" s="1" t="s">
        <v>3463</v>
      </c>
      <c r="E253" s="1" t="s">
        <v>3464</v>
      </c>
      <c r="F253" s="1" t="s">
        <v>3465</v>
      </c>
      <c r="H253" s="2" t="s">
        <v>5</v>
      </c>
      <c r="I253" s="2" t="s">
        <v>6</v>
      </c>
      <c r="J253" s="2" t="s">
        <v>16</v>
      </c>
      <c r="K253" s="2" t="s">
        <v>5</v>
      </c>
      <c r="L253" s="2" t="s">
        <v>7</v>
      </c>
      <c r="N253" s="1" t="s">
        <v>3466</v>
      </c>
      <c r="O253" s="2" t="s">
        <v>1745</v>
      </c>
      <c r="Q253" s="2" t="s">
        <v>11</v>
      </c>
      <c r="R253" s="2" t="s">
        <v>3467</v>
      </c>
      <c r="T253" s="2" t="s">
        <v>1367</v>
      </c>
      <c r="U253" s="3">
        <v>2</v>
      </c>
      <c r="V253" s="3">
        <v>2</v>
      </c>
      <c r="W253" s="4" t="s">
        <v>3468</v>
      </c>
      <c r="X253" s="4" t="s">
        <v>3468</v>
      </c>
      <c r="Y253" s="4" t="s">
        <v>3469</v>
      </c>
      <c r="Z253" s="4" t="s">
        <v>3469</v>
      </c>
      <c r="AA253" s="3">
        <v>353</v>
      </c>
      <c r="AB253" s="3">
        <v>314</v>
      </c>
      <c r="AC253" s="3">
        <v>321</v>
      </c>
      <c r="AD253" s="3">
        <v>3</v>
      </c>
      <c r="AE253" s="7">
        <v>3</v>
      </c>
      <c r="AF253" s="7">
        <v>27</v>
      </c>
      <c r="AG253" s="7">
        <v>27</v>
      </c>
      <c r="AH253" s="3">
        <v>4</v>
      </c>
      <c r="AI253" s="3">
        <v>4</v>
      </c>
      <c r="AJ253" s="3">
        <v>4</v>
      </c>
      <c r="AK253" s="3">
        <v>4</v>
      </c>
      <c r="AL253" s="3">
        <v>8</v>
      </c>
      <c r="AM253" s="3">
        <v>8</v>
      </c>
      <c r="AN253" s="3">
        <v>0</v>
      </c>
      <c r="AO253" s="3">
        <v>0</v>
      </c>
      <c r="AP253" s="3">
        <v>16</v>
      </c>
      <c r="AQ253" s="3">
        <v>16</v>
      </c>
      <c r="AR253" s="2" t="s">
        <v>5</v>
      </c>
      <c r="AS253" s="2" t="s">
        <v>16</v>
      </c>
      <c r="AT253" s="5" t="str">
        <f>HYPERLINK("http://catalog.hathitrust.org/Record/002788360","HathiTrust Record")</f>
        <v>HathiTrust Record</v>
      </c>
      <c r="AU253" s="5" t="str">
        <f>HYPERLINK("https://creighton-primo.hosted.exlibrisgroup.com/primo-explore/search?tab=default_tab&amp;search_scope=EVERYTHING&amp;vid=01CRU&amp;lang=en_US&amp;offset=0&amp;query=any,contains,991001659809702656","Catalog Record")</f>
        <v>Catalog Record</v>
      </c>
      <c r="AV253" s="5" t="str">
        <f>HYPERLINK("http://www.worldcat.org/oclc/28665493","WorldCat Record")</f>
        <v>WorldCat Record</v>
      </c>
      <c r="AW253" s="2" t="s">
        <v>3470</v>
      </c>
      <c r="AX253" s="2" t="s">
        <v>3471</v>
      </c>
      <c r="AY253" s="2" t="s">
        <v>3472</v>
      </c>
      <c r="AZ253" s="2" t="s">
        <v>3472</v>
      </c>
      <c r="BA253" s="2" t="s">
        <v>3473</v>
      </c>
      <c r="BB253" s="2" t="s">
        <v>21</v>
      </c>
      <c r="BD253" s="2" t="s">
        <v>3474</v>
      </c>
      <c r="BE253" s="2" t="s">
        <v>3475</v>
      </c>
      <c r="BF253" s="2" t="s">
        <v>3476</v>
      </c>
    </row>
    <row r="254" spans="1:58" ht="39.75" customHeight="1" x14ac:dyDescent="0.25">
      <c r="A254" s="1"/>
      <c r="B254" s="1" t="s">
        <v>0</v>
      </c>
      <c r="C254" s="1" t="s">
        <v>1</v>
      </c>
      <c r="D254" s="1" t="s">
        <v>3477</v>
      </c>
      <c r="E254" s="1" t="s">
        <v>3478</v>
      </c>
      <c r="F254" s="1" t="s">
        <v>3479</v>
      </c>
      <c r="H254" s="2" t="s">
        <v>5</v>
      </c>
      <c r="I254" s="2" t="s">
        <v>6</v>
      </c>
      <c r="J254" s="2" t="s">
        <v>16</v>
      </c>
      <c r="K254" s="2" t="s">
        <v>5</v>
      </c>
      <c r="L254" s="2" t="s">
        <v>7</v>
      </c>
      <c r="M254" s="1" t="s">
        <v>3480</v>
      </c>
      <c r="N254" s="1" t="s">
        <v>3481</v>
      </c>
      <c r="O254" s="2" t="s">
        <v>586</v>
      </c>
      <c r="Q254" s="2" t="s">
        <v>11</v>
      </c>
      <c r="R254" s="2" t="s">
        <v>76</v>
      </c>
      <c r="T254" s="2" t="s">
        <v>1367</v>
      </c>
      <c r="U254" s="3">
        <v>2</v>
      </c>
      <c r="V254" s="3">
        <v>3</v>
      </c>
      <c r="W254" s="4" t="s">
        <v>3482</v>
      </c>
      <c r="X254" s="4" t="s">
        <v>3483</v>
      </c>
      <c r="Y254" s="4" t="s">
        <v>3484</v>
      </c>
      <c r="Z254" s="4" t="s">
        <v>3484</v>
      </c>
      <c r="AA254" s="3">
        <v>437</v>
      </c>
      <c r="AB254" s="3">
        <v>380</v>
      </c>
      <c r="AC254" s="3">
        <v>385</v>
      </c>
      <c r="AD254" s="3">
        <v>4</v>
      </c>
      <c r="AE254" s="7">
        <v>4</v>
      </c>
      <c r="AF254" s="7">
        <v>38</v>
      </c>
      <c r="AG254" s="7">
        <v>38</v>
      </c>
      <c r="AH254" s="3">
        <v>9</v>
      </c>
      <c r="AI254" s="3">
        <v>9</v>
      </c>
      <c r="AJ254" s="3">
        <v>6</v>
      </c>
      <c r="AK254" s="3">
        <v>6</v>
      </c>
      <c r="AL254" s="3">
        <v>10</v>
      </c>
      <c r="AM254" s="3">
        <v>10</v>
      </c>
      <c r="AN254" s="3">
        <v>1</v>
      </c>
      <c r="AO254" s="3">
        <v>1</v>
      </c>
      <c r="AP254" s="3">
        <v>20</v>
      </c>
      <c r="AQ254" s="3">
        <v>20</v>
      </c>
      <c r="AR254" s="2" t="s">
        <v>5</v>
      </c>
      <c r="AS254" s="2" t="s">
        <v>5</v>
      </c>
      <c r="AU254" s="5" t="str">
        <f>HYPERLINK("https://creighton-primo.hosted.exlibrisgroup.com/primo-explore/search?tab=default_tab&amp;search_scope=EVERYTHING&amp;vid=01CRU&amp;lang=en_US&amp;offset=0&amp;query=any,contains,991001668379702656","Catalog Record")</f>
        <v>Catalog Record</v>
      </c>
      <c r="AV254" s="5" t="str">
        <f>HYPERLINK("http://www.worldcat.org/oclc/32970607","WorldCat Record")</f>
        <v>WorldCat Record</v>
      </c>
      <c r="AW254" s="2" t="s">
        <v>3485</v>
      </c>
      <c r="AX254" s="2" t="s">
        <v>3486</v>
      </c>
      <c r="AY254" s="2" t="s">
        <v>3487</v>
      </c>
      <c r="AZ254" s="2" t="s">
        <v>3487</v>
      </c>
      <c r="BA254" s="2" t="s">
        <v>3488</v>
      </c>
      <c r="BB254" s="2" t="s">
        <v>21</v>
      </c>
      <c r="BD254" s="2" t="s">
        <v>3489</v>
      </c>
      <c r="BE254" s="2" t="s">
        <v>3490</v>
      </c>
      <c r="BF254" s="2" t="s">
        <v>3491</v>
      </c>
    </row>
    <row r="255" spans="1:58" ht="39.75" customHeight="1" x14ac:dyDescent="0.25">
      <c r="A255" s="1"/>
      <c r="B255" s="1" t="s">
        <v>0</v>
      </c>
      <c r="C255" s="1" t="s">
        <v>1</v>
      </c>
      <c r="D255" s="1" t="s">
        <v>3492</v>
      </c>
      <c r="E255" s="1" t="s">
        <v>3493</v>
      </c>
      <c r="F255" s="1" t="s">
        <v>3494</v>
      </c>
      <c r="H255" s="2" t="s">
        <v>5</v>
      </c>
      <c r="I255" s="2" t="s">
        <v>6</v>
      </c>
      <c r="J255" s="2" t="s">
        <v>16</v>
      </c>
      <c r="K255" s="2" t="s">
        <v>5</v>
      </c>
      <c r="L255" s="2" t="s">
        <v>7</v>
      </c>
      <c r="N255" s="1" t="s">
        <v>889</v>
      </c>
      <c r="O255" s="2" t="s">
        <v>305</v>
      </c>
      <c r="Q255" s="2" t="s">
        <v>11</v>
      </c>
      <c r="R255" s="2" t="s">
        <v>153</v>
      </c>
      <c r="T255" s="2" t="s">
        <v>1367</v>
      </c>
      <c r="U255" s="3">
        <v>2</v>
      </c>
      <c r="V255" s="3">
        <v>3</v>
      </c>
      <c r="W255" s="4" t="s">
        <v>262</v>
      </c>
      <c r="X255" s="4" t="s">
        <v>262</v>
      </c>
      <c r="Y255" s="4" t="s">
        <v>3495</v>
      </c>
      <c r="Z255" s="4" t="s">
        <v>3495</v>
      </c>
      <c r="AA255" s="3">
        <v>474</v>
      </c>
      <c r="AB255" s="3">
        <v>408</v>
      </c>
      <c r="AC255" s="3">
        <v>1100</v>
      </c>
      <c r="AD255" s="3">
        <v>6</v>
      </c>
      <c r="AE255" s="7">
        <v>34</v>
      </c>
      <c r="AF255" s="7">
        <v>38</v>
      </c>
      <c r="AG255" s="7">
        <v>67</v>
      </c>
      <c r="AH255" s="3">
        <v>6</v>
      </c>
      <c r="AI255" s="3">
        <v>16</v>
      </c>
      <c r="AJ255" s="3">
        <v>4</v>
      </c>
      <c r="AK255" s="3">
        <v>8</v>
      </c>
      <c r="AL255" s="3">
        <v>7</v>
      </c>
      <c r="AM255" s="3">
        <v>15</v>
      </c>
      <c r="AN255" s="3">
        <v>3</v>
      </c>
      <c r="AO255" s="3">
        <v>13</v>
      </c>
      <c r="AP255" s="3">
        <v>23</v>
      </c>
      <c r="AQ255" s="3">
        <v>23</v>
      </c>
      <c r="AR255" s="2" t="s">
        <v>5</v>
      </c>
      <c r="AS255" s="2" t="s">
        <v>5</v>
      </c>
      <c r="AU255" s="5" t="str">
        <f>HYPERLINK("https://creighton-primo.hosted.exlibrisgroup.com/primo-explore/search?tab=default_tab&amp;search_scope=EVERYTHING&amp;vid=01CRU&amp;lang=en_US&amp;offset=0&amp;query=any,contains,991001663069702656","Catalog Record")</f>
        <v>Catalog Record</v>
      </c>
      <c r="AV255" s="5" t="str">
        <f>HYPERLINK("http://www.worldcat.org/oclc/30734198","WorldCat Record")</f>
        <v>WorldCat Record</v>
      </c>
      <c r="AW255" s="2" t="s">
        <v>3496</v>
      </c>
      <c r="AX255" s="2" t="s">
        <v>3497</v>
      </c>
      <c r="AY255" s="2" t="s">
        <v>3498</v>
      </c>
      <c r="AZ255" s="2" t="s">
        <v>3498</v>
      </c>
      <c r="BA255" s="2" t="s">
        <v>3499</v>
      </c>
      <c r="BB255" s="2" t="s">
        <v>21</v>
      </c>
      <c r="BD255" s="2" t="s">
        <v>3500</v>
      </c>
      <c r="BE255" s="2" t="s">
        <v>3501</v>
      </c>
      <c r="BF255" s="2" t="s">
        <v>3502</v>
      </c>
    </row>
    <row r="256" spans="1:58" ht="39.75" customHeight="1" x14ac:dyDescent="0.25">
      <c r="A256" s="1"/>
      <c r="B256" s="1" t="s">
        <v>0</v>
      </c>
      <c r="C256" s="1" t="s">
        <v>1</v>
      </c>
      <c r="D256" s="1" t="s">
        <v>3503</v>
      </c>
      <c r="E256" s="1" t="s">
        <v>3504</v>
      </c>
      <c r="F256" s="1" t="s">
        <v>3505</v>
      </c>
      <c r="H256" s="2" t="s">
        <v>5</v>
      </c>
      <c r="I256" s="2" t="s">
        <v>6</v>
      </c>
      <c r="J256" s="2" t="s">
        <v>16</v>
      </c>
      <c r="K256" s="2" t="s">
        <v>5</v>
      </c>
      <c r="L256" s="2" t="s">
        <v>7</v>
      </c>
      <c r="M256" s="1" t="s">
        <v>3506</v>
      </c>
      <c r="N256" s="1" t="s">
        <v>3507</v>
      </c>
      <c r="O256" s="2" t="s">
        <v>500</v>
      </c>
      <c r="Q256" s="2" t="s">
        <v>11</v>
      </c>
      <c r="R256" s="2" t="s">
        <v>501</v>
      </c>
      <c r="S256" s="1" t="s">
        <v>3508</v>
      </c>
      <c r="T256" s="2" t="s">
        <v>1367</v>
      </c>
      <c r="U256" s="3">
        <v>3</v>
      </c>
      <c r="V256" s="3">
        <v>4</v>
      </c>
      <c r="W256" s="4" t="s">
        <v>2086</v>
      </c>
      <c r="X256" s="4" t="s">
        <v>2086</v>
      </c>
      <c r="Y256" s="4" t="s">
        <v>2334</v>
      </c>
      <c r="Z256" s="4" t="s">
        <v>2334</v>
      </c>
      <c r="AA256" s="3">
        <v>1275</v>
      </c>
      <c r="AB256" s="3">
        <v>1140</v>
      </c>
      <c r="AC256" s="3">
        <v>1146</v>
      </c>
      <c r="AD256" s="3">
        <v>9</v>
      </c>
      <c r="AE256" s="7">
        <v>9</v>
      </c>
      <c r="AF256" s="7">
        <v>57</v>
      </c>
      <c r="AG256" s="7">
        <v>57</v>
      </c>
      <c r="AH256" s="3">
        <v>11</v>
      </c>
      <c r="AI256" s="3">
        <v>11</v>
      </c>
      <c r="AJ256" s="3">
        <v>9</v>
      </c>
      <c r="AK256" s="3">
        <v>9</v>
      </c>
      <c r="AL256" s="3">
        <v>18</v>
      </c>
      <c r="AM256" s="3">
        <v>18</v>
      </c>
      <c r="AN256" s="3">
        <v>6</v>
      </c>
      <c r="AO256" s="3">
        <v>6</v>
      </c>
      <c r="AP256" s="3">
        <v>22</v>
      </c>
      <c r="AQ256" s="3">
        <v>22</v>
      </c>
      <c r="AR256" s="2" t="s">
        <v>5</v>
      </c>
      <c r="AS256" s="2" t="s">
        <v>5</v>
      </c>
      <c r="AU256" s="5" t="str">
        <f>HYPERLINK("https://creighton-primo.hosted.exlibrisgroup.com/primo-explore/search?tab=default_tab&amp;search_scope=EVERYTHING&amp;vid=01CRU&amp;lang=en_US&amp;offset=0&amp;query=any,contains,991001784419702656","Catalog Record")</f>
        <v>Catalog Record</v>
      </c>
      <c r="AV256" s="5" t="str">
        <f>HYPERLINK("http://www.worldcat.org/oclc/3516635","WorldCat Record")</f>
        <v>WorldCat Record</v>
      </c>
      <c r="AW256" s="2" t="s">
        <v>3509</v>
      </c>
      <c r="AX256" s="2" t="s">
        <v>3510</v>
      </c>
      <c r="AY256" s="2" t="s">
        <v>3511</v>
      </c>
      <c r="AZ256" s="2" t="s">
        <v>3511</v>
      </c>
      <c r="BA256" s="2" t="s">
        <v>3512</v>
      </c>
      <c r="BB256" s="2" t="s">
        <v>21</v>
      </c>
      <c r="BD256" s="2" t="s">
        <v>3513</v>
      </c>
      <c r="BE256" s="2" t="s">
        <v>3514</v>
      </c>
      <c r="BF256" s="2" t="s">
        <v>3515</v>
      </c>
    </row>
    <row r="257" spans="1:58" ht="39.75" customHeight="1" x14ac:dyDescent="0.25">
      <c r="A257" s="1"/>
      <c r="B257" s="1" t="s">
        <v>0</v>
      </c>
      <c r="C257" s="1" t="s">
        <v>1</v>
      </c>
      <c r="D257" s="1" t="s">
        <v>3516</v>
      </c>
      <c r="E257" s="1" t="s">
        <v>3517</v>
      </c>
      <c r="F257" s="1" t="s">
        <v>3518</v>
      </c>
      <c r="H257" s="2" t="s">
        <v>5</v>
      </c>
      <c r="I257" s="2" t="s">
        <v>6</v>
      </c>
      <c r="J257" s="2" t="s">
        <v>5</v>
      </c>
      <c r="K257" s="2" t="s">
        <v>5</v>
      </c>
      <c r="L257" s="2" t="s">
        <v>7</v>
      </c>
      <c r="M257" s="1" t="s">
        <v>3519</v>
      </c>
      <c r="N257" s="1" t="s">
        <v>3520</v>
      </c>
      <c r="O257" s="2" t="s">
        <v>3521</v>
      </c>
      <c r="Q257" s="2" t="s">
        <v>11</v>
      </c>
      <c r="R257" s="2" t="s">
        <v>1483</v>
      </c>
      <c r="T257" s="2" t="s">
        <v>1367</v>
      </c>
      <c r="U257" s="3">
        <v>4</v>
      </c>
      <c r="V257" s="3">
        <v>4</v>
      </c>
      <c r="W257" s="4" t="s">
        <v>3522</v>
      </c>
      <c r="X257" s="4" t="s">
        <v>3522</v>
      </c>
      <c r="Y257" s="4" t="s">
        <v>2334</v>
      </c>
      <c r="Z257" s="4" t="s">
        <v>2334</v>
      </c>
      <c r="AA257" s="3">
        <v>674</v>
      </c>
      <c r="AB257" s="3">
        <v>604</v>
      </c>
      <c r="AC257" s="3">
        <v>933</v>
      </c>
      <c r="AD257" s="3">
        <v>7</v>
      </c>
      <c r="AE257" s="7">
        <v>7</v>
      </c>
      <c r="AF257" s="7">
        <v>36</v>
      </c>
      <c r="AG257" s="7">
        <v>51</v>
      </c>
      <c r="AH257" s="3">
        <v>7</v>
      </c>
      <c r="AI257" s="3">
        <v>13</v>
      </c>
      <c r="AJ257" s="3">
        <v>7</v>
      </c>
      <c r="AK257" s="3">
        <v>8</v>
      </c>
      <c r="AL257" s="3">
        <v>14</v>
      </c>
      <c r="AM257" s="3">
        <v>16</v>
      </c>
      <c r="AN257" s="3">
        <v>5</v>
      </c>
      <c r="AO257" s="3">
        <v>5</v>
      </c>
      <c r="AP257" s="3">
        <v>9</v>
      </c>
      <c r="AQ257" s="3">
        <v>17</v>
      </c>
      <c r="AR257" s="2" t="s">
        <v>5</v>
      </c>
      <c r="AS257" s="2" t="s">
        <v>16</v>
      </c>
      <c r="AT257" s="5" t="str">
        <f>HYPERLINK("http://catalog.hathitrust.org/Record/001156430","HathiTrust Record")</f>
        <v>HathiTrust Record</v>
      </c>
      <c r="AU257" s="5" t="str">
        <f>HYPERLINK("https://creighton-primo.hosted.exlibrisgroup.com/primo-explore/search?tab=default_tab&amp;search_scope=EVERYTHING&amp;vid=01CRU&amp;lang=en_US&amp;offset=0&amp;query=any,contains,991002867289702656","Catalog Record")</f>
        <v>Catalog Record</v>
      </c>
      <c r="AV257" s="5" t="str">
        <f>HYPERLINK("http://www.worldcat.org/oclc/497158","WorldCat Record")</f>
        <v>WorldCat Record</v>
      </c>
      <c r="AW257" s="2" t="s">
        <v>3523</v>
      </c>
      <c r="AX257" s="2" t="s">
        <v>3524</v>
      </c>
      <c r="AY257" s="2" t="s">
        <v>3525</v>
      </c>
      <c r="AZ257" s="2" t="s">
        <v>3525</v>
      </c>
      <c r="BA257" s="2" t="s">
        <v>3526</v>
      </c>
      <c r="BB257" s="2" t="s">
        <v>21</v>
      </c>
      <c r="BE257" s="2" t="s">
        <v>3527</v>
      </c>
      <c r="BF257" s="2" t="s">
        <v>3528</v>
      </c>
    </row>
    <row r="258" spans="1:58" ht="39.75" customHeight="1" x14ac:dyDescent="0.25">
      <c r="A258" s="1"/>
      <c r="B258" s="1" t="s">
        <v>0</v>
      </c>
      <c r="C258" s="1" t="s">
        <v>1</v>
      </c>
      <c r="D258" s="1" t="s">
        <v>3529</v>
      </c>
      <c r="E258" s="1" t="s">
        <v>3530</v>
      </c>
      <c r="F258" s="1" t="s">
        <v>3531</v>
      </c>
      <c r="H258" s="2" t="s">
        <v>5</v>
      </c>
      <c r="I258" s="2" t="s">
        <v>6</v>
      </c>
      <c r="J258" s="2" t="s">
        <v>16</v>
      </c>
      <c r="K258" s="2" t="s">
        <v>5</v>
      </c>
      <c r="L258" s="2" t="s">
        <v>7</v>
      </c>
      <c r="M258" s="1" t="s">
        <v>3532</v>
      </c>
      <c r="N258" s="1" t="s">
        <v>3533</v>
      </c>
      <c r="O258" s="2" t="s">
        <v>137</v>
      </c>
      <c r="Q258" s="2" t="s">
        <v>11</v>
      </c>
      <c r="R258" s="2" t="s">
        <v>76</v>
      </c>
      <c r="T258" s="2" t="s">
        <v>1367</v>
      </c>
      <c r="U258" s="3">
        <v>2</v>
      </c>
      <c r="V258" s="3">
        <v>3</v>
      </c>
      <c r="W258" s="4" t="s">
        <v>2086</v>
      </c>
      <c r="X258" s="4" t="s">
        <v>2086</v>
      </c>
      <c r="Y258" s="4" t="s">
        <v>445</v>
      </c>
      <c r="Z258" s="4" t="s">
        <v>3534</v>
      </c>
      <c r="AA258" s="3">
        <v>1429</v>
      </c>
      <c r="AB258" s="3">
        <v>1307</v>
      </c>
      <c r="AC258" s="3">
        <v>1317</v>
      </c>
      <c r="AD258" s="3">
        <v>20</v>
      </c>
      <c r="AE258" s="7">
        <v>20</v>
      </c>
      <c r="AF258" s="7">
        <v>62</v>
      </c>
      <c r="AG258" s="7">
        <v>62</v>
      </c>
      <c r="AH258" s="3">
        <v>16</v>
      </c>
      <c r="AI258" s="3">
        <v>16</v>
      </c>
      <c r="AJ258" s="3">
        <v>7</v>
      </c>
      <c r="AK258" s="3">
        <v>7</v>
      </c>
      <c r="AL258" s="3">
        <v>19</v>
      </c>
      <c r="AM258" s="3">
        <v>19</v>
      </c>
      <c r="AN258" s="3">
        <v>14</v>
      </c>
      <c r="AO258" s="3">
        <v>14</v>
      </c>
      <c r="AP258" s="3">
        <v>16</v>
      </c>
      <c r="AQ258" s="3">
        <v>16</v>
      </c>
      <c r="AR258" s="2" t="s">
        <v>5</v>
      </c>
      <c r="AS258" s="2" t="s">
        <v>16</v>
      </c>
      <c r="AT258" s="5" t="str">
        <f>HYPERLINK("http://catalog.hathitrust.org/Record/001142015","HathiTrust Record")</f>
        <v>HathiTrust Record</v>
      </c>
      <c r="AU258" s="5" t="str">
        <f>HYPERLINK("https://creighton-primo.hosted.exlibrisgroup.com/primo-explore/search?tab=default_tab&amp;search_scope=EVERYTHING&amp;vid=01CRU&amp;lang=en_US&amp;offset=0&amp;query=any,contains,991001690429702656","Catalog Record")</f>
        <v>Catalog Record</v>
      </c>
      <c r="AV258" s="5" t="str">
        <f>HYPERLINK("http://www.worldcat.org/oclc/1031217","WorldCat Record")</f>
        <v>WorldCat Record</v>
      </c>
      <c r="AW258" s="2" t="s">
        <v>3535</v>
      </c>
      <c r="AX258" s="2" t="s">
        <v>3536</v>
      </c>
      <c r="AY258" s="2" t="s">
        <v>3537</v>
      </c>
      <c r="AZ258" s="2" t="s">
        <v>3537</v>
      </c>
      <c r="BA258" s="2" t="s">
        <v>3538</v>
      </c>
      <c r="BB258" s="2" t="s">
        <v>21</v>
      </c>
      <c r="BD258" s="2" t="s">
        <v>3539</v>
      </c>
      <c r="BE258" s="2" t="s">
        <v>3540</v>
      </c>
      <c r="BF258" s="2" t="s">
        <v>3541</v>
      </c>
    </row>
    <row r="259" spans="1:58" ht="39.75" customHeight="1" x14ac:dyDescent="0.25">
      <c r="A259" s="1"/>
      <c r="B259" s="1" t="s">
        <v>0</v>
      </c>
      <c r="C259" s="1" t="s">
        <v>1</v>
      </c>
      <c r="D259" s="1" t="s">
        <v>3542</v>
      </c>
      <c r="E259" s="1" t="s">
        <v>3543</v>
      </c>
      <c r="F259" s="1" t="s">
        <v>3544</v>
      </c>
      <c r="H259" s="2" t="s">
        <v>5</v>
      </c>
      <c r="I259" s="2" t="s">
        <v>6</v>
      </c>
      <c r="J259" s="2" t="s">
        <v>5</v>
      </c>
      <c r="K259" s="2" t="s">
        <v>5</v>
      </c>
      <c r="L259" s="2" t="s">
        <v>7</v>
      </c>
      <c r="M259" s="1" t="s">
        <v>3545</v>
      </c>
      <c r="N259" s="1" t="s">
        <v>3546</v>
      </c>
      <c r="O259" s="2" t="s">
        <v>1184</v>
      </c>
      <c r="Q259" s="2" t="s">
        <v>11</v>
      </c>
      <c r="R259" s="2" t="s">
        <v>76</v>
      </c>
      <c r="S259" s="1" t="s">
        <v>3547</v>
      </c>
      <c r="T259" s="2" t="s">
        <v>1367</v>
      </c>
      <c r="U259" s="3">
        <v>2</v>
      </c>
      <c r="V259" s="3">
        <v>2</v>
      </c>
      <c r="W259" s="4" t="s">
        <v>3548</v>
      </c>
      <c r="X259" s="4" t="s">
        <v>3548</v>
      </c>
      <c r="Y259" s="4" t="s">
        <v>3549</v>
      </c>
      <c r="Z259" s="4" t="s">
        <v>3549</v>
      </c>
      <c r="AA259" s="3">
        <v>424</v>
      </c>
      <c r="AB259" s="3">
        <v>396</v>
      </c>
      <c r="AC259" s="3">
        <v>608</v>
      </c>
      <c r="AD259" s="3">
        <v>3</v>
      </c>
      <c r="AE259" s="7">
        <v>5</v>
      </c>
      <c r="AF259" s="7">
        <v>26</v>
      </c>
      <c r="AG259" s="7">
        <v>33</v>
      </c>
      <c r="AH259" s="3">
        <v>8</v>
      </c>
      <c r="AI259" s="3">
        <v>11</v>
      </c>
      <c r="AJ259" s="3">
        <v>9</v>
      </c>
      <c r="AK259" s="3">
        <v>10</v>
      </c>
      <c r="AL259" s="3">
        <v>14</v>
      </c>
      <c r="AM259" s="3">
        <v>15</v>
      </c>
      <c r="AN259" s="3">
        <v>2</v>
      </c>
      <c r="AO259" s="3">
        <v>4</v>
      </c>
      <c r="AP259" s="3">
        <v>1</v>
      </c>
      <c r="AQ259" s="3">
        <v>1</v>
      </c>
      <c r="AR259" s="2" t="s">
        <v>5</v>
      </c>
      <c r="AS259" s="2" t="s">
        <v>16</v>
      </c>
      <c r="AT259" s="5" t="str">
        <f>HYPERLINK("http://catalog.hathitrust.org/Record/001151947","HathiTrust Record")</f>
        <v>HathiTrust Record</v>
      </c>
      <c r="AU259" s="5" t="str">
        <f>HYPERLINK("https://creighton-primo.hosted.exlibrisgroup.com/primo-explore/search?tab=default_tab&amp;search_scope=EVERYTHING&amp;vid=01CRU&amp;lang=en_US&amp;offset=0&amp;query=any,contains,991000005189702656","Catalog Record")</f>
        <v>Catalog Record</v>
      </c>
      <c r="AV259" s="5" t="str">
        <f>HYPERLINK("http://www.worldcat.org/oclc/13041","WorldCat Record")</f>
        <v>WorldCat Record</v>
      </c>
      <c r="AW259" s="2" t="s">
        <v>3550</v>
      </c>
      <c r="AX259" s="2" t="s">
        <v>3551</v>
      </c>
      <c r="AY259" s="2" t="s">
        <v>3552</v>
      </c>
      <c r="AZ259" s="2" t="s">
        <v>3552</v>
      </c>
      <c r="BA259" s="2" t="s">
        <v>3553</v>
      </c>
      <c r="BB259" s="2" t="s">
        <v>21</v>
      </c>
      <c r="BE259" s="2" t="s">
        <v>3554</v>
      </c>
      <c r="BF259" s="2" t="s">
        <v>3555</v>
      </c>
    </row>
    <row r="260" spans="1:58" ht="39.75" customHeight="1" x14ac:dyDescent="0.25">
      <c r="A260" s="1"/>
      <c r="B260" s="1" t="s">
        <v>0</v>
      </c>
      <c r="C260" s="1" t="s">
        <v>1</v>
      </c>
      <c r="D260" s="1" t="s">
        <v>3556</v>
      </c>
      <c r="E260" s="1" t="s">
        <v>3557</v>
      </c>
      <c r="F260" s="1" t="s">
        <v>3558</v>
      </c>
      <c r="H260" s="2" t="s">
        <v>5</v>
      </c>
      <c r="I260" s="2" t="s">
        <v>6</v>
      </c>
      <c r="J260" s="2" t="s">
        <v>16</v>
      </c>
      <c r="K260" s="2" t="s">
        <v>16</v>
      </c>
      <c r="L260" s="2" t="s">
        <v>7</v>
      </c>
      <c r="M260" s="1" t="s">
        <v>3559</v>
      </c>
      <c r="N260" s="1" t="s">
        <v>3560</v>
      </c>
      <c r="O260" s="2" t="s">
        <v>213</v>
      </c>
      <c r="P260" s="1" t="s">
        <v>2747</v>
      </c>
      <c r="Q260" s="2" t="s">
        <v>11</v>
      </c>
      <c r="R260" s="2" t="s">
        <v>76</v>
      </c>
      <c r="T260" s="2" t="s">
        <v>1367</v>
      </c>
      <c r="U260" s="3">
        <v>2</v>
      </c>
      <c r="V260" s="3">
        <v>2</v>
      </c>
      <c r="W260" s="4" t="s">
        <v>3561</v>
      </c>
      <c r="X260" s="4" t="s">
        <v>3561</v>
      </c>
      <c r="Y260" s="4" t="s">
        <v>2334</v>
      </c>
      <c r="Z260" s="4" t="s">
        <v>3562</v>
      </c>
      <c r="AA260" s="3">
        <v>585</v>
      </c>
      <c r="AB260" s="3">
        <v>485</v>
      </c>
      <c r="AC260" s="3">
        <v>1813</v>
      </c>
      <c r="AD260" s="3">
        <v>3</v>
      </c>
      <c r="AE260" s="7">
        <v>14</v>
      </c>
      <c r="AF260" s="7">
        <v>26</v>
      </c>
      <c r="AG260" s="7">
        <v>81</v>
      </c>
      <c r="AH260" s="3">
        <v>5</v>
      </c>
      <c r="AI260" s="3">
        <v>26</v>
      </c>
      <c r="AJ260" s="3">
        <v>3</v>
      </c>
      <c r="AK260" s="3">
        <v>10</v>
      </c>
      <c r="AL260" s="3">
        <v>4</v>
      </c>
      <c r="AM260" s="3">
        <v>24</v>
      </c>
      <c r="AN260" s="3">
        <v>1</v>
      </c>
      <c r="AO260" s="3">
        <v>10</v>
      </c>
      <c r="AP260" s="3">
        <v>16</v>
      </c>
      <c r="AQ260" s="3">
        <v>24</v>
      </c>
      <c r="AR260" s="2" t="s">
        <v>5</v>
      </c>
      <c r="AS260" s="2" t="s">
        <v>16</v>
      </c>
      <c r="AT260" s="5" t="str">
        <f>HYPERLINK("http://catalog.hathitrust.org/Record/009493313","HathiTrust Record")</f>
        <v>HathiTrust Record</v>
      </c>
      <c r="AU260" s="5" t="str">
        <f>HYPERLINK("https://creighton-primo.hosted.exlibrisgroup.com/primo-explore/search?tab=default_tab&amp;search_scope=EVERYTHING&amp;vid=01CRU&amp;lang=en_US&amp;offset=0&amp;query=any,contains,991001657419702656","Catalog Record")</f>
        <v>Catalog Record</v>
      </c>
      <c r="AV260" s="5" t="str">
        <f>HYPERLINK("http://www.worldcat.org/oclc/2832427","WorldCat Record")</f>
        <v>WorldCat Record</v>
      </c>
      <c r="AW260" s="2" t="s">
        <v>3563</v>
      </c>
      <c r="AX260" s="2" t="s">
        <v>3564</v>
      </c>
      <c r="AY260" s="2" t="s">
        <v>3565</v>
      </c>
      <c r="AZ260" s="2" t="s">
        <v>3565</v>
      </c>
      <c r="BA260" s="2" t="s">
        <v>3566</v>
      </c>
      <c r="BB260" s="2" t="s">
        <v>21</v>
      </c>
      <c r="BD260" s="2" t="s">
        <v>3567</v>
      </c>
      <c r="BE260" s="2" t="s">
        <v>3568</v>
      </c>
      <c r="BF260" s="2" t="s">
        <v>3569</v>
      </c>
    </row>
    <row r="261" spans="1:58" ht="39.75" customHeight="1" x14ac:dyDescent="0.25">
      <c r="A261" s="1"/>
      <c r="B261" s="1" t="s">
        <v>0</v>
      </c>
      <c r="C261" s="1" t="s">
        <v>1</v>
      </c>
      <c r="D261" s="1" t="s">
        <v>3570</v>
      </c>
      <c r="E261" s="1" t="s">
        <v>3571</v>
      </c>
      <c r="F261" s="1" t="s">
        <v>3572</v>
      </c>
      <c r="H261" s="2" t="s">
        <v>5</v>
      </c>
      <c r="I261" s="2" t="s">
        <v>6</v>
      </c>
      <c r="J261" s="2" t="s">
        <v>16</v>
      </c>
      <c r="K261" s="2" t="s">
        <v>5</v>
      </c>
      <c r="L261" s="2" t="s">
        <v>7</v>
      </c>
      <c r="M261" s="1" t="s">
        <v>3573</v>
      </c>
      <c r="N261" s="1" t="s">
        <v>3574</v>
      </c>
      <c r="O261" s="2" t="s">
        <v>75</v>
      </c>
      <c r="Q261" s="2" t="s">
        <v>11</v>
      </c>
      <c r="R261" s="2" t="s">
        <v>76</v>
      </c>
      <c r="T261" s="2" t="s">
        <v>1367</v>
      </c>
      <c r="U261" s="3">
        <v>7</v>
      </c>
      <c r="V261" s="3">
        <v>7</v>
      </c>
      <c r="W261" s="4" t="s">
        <v>3575</v>
      </c>
      <c r="X261" s="4" t="s">
        <v>3575</v>
      </c>
      <c r="Y261" s="4" t="s">
        <v>2334</v>
      </c>
      <c r="Z261" s="4" t="s">
        <v>2334</v>
      </c>
      <c r="AA261" s="3">
        <v>1180</v>
      </c>
      <c r="AB261" s="3">
        <v>1027</v>
      </c>
      <c r="AC261" s="3">
        <v>1039</v>
      </c>
      <c r="AD261" s="3">
        <v>8</v>
      </c>
      <c r="AE261" s="7">
        <v>8</v>
      </c>
      <c r="AF261" s="7">
        <v>44</v>
      </c>
      <c r="AG261" s="7">
        <v>44</v>
      </c>
      <c r="AH261" s="3">
        <v>11</v>
      </c>
      <c r="AI261" s="3">
        <v>11</v>
      </c>
      <c r="AJ261" s="3">
        <v>6</v>
      </c>
      <c r="AK261" s="3">
        <v>6</v>
      </c>
      <c r="AL261" s="3">
        <v>16</v>
      </c>
      <c r="AM261" s="3">
        <v>16</v>
      </c>
      <c r="AN261" s="3">
        <v>5</v>
      </c>
      <c r="AO261" s="3">
        <v>5</v>
      </c>
      <c r="AP261" s="3">
        <v>12</v>
      </c>
      <c r="AQ261" s="3">
        <v>12</v>
      </c>
      <c r="AR261" s="2" t="s">
        <v>5</v>
      </c>
      <c r="AS261" s="2" t="s">
        <v>5</v>
      </c>
      <c r="AU261" s="5" t="str">
        <f>HYPERLINK("https://creighton-primo.hosted.exlibrisgroup.com/primo-explore/search?tab=default_tab&amp;search_scope=EVERYTHING&amp;vid=01CRU&amp;lang=en_US&amp;offset=0&amp;query=any,contains,991001739839702656","Catalog Record")</f>
        <v>Catalog Record</v>
      </c>
      <c r="AV261" s="5" t="str">
        <f>HYPERLINK("http://www.worldcat.org/oclc/136821","WorldCat Record")</f>
        <v>WorldCat Record</v>
      </c>
      <c r="AW261" s="2" t="s">
        <v>3576</v>
      </c>
      <c r="AX261" s="2" t="s">
        <v>3577</v>
      </c>
      <c r="AY261" s="2" t="s">
        <v>3578</v>
      </c>
      <c r="AZ261" s="2" t="s">
        <v>3578</v>
      </c>
      <c r="BA261" s="2" t="s">
        <v>3579</v>
      </c>
      <c r="BB261" s="2" t="s">
        <v>21</v>
      </c>
      <c r="BD261" s="2" t="s">
        <v>3580</v>
      </c>
      <c r="BE261" s="2" t="s">
        <v>3581</v>
      </c>
      <c r="BF261" s="2" t="s">
        <v>3582</v>
      </c>
    </row>
    <row r="262" spans="1:58" ht="39.75" customHeight="1" x14ac:dyDescent="0.25">
      <c r="A262" s="1"/>
      <c r="B262" s="1" t="s">
        <v>0</v>
      </c>
      <c r="C262" s="1" t="s">
        <v>1</v>
      </c>
      <c r="D262" s="1" t="s">
        <v>3583</v>
      </c>
      <c r="E262" s="1" t="s">
        <v>3584</v>
      </c>
      <c r="F262" s="1" t="s">
        <v>3585</v>
      </c>
      <c r="H262" s="2" t="s">
        <v>5</v>
      </c>
      <c r="I262" s="2" t="s">
        <v>6</v>
      </c>
      <c r="J262" s="2" t="s">
        <v>16</v>
      </c>
      <c r="K262" s="2" t="s">
        <v>5</v>
      </c>
      <c r="L262" s="2" t="s">
        <v>7</v>
      </c>
      <c r="M262" s="1" t="s">
        <v>3586</v>
      </c>
      <c r="N262" s="1" t="s">
        <v>3587</v>
      </c>
      <c r="O262" s="2" t="s">
        <v>152</v>
      </c>
      <c r="Q262" s="2" t="s">
        <v>11</v>
      </c>
      <c r="R262" s="2" t="s">
        <v>244</v>
      </c>
      <c r="T262" s="2" t="s">
        <v>1367</v>
      </c>
      <c r="U262" s="3">
        <v>2</v>
      </c>
      <c r="V262" s="3">
        <v>2</v>
      </c>
      <c r="W262" s="4" t="s">
        <v>3588</v>
      </c>
      <c r="X262" s="4" t="s">
        <v>3588</v>
      </c>
      <c r="Y262" s="4" t="s">
        <v>3589</v>
      </c>
      <c r="Z262" s="4" t="s">
        <v>3589</v>
      </c>
      <c r="AA262" s="3">
        <v>531</v>
      </c>
      <c r="AB262" s="3">
        <v>502</v>
      </c>
      <c r="AC262" s="3">
        <v>508</v>
      </c>
      <c r="AD262" s="3">
        <v>5</v>
      </c>
      <c r="AE262" s="7">
        <v>5</v>
      </c>
      <c r="AF262" s="7">
        <v>30</v>
      </c>
      <c r="AG262" s="7">
        <v>30</v>
      </c>
      <c r="AH262" s="3">
        <v>5</v>
      </c>
      <c r="AI262" s="3">
        <v>5</v>
      </c>
      <c r="AJ262" s="3">
        <v>5</v>
      </c>
      <c r="AK262" s="3">
        <v>5</v>
      </c>
      <c r="AL262" s="3">
        <v>9</v>
      </c>
      <c r="AM262" s="3">
        <v>9</v>
      </c>
      <c r="AN262" s="3">
        <v>3</v>
      </c>
      <c r="AO262" s="3">
        <v>3</v>
      </c>
      <c r="AP262" s="3">
        <v>12</v>
      </c>
      <c r="AQ262" s="3">
        <v>12</v>
      </c>
      <c r="AR262" s="2" t="s">
        <v>5</v>
      </c>
      <c r="AS262" s="2" t="s">
        <v>16</v>
      </c>
      <c r="AT262" s="5" t="str">
        <f>HYPERLINK("http://catalog.hathitrust.org/Record/002053808","HathiTrust Record")</f>
        <v>HathiTrust Record</v>
      </c>
      <c r="AU262" s="5" t="str">
        <f>HYPERLINK("https://creighton-primo.hosted.exlibrisgroup.com/primo-explore/search?tab=default_tab&amp;search_scope=EVERYTHING&amp;vid=01CRU&amp;lang=en_US&amp;offset=0&amp;query=any,contains,991001644339702656","Catalog Record")</f>
        <v>Catalog Record</v>
      </c>
      <c r="AV262" s="5" t="str">
        <f>HYPERLINK("http://www.worldcat.org/oclc/20994905","WorldCat Record")</f>
        <v>WorldCat Record</v>
      </c>
      <c r="AW262" s="2" t="s">
        <v>3590</v>
      </c>
      <c r="AX262" s="2" t="s">
        <v>3591</v>
      </c>
      <c r="AY262" s="2" t="s">
        <v>3592</v>
      </c>
      <c r="AZ262" s="2" t="s">
        <v>3592</v>
      </c>
      <c r="BA262" s="2" t="s">
        <v>3593</v>
      </c>
      <c r="BB262" s="2" t="s">
        <v>21</v>
      </c>
      <c r="BD262" s="2" t="s">
        <v>3594</v>
      </c>
      <c r="BE262" s="2" t="s">
        <v>3595</v>
      </c>
      <c r="BF262" s="2" t="s">
        <v>3596</v>
      </c>
    </row>
    <row r="263" spans="1:58" ht="39.75" customHeight="1" x14ac:dyDescent="0.25">
      <c r="A263" s="1"/>
      <c r="B263" s="1" t="s">
        <v>0</v>
      </c>
      <c r="C263" s="1" t="s">
        <v>1</v>
      </c>
      <c r="D263" s="1" t="s">
        <v>3597</v>
      </c>
      <c r="E263" s="1" t="s">
        <v>3598</v>
      </c>
      <c r="F263" s="1" t="s">
        <v>3599</v>
      </c>
      <c r="H263" s="2" t="s">
        <v>5</v>
      </c>
      <c r="I263" s="2" t="s">
        <v>6</v>
      </c>
      <c r="J263" s="2" t="s">
        <v>5</v>
      </c>
      <c r="K263" s="2" t="s">
        <v>5</v>
      </c>
      <c r="L263" s="2" t="s">
        <v>7</v>
      </c>
      <c r="N263" s="1" t="s">
        <v>3600</v>
      </c>
      <c r="O263" s="2" t="s">
        <v>1745</v>
      </c>
      <c r="Q263" s="2" t="s">
        <v>11</v>
      </c>
      <c r="R263" s="2" t="s">
        <v>260</v>
      </c>
      <c r="S263" s="1" t="s">
        <v>3601</v>
      </c>
      <c r="T263" s="2" t="s">
        <v>1367</v>
      </c>
      <c r="U263" s="3">
        <v>1</v>
      </c>
      <c r="V263" s="3">
        <v>1</v>
      </c>
      <c r="W263" s="4" t="s">
        <v>3602</v>
      </c>
      <c r="X263" s="4" t="s">
        <v>3602</v>
      </c>
      <c r="Y263" s="4" t="s">
        <v>3603</v>
      </c>
      <c r="Z263" s="4" t="s">
        <v>3603</v>
      </c>
      <c r="AA263" s="3">
        <v>464</v>
      </c>
      <c r="AB263" s="3">
        <v>433</v>
      </c>
      <c r="AC263" s="3">
        <v>450</v>
      </c>
      <c r="AD263" s="3">
        <v>3</v>
      </c>
      <c r="AE263" s="7">
        <v>3</v>
      </c>
      <c r="AF263" s="7">
        <v>32</v>
      </c>
      <c r="AG263" s="7">
        <v>32</v>
      </c>
      <c r="AH263" s="3">
        <v>9</v>
      </c>
      <c r="AI263" s="3">
        <v>9</v>
      </c>
      <c r="AJ263" s="3">
        <v>4</v>
      </c>
      <c r="AK263" s="3">
        <v>4</v>
      </c>
      <c r="AL263" s="3">
        <v>11</v>
      </c>
      <c r="AM263" s="3">
        <v>11</v>
      </c>
      <c r="AN263" s="3">
        <v>2</v>
      </c>
      <c r="AO263" s="3">
        <v>2</v>
      </c>
      <c r="AP263" s="3">
        <v>12</v>
      </c>
      <c r="AQ263" s="3">
        <v>12</v>
      </c>
      <c r="AR263" s="2" t="s">
        <v>5</v>
      </c>
      <c r="AS263" s="2" t="s">
        <v>16</v>
      </c>
      <c r="AT263" s="5" t="str">
        <f>HYPERLINK("http://catalog.hathitrust.org/Record/002816124","HathiTrust Record")</f>
        <v>HathiTrust Record</v>
      </c>
      <c r="AU263" s="5" t="str">
        <f>HYPERLINK("https://creighton-primo.hosted.exlibrisgroup.com/primo-explore/search?tab=default_tab&amp;search_scope=EVERYTHING&amp;vid=01CRU&amp;lang=en_US&amp;offset=0&amp;query=any,contains,991002152139702656","Catalog Record")</f>
        <v>Catalog Record</v>
      </c>
      <c r="AV263" s="5" t="str">
        <f>HYPERLINK("http://www.worldcat.org/oclc/27727620","WorldCat Record")</f>
        <v>WorldCat Record</v>
      </c>
      <c r="AW263" s="2" t="s">
        <v>3604</v>
      </c>
      <c r="AX263" s="2" t="s">
        <v>3605</v>
      </c>
      <c r="AY263" s="2" t="s">
        <v>3606</v>
      </c>
      <c r="AZ263" s="2" t="s">
        <v>3606</v>
      </c>
      <c r="BA263" s="2" t="s">
        <v>3607</v>
      </c>
      <c r="BB263" s="2" t="s">
        <v>21</v>
      </c>
      <c r="BD263" s="2" t="s">
        <v>3608</v>
      </c>
      <c r="BE263" s="2" t="s">
        <v>3609</v>
      </c>
      <c r="BF263" s="2" t="s">
        <v>3610</v>
      </c>
    </row>
    <row r="264" spans="1:58" ht="39.75" customHeight="1" x14ac:dyDescent="0.25">
      <c r="A264" s="1"/>
      <c r="B264" s="1" t="s">
        <v>0</v>
      </c>
      <c r="C264" s="1" t="s">
        <v>1</v>
      </c>
      <c r="D264" s="1" t="s">
        <v>3611</v>
      </c>
      <c r="E264" s="1" t="s">
        <v>3612</v>
      </c>
      <c r="F264" s="1" t="s">
        <v>3613</v>
      </c>
      <c r="H264" s="2" t="s">
        <v>5</v>
      </c>
      <c r="I264" s="2" t="s">
        <v>6</v>
      </c>
      <c r="J264" s="2" t="s">
        <v>16</v>
      </c>
      <c r="K264" s="2" t="s">
        <v>5</v>
      </c>
      <c r="L264" s="2" t="s">
        <v>7</v>
      </c>
      <c r="M264" s="1" t="s">
        <v>3614</v>
      </c>
      <c r="N264" s="1" t="s">
        <v>3615</v>
      </c>
      <c r="O264" s="2" t="s">
        <v>184</v>
      </c>
      <c r="Q264" s="2" t="s">
        <v>11</v>
      </c>
      <c r="R264" s="2" t="s">
        <v>306</v>
      </c>
      <c r="T264" s="2" t="s">
        <v>1367</v>
      </c>
      <c r="U264" s="3">
        <v>3</v>
      </c>
      <c r="V264" s="3">
        <v>3</v>
      </c>
      <c r="W264" s="4" t="s">
        <v>3616</v>
      </c>
      <c r="X264" s="4" t="s">
        <v>3616</v>
      </c>
      <c r="Y264" s="4" t="s">
        <v>3617</v>
      </c>
      <c r="Z264" s="4" t="s">
        <v>3618</v>
      </c>
      <c r="AA264" s="3">
        <v>917</v>
      </c>
      <c r="AB264" s="3">
        <v>767</v>
      </c>
      <c r="AC264" s="3">
        <v>770</v>
      </c>
      <c r="AD264" s="3">
        <v>8</v>
      </c>
      <c r="AE264" s="7">
        <v>8</v>
      </c>
      <c r="AF264" s="7">
        <v>55</v>
      </c>
      <c r="AG264" s="7">
        <v>56</v>
      </c>
      <c r="AH264" s="3">
        <v>14</v>
      </c>
      <c r="AI264" s="3">
        <v>15</v>
      </c>
      <c r="AJ264" s="3">
        <v>8</v>
      </c>
      <c r="AK264" s="3">
        <v>8</v>
      </c>
      <c r="AL264" s="3">
        <v>14</v>
      </c>
      <c r="AM264" s="3">
        <v>14</v>
      </c>
      <c r="AN264" s="3">
        <v>5</v>
      </c>
      <c r="AO264" s="3">
        <v>5</v>
      </c>
      <c r="AP264" s="3">
        <v>23</v>
      </c>
      <c r="AQ264" s="3">
        <v>23</v>
      </c>
      <c r="AR264" s="2" t="s">
        <v>5</v>
      </c>
      <c r="AS264" s="2" t="s">
        <v>5</v>
      </c>
      <c r="AU264" s="5" t="str">
        <f>HYPERLINK("https://creighton-primo.hosted.exlibrisgroup.com/primo-explore/search?tab=default_tab&amp;search_scope=EVERYTHING&amp;vid=01CRU&amp;lang=en_US&amp;offset=0&amp;query=any,contains,991001622439702656","Catalog Record")</f>
        <v>Catalog Record</v>
      </c>
      <c r="AV264" s="5" t="str">
        <f>HYPERLINK("http://www.worldcat.org/oclc/8493276","WorldCat Record")</f>
        <v>WorldCat Record</v>
      </c>
      <c r="AW264" s="2" t="s">
        <v>3619</v>
      </c>
      <c r="AX264" s="2" t="s">
        <v>3620</v>
      </c>
      <c r="AY264" s="2" t="s">
        <v>3621</v>
      </c>
      <c r="AZ264" s="2" t="s">
        <v>3621</v>
      </c>
      <c r="BA264" s="2" t="s">
        <v>3622</v>
      </c>
      <c r="BB264" s="2" t="s">
        <v>21</v>
      </c>
      <c r="BD264" s="2" t="s">
        <v>3623</v>
      </c>
      <c r="BE264" s="2" t="s">
        <v>3624</v>
      </c>
      <c r="BF264" s="2" t="s">
        <v>3625</v>
      </c>
    </row>
    <row r="265" spans="1:58" ht="39.75" customHeight="1" x14ac:dyDescent="0.25">
      <c r="A265" s="1"/>
      <c r="B265" s="1" t="s">
        <v>0</v>
      </c>
      <c r="C265" s="1" t="s">
        <v>1</v>
      </c>
      <c r="D265" s="1" t="s">
        <v>3626</v>
      </c>
      <c r="E265" s="1" t="s">
        <v>3627</v>
      </c>
      <c r="F265" s="1" t="s">
        <v>3628</v>
      </c>
      <c r="H265" s="2" t="s">
        <v>5</v>
      </c>
      <c r="I265" s="2" t="s">
        <v>6</v>
      </c>
      <c r="J265" s="2" t="s">
        <v>5</v>
      </c>
      <c r="K265" s="2" t="s">
        <v>5</v>
      </c>
      <c r="L265" s="2" t="s">
        <v>7</v>
      </c>
      <c r="M265" s="1" t="s">
        <v>3629</v>
      </c>
      <c r="N265" s="1" t="s">
        <v>3630</v>
      </c>
      <c r="O265" s="2" t="s">
        <v>75</v>
      </c>
      <c r="Q265" s="2" t="s">
        <v>11</v>
      </c>
      <c r="R265" s="2" t="s">
        <v>903</v>
      </c>
      <c r="S265" s="1" t="s">
        <v>3631</v>
      </c>
      <c r="T265" s="2" t="s">
        <v>1367</v>
      </c>
      <c r="U265" s="3">
        <v>13</v>
      </c>
      <c r="V265" s="3">
        <v>13</v>
      </c>
      <c r="W265" s="4" t="s">
        <v>3632</v>
      </c>
      <c r="X265" s="4" t="s">
        <v>3632</v>
      </c>
      <c r="Y265" s="4" t="s">
        <v>3633</v>
      </c>
      <c r="Z265" s="4" t="s">
        <v>3633</v>
      </c>
      <c r="AA265" s="3">
        <v>388</v>
      </c>
      <c r="AB265" s="3">
        <v>308</v>
      </c>
      <c r="AC265" s="3">
        <v>309</v>
      </c>
      <c r="AD265" s="3">
        <v>4</v>
      </c>
      <c r="AE265" s="7">
        <v>4</v>
      </c>
      <c r="AF265" s="7">
        <v>10</v>
      </c>
      <c r="AG265" s="7">
        <v>10</v>
      </c>
      <c r="AH265" s="3">
        <v>1</v>
      </c>
      <c r="AI265" s="3">
        <v>1</v>
      </c>
      <c r="AJ265" s="3">
        <v>0</v>
      </c>
      <c r="AK265" s="3">
        <v>0</v>
      </c>
      <c r="AL265" s="3">
        <v>2</v>
      </c>
      <c r="AM265" s="3">
        <v>2</v>
      </c>
      <c r="AN265" s="3">
        <v>2</v>
      </c>
      <c r="AO265" s="3">
        <v>2</v>
      </c>
      <c r="AP265" s="3">
        <v>6</v>
      </c>
      <c r="AQ265" s="3">
        <v>6</v>
      </c>
      <c r="AR265" s="2" t="s">
        <v>5</v>
      </c>
      <c r="AS265" s="2" t="s">
        <v>5</v>
      </c>
      <c r="AU265" s="5" t="str">
        <f>HYPERLINK("https://creighton-primo.hosted.exlibrisgroup.com/primo-explore/search?tab=default_tab&amp;search_scope=EVERYTHING&amp;vid=01CRU&amp;lang=en_US&amp;offset=0&amp;query=any,contains,991000908499702656","Catalog Record")</f>
        <v>Catalog Record</v>
      </c>
      <c r="AV265" s="5" t="str">
        <f>HYPERLINK("http://www.worldcat.org/oclc/158695","WorldCat Record")</f>
        <v>WorldCat Record</v>
      </c>
      <c r="AW265" s="2" t="s">
        <v>3634</v>
      </c>
      <c r="AX265" s="2" t="s">
        <v>3635</v>
      </c>
      <c r="AY265" s="2" t="s">
        <v>3636</v>
      </c>
      <c r="AZ265" s="2" t="s">
        <v>3636</v>
      </c>
      <c r="BA265" s="2" t="s">
        <v>3637</v>
      </c>
      <c r="BB265" s="2" t="s">
        <v>21</v>
      </c>
      <c r="BE265" s="2" t="s">
        <v>3638</v>
      </c>
      <c r="BF265" s="2" t="s">
        <v>3639</v>
      </c>
    </row>
    <row r="266" spans="1:58" ht="39.75" customHeight="1" x14ac:dyDescent="0.25">
      <c r="A266" s="1"/>
      <c r="B266" s="1" t="s">
        <v>0</v>
      </c>
      <c r="C266" s="1" t="s">
        <v>1</v>
      </c>
      <c r="D266" s="1" t="s">
        <v>3640</v>
      </c>
      <c r="E266" s="1" t="s">
        <v>3641</v>
      </c>
      <c r="F266" s="1" t="s">
        <v>3642</v>
      </c>
      <c r="H266" s="2" t="s">
        <v>5</v>
      </c>
      <c r="I266" s="2" t="s">
        <v>6</v>
      </c>
      <c r="J266" s="2" t="s">
        <v>5</v>
      </c>
      <c r="K266" s="2" t="s">
        <v>5</v>
      </c>
      <c r="L266" s="2" t="s">
        <v>7</v>
      </c>
      <c r="M266" s="1" t="s">
        <v>3643</v>
      </c>
      <c r="N266" s="1" t="s">
        <v>3644</v>
      </c>
      <c r="O266" s="2" t="s">
        <v>401</v>
      </c>
      <c r="Q266" s="2" t="s">
        <v>11</v>
      </c>
      <c r="R266" s="2" t="s">
        <v>76</v>
      </c>
      <c r="S266" s="1" t="s">
        <v>3645</v>
      </c>
      <c r="T266" s="2" t="s">
        <v>1367</v>
      </c>
      <c r="U266" s="3">
        <v>5</v>
      </c>
      <c r="V266" s="3">
        <v>5</v>
      </c>
      <c r="W266" s="4" t="s">
        <v>3646</v>
      </c>
      <c r="X266" s="4" t="s">
        <v>3646</v>
      </c>
      <c r="Y266" s="4" t="s">
        <v>2334</v>
      </c>
      <c r="Z266" s="4" t="s">
        <v>2334</v>
      </c>
      <c r="AA266" s="3">
        <v>943</v>
      </c>
      <c r="AB266" s="3">
        <v>881</v>
      </c>
      <c r="AC266" s="3">
        <v>1333</v>
      </c>
      <c r="AD266" s="3">
        <v>11</v>
      </c>
      <c r="AE266" s="7">
        <v>14</v>
      </c>
      <c r="AF266" s="7">
        <v>47</v>
      </c>
      <c r="AG266" s="7">
        <v>66</v>
      </c>
      <c r="AH266" s="3">
        <v>9</v>
      </c>
      <c r="AI266" s="3">
        <v>16</v>
      </c>
      <c r="AJ266" s="3">
        <v>5</v>
      </c>
      <c r="AK266" s="3">
        <v>7</v>
      </c>
      <c r="AL266" s="3">
        <v>19</v>
      </c>
      <c r="AM266" s="3">
        <v>22</v>
      </c>
      <c r="AN266" s="3">
        <v>9</v>
      </c>
      <c r="AO266" s="3">
        <v>10</v>
      </c>
      <c r="AP266" s="3">
        <v>13</v>
      </c>
      <c r="AQ266" s="3">
        <v>20</v>
      </c>
      <c r="AR266" s="2" t="s">
        <v>5</v>
      </c>
      <c r="AS266" s="2" t="s">
        <v>16</v>
      </c>
      <c r="AT266" s="5" t="str">
        <f>HYPERLINK("http://catalog.hathitrust.org/Record/001434336","HathiTrust Record")</f>
        <v>HathiTrust Record</v>
      </c>
      <c r="AU266" s="5" t="str">
        <f>HYPERLINK("https://creighton-primo.hosted.exlibrisgroup.com/primo-explore/search?tab=default_tab&amp;search_scope=EVERYTHING&amp;vid=01CRU&amp;lang=en_US&amp;offset=0&amp;query=any,contains,991002806129702656","Catalog Record")</f>
        <v>Catalog Record</v>
      </c>
      <c r="AV266" s="5" t="str">
        <f>HYPERLINK("http://www.worldcat.org/oclc/449666","WorldCat Record")</f>
        <v>WorldCat Record</v>
      </c>
      <c r="AW266" s="2" t="s">
        <v>3647</v>
      </c>
      <c r="AX266" s="2" t="s">
        <v>3648</v>
      </c>
      <c r="AY266" s="2" t="s">
        <v>3649</v>
      </c>
      <c r="AZ266" s="2" t="s">
        <v>3649</v>
      </c>
      <c r="BA266" s="2" t="s">
        <v>3650</v>
      </c>
      <c r="BB266" s="2" t="s">
        <v>21</v>
      </c>
      <c r="BE266" s="2" t="s">
        <v>3651</v>
      </c>
      <c r="BF266" s="2" t="s">
        <v>3652</v>
      </c>
    </row>
    <row r="267" spans="1:58" ht="39.75" customHeight="1" x14ac:dyDescent="0.25">
      <c r="A267" s="1"/>
      <c r="B267" s="1" t="s">
        <v>0</v>
      </c>
      <c r="C267" s="1" t="s">
        <v>1</v>
      </c>
      <c r="D267" s="1" t="s">
        <v>3653</v>
      </c>
      <c r="E267" s="1" t="s">
        <v>3654</v>
      </c>
      <c r="F267" s="1" t="s">
        <v>3655</v>
      </c>
      <c r="H267" s="2" t="s">
        <v>5</v>
      </c>
      <c r="I267" s="2" t="s">
        <v>6</v>
      </c>
      <c r="J267" s="2" t="s">
        <v>5</v>
      </c>
      <c r="K267" s="2" t="s">
        <v>5</v>
      </c>
      <c r="L267" s="2" t="s">
        <v>7</v>
      </c>
      <c r="M267" s="1" t="s">
        <v>3656</v>
      </c>
      <c r="N267" s="1" t="s">
        <v>3657</v>
      </c>
      <c r="O267" s="2" t="s">
        <v>75</v>
      </c>
      <c r="Q267" s="2" t="s">
        <v>11</v>
      </c>
      <c r="R267" s="2" t="s">
        <v>76</v>
      </c>
      <c r="S267" s="1" t="s">
        <v>3658</v>
      </c>
      <c r="T267" s="2" t="s">
        <v>1367</v>
      </c>
      <c r="U267" s="3">
        <v>5</v>
      </c>
      <c r="V267" s="3">
        <v>5</v>
      </c>
      <c r="W267" s="4" t="s">
        <v>3659</v>
      </c>
      <c r="X267" s="4" t="s">
        <v>3659</v>
      </c>
      <c r="Y267" s="4" t="s">
        <v>3660</v>
      </c>
      <c r="Z267" s="4" t="s">
        <v>3660</v>
      </c>
      <c r="AA267" s="3">
        <v>419</v>
      </c>
      <c r="AB267" s="3">
        <v>360</v>
      </c>
      <c r="AC267" s="3">
        <v>572</v>
      </c>
      <c r="AD267" s="3">
        <v>5</v>
      </c>
      <c r="AE267" s="7">
        <v>6</v>
      </c>
      <c r="AF267" s="7">
        <v>21</v>
      </c>
      <c r="AG267" s="7">
        <v>32</v>
      </c>
      <c r="AH267" s="3">
        <v>8</v>
      </c>
      <c r="AI267" s="3">
        <v>11</v>
      </c>
      <c r="AJ267" s="3">
        <v>2</v>
      </c>
      <c r="AK267" s="3">
        <v>3</v>
      </c>
      <c r="AL267" s="3">
        <v>7</v>
      </c>
      <c r="AM267" s="3">
        <v>10</v>
      </c>
      <c r="AN267" s="3">
        <v>3</v>
      </c>
      <c r="AO267" s="3">
        <v>4</v>
      </c>
      <c r="AP267" s="3">
        <v>5</v>
      </c>
      <c r="AQ267" s="3">
        <v>9</v>
      </c>
      <c r="AR267" s="2" t="s">
        <v>5</v>
      </c>
      <c r="AS267" s="2" t="s">
        <v>5</v>
      </c>
      <c r="AU267" s="5" t="str">
        <f>HYPERLINK("https://creighton-primo.hosted.exlibrisgroup.com/primo-explore/search?tab=default_tab&amp;search_scope=EVERYTHING&amp;vid=01CRU&amp;lang=en_US&amp;offset=0&amp;query=any,contains,991000891329702656","Catalog Record")</f>
        <v>Catalog Record</v>
      </c>
      <c r="AV267" s="5" t="str">
        <f>HYPERLINK("http://www.worldcat.org/oclc/154049","WorldCat Record")</f>
        <v>WorldCat Record</v>
      </c>
      <c r="AW267" s="2" t="s">
        <v>3661</v>
      </c>
      <c r="AX267" s="2" t="s">
        <v>3662</v>
      </c>
      <c r="AY267" s="2" t="s">
        <v>3663</v>
      </c>
      <c r="AZ267" s="2" t="s">
        <v>3663</v>
      </c>
      <c r="BA267" s="2" t="s">
        <v>3664</v>
      </c>
      <c r="BB267" s="2" t="s">
        <v>21</v>
      </c>
      <c r="BD267" s="2" t="s">
        <v>3665</v>
      </c>
      <c r="BE267" s="2" t="s">
        <v>3666</v>
      </c>
      <c r="BF267" s="2" t="s">
        <v>3667</v>
      </c>
    </row>
    <row r="268" spans="1:58" ht="39.75" customHeight="1" x14ac:dyDescent="0.25">
      <c r="A268" s="1"/>
      <c r="B268" s="1" t="s">
        <v>0</v>
      </c>
      <c r="C268" s="1" t="s">
        <v>1</v>
      </c>
      <c r="D268" s="1" t="s">
        <v>3668</v>
      </c>
      <c r="E268" s="1" t="s">
        <v>3669</v>
      </c>
      <c r="F268" s="1" t="s">
        <v>3670</v>
      </c>
      <c r="H268" s="2" t="s">
        <v>5</v>
      </c>
      <c r="I268" s="2" t="s">
        <v>6</v>
      </c>
      <c r="J268" s="2" t="s">
        <v>16</v>
      </c>
      <c r="K268" s="2" t="s">
        <v>5</v>
      </c>
      <c r="L268" s="2" t="s">
        <v>7</v>
      </c>
      <c r="M268" s="1" t="s">
        <v>3671</v>
      </c>
      <c r="N268" s="1" t="s">
        <v>3672</v>
      </c>
      <c r="O268" s="2" t="s">
        <v>45</v>
      </c>
      <c r="Q268" s="2" t="s">
        <v>11</v>
      </c>
      <c r="R268" s="2" t="s">
        <v>501</v>
      </c>
      <c r="T268" s="2" t="s">
        <v>1367</v>
      </c>
      <c r="U268" s="3">
        <v>3</v>
      </c>
      <c r="V268" s="3">
        <v>4</v>
      </c>
      <c r="W268" s="4" t="s">
        <v>3673</v>
      </c>
      <c r="X268" s="4" t="s">
        <v>3673</v>
      </c>
      <c r="Y268" s="4" t="s">
        <v>3137</v>
      </c>
      <c r="Z268" s="4" t="s">
        <v>3137</v>
      </c>
      <c r="AA268" s="3">
        <v>955</v>
      </c>
      <c r="AB268" s="3">
        <v>866</v>
      </c>
      <c r="AC268" s="3">
        <v>903</v>
      </c>
      <c r="AD268" s="3">
        <v>3</v>
      </c>
      <c r="AE268" s="7">
        <v>3</v>
      </c>
      <c r="AF268" s="7">
        <v>48</v>
      </c>
      <c r="AG268" s="7">
        <v>49</v>
      </c>
      <c r="AH268" s="3">
        <v>9</v>
      </c>
      <c r="AI268" s="3">
        <v>9</v>
      </c>
      <c r="AJ268" s="3">
        <v>7</v>
      </c>
      <c r="AK268" s="3">
        <v>8</v>
      </c>
      <c r="AL268" s="3">
        <v>17</v>
      </c>
      <c r="AM268" s="3">
        <v>18</v>
      </c>
      <c r="AN268" s="3">
        <v>1</v>
      </c>
      <c r="AO268" s="3">
        <v>1</v>
      </c>
      <c r="AP268" s="3">
        <v>19</v>
      </c>
      <c r="AQ268" s="3">
        <v>19</v>
      </c>
      <c r="AR268" s="2" t="s">
        <v>5</v>
      </c>
      <c r="AS268" s="2" t="s">
        <v>5</v>
      </c>
      <c r="AU268" s="5" t="str">
        <f>HYPERLINK("https://creighton-primo.hosted.exlibrisgroup.com/primo-explore/search?tab=default_tab&amp;search_scope=EVERYTHING&amp;vid=01CRU&amp;lang=en_US&amp;offset=0&amp;query=any,contains,991001630289702656","Catalog Record")</f>
        <v>Catalog Record</v>
      </c>
      <c r="AV268" s="5" t="str">
        <f>HYPERLINK("http://www.worldcat.org/oclc/11972476","WorldCat Record")</f>
        <v>WorldCat Record</v>
      </c>
      <c r="AW268" s="2" t="s">
        <v>3674</v>
      </c>
      <c r="AX268" s="2" t="s">
        <v>3675</v>
      </c>
      <c r="AY268" s="2" t="s">
        <v>3676</v>
      </c>
      <c r="AZ268" s="2" t="s">
        <v>3676</v>
      </c>
      <c r="BA268" s="2" t="s">
        <v>3677</v>
      </c>
      <c r="BB268" s="2" t="s">
        <v>21</v>
      </c>
      <c r="BD268" s="2" t="s">
        <v>3678</v>
      </c>
      <c r="BE268" s="2" t="s">
        <v>3679</v>
      </c>
      <c r="BF268" s="2" t="s">
        <v>3680</v>
      </c>
    </row>
    <row r="269" spans="1:58" ht="39.75" customHeight="1" x14ac:dyDescent="0.25">
      <c r="A269" s="1"/>
      <c r="B269" s="1" t="s">
        <v>0</v>
      </c>
      <c r="C269" s="1" t="s">
        <v>1</v>
      </c>
      <c r="D269" s="1" t="s">
        <v>3681</v>
      </c>
      <c r="E269" s="1" t="s">
        <v>3682</v>
      </c>
      <c r="F269" s="1" t="s">
        <v>3683</v>
      </c>
      <c r="H269" s="2" t="s">
        <v>5</v>
      </c>
      <c r="I269" s="2" t="s">
        <v>6</v>
      </c>
      <c r="J269" s="2" t="s">
        <v>5</v>
      </c>
      <c r="K269" s="2" t="s">
        <v>5</v>
      </c>
      <c r="L269" s="2" t="s">
        <v>7</v>
      </c>
      <c r="M269" s="1" t="s">
        <v>3684</v>
      </c>
      <c r="N269" s="1" t="s">
        <v>3685</v>
      </c>
      <c r="O269" s="2" t="s">
        <v>152</v>
      </c>
      <c r="Q269" s="2" t="s">
        <v>11</v>
      </c>
      <c r="R269" s="2" t="s">
        <v>501</v>
      </c>
      <c r="S269" s="1" t="s">
        <v>3686</v>
      </c>
      <c r="T269" s="2" t="s">
        <v>1367</v>
      </c>
      <c r="U269" s="3">
        <v>2</v>
      </c>
      <c r="V269" s="3">
        <v>2</v>
      </c>
      <c r="W269" s="4" t="s">
        <v>3687</v>
      </c>
      <c r="X269" s="4" t="s">
        <v>3687</v>
      </c>
      <c r="Y269" s="4" t="s">
        <v>3688</v>
      </c>
      <c r="Z269" s="4" t="s">
        <v>3688</v>
      </c>
      <c r="AA269" s="3">
        <v>237</v>
      </c>
      <c r="AB269" s="3">
        <v>204</v>
      </c>
      <c r="AC269" s="3">
        <v>204</v>
      </c>
      <c r="AD269" s="3">
        <v>2</v>
      </c>
      <c r="AE269" s="7">
        <v>2</v>
      </c>
      <c r="AF269" s="7">
        <v>8</v>
      </c>
      <c r="AG269" s="7">
        <v>8</v>
      </c>
      <c r="AH269" s="3">
        <v>2</v>
      </c>
      <c r="AI269" s="3">
        <v>2</v>
      </c>
      <c r="AJ269" s="3">
        <v>1</v>
      </c>
      <c r="AK269" s="3">
        <v>1</v>
      </c>
      <c r="AL269" s="3">
        <v>3</v>
      </c>
      <c r="AM269" s="3">
        <v>3</v>
      </c>
      <c r="AN269" s="3">
        <v>1</v>
      </c>
      <c r="AO269" s="3">
        <v>1</v>
      </c>
      <c r="AP269" s="3">
        <v>2</v>
      </c>
      <c r="AQ269" s="3">
        <v>2</v>
      </c>
      <c r="AR269" s="2" t="s">
        <v>5</v>
      </c>
      <c r="AS269" s="2" t="s">
        <v>5</v>
      </c>
      <c r="AU269" s="5" t="str">
        <f>HYPERLINK("https://creighton-primo.hosted.exlibrisgroup.com/primo-explore/search?tab=default_tab&amp;search_scope=EVERYTHING&amp;vid=01CRU&amp;lang=en_US&amp;offset=0&amp;query=any,contains,991003486629702656","Catalog Record")</f>
        <v>Catalog Record</v>
      </c>
      <c r="AV269" s="5" t="str">
        <f>HYPERLINK("http://www.worldcat.org/oclc/21163224","WorldCat Record")</f>
        <v>WorldCat Record</v>
      </c>
      <c r="AW269" s="2" t="s">
        <v>3689</v>
      </c>
      <c r="AX269" s="2" t="s">
        <v>3690</v>
      </c>
      <c r="AY269" s="2" t="s">
        <v>3691</v>
      </c>
      <c r="AZ269" s="2" t="s">
        <v>3691</v>
      </c>
      <c r="BA269" s="2" t="s">
        <v>3692</v>
      </c>
      <c r="BB269" s="2" t="s">
        <v>21</v>
      </c>
      <c r="BD269" s="2" t="s">
        <v>3693</v>
      </c>
      <c r="BE269" s="2" t="s">
        <v>3694</v>
      </c>
      <c r="BF269" s="2" t="s">
        <v>3695</v>
      </c>
    </row>
    <row r="270" spans="1:58" ht="39.75" customHeight="1" x14ac:dyDescent="0.25">
      <c r="A270" s="1"/>
      <c r="B270" s="1" t="s">
        <v>0</v>
      </c>
      <c r="C270" s="1" t="s">
        <v>1</v>
      </c>
      <c r="D270" s="1" t="s">
        <v>3696</v>
      </c>
      <c r="E270" s="1" t="s">
        <v>3697</v>
      </c>
      <c r="F270" s="1" t="s">
        <v>3698</v>
      </c>
      <c r="H270" s="2" t="s">
        <v>5</v>
      </c>
      <c r="I270" s="2" t="s">
        <v>6</v>
      </c>
      <c r="J270" s="2" t="s">
        <v>5</v>
      </c>
      <c r="K270" s="2" t="s">
        <v>5</v>
      </c>
      <c r="L270" s="2" t="s">
        <v>7</v>
      </c>
      <c r="N270" s="1" t="s">
        <v>3699</v>
      </c>
      <c r="O270" s="2" t="s">
        <v>213</v>
      </c>
      <c r="Q270" s="2" t="s">
        <v>11</v>
      </c>
      <c r="R270" s="2" t="s">
        <v>76</v>
      </c>
      <c r="S270" s="1" t="s">
        <v>3700</v>
      </c>
      <c r="T270" s="2" t="s">
        <v>1367</v>
      </c>
      <c r="U270" s="3">
        <v>2</v>
      </c>
      <c r="V270" s="3">
        <v>2</v>
      </c>
      <c r="W270" s="4" t="s">
        <v>3701</v>
      </c>
      <c r="X270" s="4" t="s">
        <v>3701</v>
      </c>
      <c r="Y270" s="4" t="s">
        <v>3137</v>
      </c>
      <c r="Z270" s="4" t="s">
        <v>3137</v>
      </c>
      <c r="AA270" s="3">
        <v>677</v>
      </c>
      <c r="AB270" s="3">
        <v>563</v>
      </c>
      <c r="AC270" s="3">
        <v>599</v>
      </c>
      <c r="AD270" s="3">
        <v>5</v>
      </c>
      <c r="AE270" s="7">
        <v>5</v>
      </c>
      <c r="AF270" s="7">
        <v>51</v>
      </c>
      <c r="AG270" s="7">
        <v>52</v>
      </c>
      <c r="AH270" s="3">
        <v>15</v>
      </c>
      <c r="AI270" s="3">
        <v>15</v>
      </c>
      <c r="AJ270" s="3">
        <v>8</v>
      </c>
      <c r="AK270" s="3">
        <v>8</v>
      </c>
      <c r="AL270" s="3">
        <v>19</v>
      </c>
      <c r="AM270" s="3">
        <v>19</v>
      </c>
      <c r="AN270" s="3">
        <v>2</v>
      </c>
      <c r="AO270" s="3">
        <v>2</v>
      </c>
      <c r="AP270" s="3">
        <v>19</v>
      </c>
      <c r="AQ270" s="3">
        <v>20</v>
      </c>
      <c r="AR270" s="2" t="s">
        <v>5</v>
      </c>
      <c r="AS270" s="2" t="s">
        <v>5</v>
      </c>
      <c r="AU270" s="5" t="str">
        <f>HYPERLINK("https://creighton-primo.hosted.exlibrisgroup.com/primo-explore/search?tab=default_tab&amp;search_scope=EVERYTHING&amp;vid=01CRU&amp;lang=en_US&amp;offset=0&amp;query=any,contains,991004190659702656","Catalog Record")</f>
        <v>Catalog Record</v>
      </c>
      <c r="AV270" s="5" t="str">
        <f>HYPERLINK("http://www.worldcat.org/oclc/2632510","WorldCat Record")</f>
        <v>WorldCat Record</v>
      </c>
      <c r="AW270" s="2" t="s">
        <v>3702</v>
      </c>
      <c r="AX270" s="2" t="s">
        <v>3703</v>
      </c>
      <c r="AY270" s="2" t="s">
        <v>3704</v>
      </c>
      <c r="AZ270" s="2" t="s">
        <v>3704</v>
      </c>
      <c r="BA270" s="2" t="s">
        <v>3705</v>
      </c>
      <c r="BB270" s="2" t="s">
        <v>21</v>
      </c>
      <c r="BD270" s="2" t="s">
        <v>3706</v>
      </c>
      <c r="BE270" s="2" t="s">
        <v>3707</v>
      </c>
      <c r="BF270" s="2" t="s">
        <v>3708</v>
      </c>
    </row>
    <row r="271" spans="1:58" ht="39.75" customHeight="1" x14ac:dyDescent="0.25">
      <c r="A271" s="1"/>
      <c r="B271" s="1" t="s">
        <v>0</v>
      </c>
      <c r="C271" s="1" t="s">
        <v>1</v>
      </c>
      <c r="D271" s="1" t="s">
        <v>3709</v>
      </c>
      <c r="E271" s="1" t="s">
        <v>3710</v>
      </c>
      <c r="F271" s="1" t="s">
        <v>3711</v>
      </c>
      <c r="H271" s="2" t="s">
        <v>5</v>
      </c>
      <c r="I271" s="2" t="s">
        <v>6</v>
      </c>
      <c r="J271" s="2" t="s">
        <v>5</v>
      </c>
      <c r="K271" s="2" t="s">
        <v>5</v>
      </c>
      <c r="L271" s="2" t="s">
        <v>7</v>
      </c>
      <c r="M271" s="1" t="s">
        <v>3712</v>
      </c>
      <c r="N271" s="1" t="s">
        <v>3713</v>
      </c>
      <c r="O271" s="2" t="s">
        <v>372</v>
      </c>
      <c r="Q271" s="2" t="s">
        <v>11</v>
      </c>
      <c r="R271" s="2" t="s">
        <v>3714</v>
      </c>
      <c r="S271" s="1" t="s">
        <v>3715</v>
      </c>
      <c r="T271" s="2" t="s">
        <v>1367</v>
      </c>
      <c r="U271" s="3">
        <v>1</v>
      </c>
      <c r="V271" s="3">
        <v>1</v>
      </c>
      <c r="W271" s="4" t="s">
        <v>2205</v>
      </c>
      <c r="X271" s="4" t="s">
        <v>2205</v>
      </c>
      <c r="Y271" s="4" t="s">
        <v>3716</v>
      </c>
      <c r="Z271" s="4" t="s">
        <v>3716</v>
      </c>
      <c r="AA271" s="3">
        <v>460</v>
      </c>
      <c r="AB271" s="3">
        <v>435</v>
      </c>
      <c r="AC271" s="3">
        <v>452</v>
      </c>
      <c r="AD271" s="3">
        <v>3</v>
      </c>
      <c r="AE271" s="7">
        <v>3</v>
      </c>
      <c r="AF271" s="7">
        <v>13</v>
      </c>
      <c r="AG271" s="7">
        <v>15</v>
      </c>
      <c r="AH271" s="3">
        <v>3</v>
      </c>
      <c r="AI271" s="3">
        <v>5</v>
      </c>
      <c r="AJ271" s="3">
        <v>0</v>
      </c>
      <c r="AK271" s="3">
        <v>0</v>
      </c>
      <c r="AL271" s="3">
        <v>3</v>
      </c>
      <c r="AM271" s="3">
        <v>3</v>
      </c>
      <c r="AN271" s="3">
        <v>1</v>
      </c>
      <c r="AO271" s="3">
        <v>1</v>
      </c>
      <c r="AP271" s="3">
        <v>6</v>
      </c>
      <c r="AQ271" s="3">
        <v>6</v>
      </c>
      <c r="AR271" s="2" t="s">
        <v>5</v>
      </c>
      <c r="AS271" s="2" t="s">
        <v>5</v>
      </c>
      <c r="AU271" s="5" t="str">
        <f>HYPERLINK("https://creighton-primo.hosted.exlibrisgroup.com/primo-explore/search?tab=default_tab&amp;search_scope=EVERYTHING&amp;vid=01CRU&amp;lang=en_US&amp;offset=0&amp;query=any,contains,991002308459702656","Catalog Record")</f>
        <v>Catalog Record</v>
      </c>
      <c r="AV271" s="5" t="str">
        <f>HYPERLINK("http://www.worldcat.org/oclc/29952214","WorldCat Record")</f>
        <v>WorldCat Record</v>
      </c>
      <c r="AW271" s="2" t="s">
        <v>3717</v>
      </c>
      <c r="AX271" s="2" t="s">
        <v>3718</v>
      </c>
      <c r="AY271" s="2" t="s">
        <v>3719</v>
      </c>
      <c r="AZ271" s="2" t="s">
        <v>3719</v>
      </c>
      <c r="BA271" s="2" t="s">
        <v>3720</v>
      </c>
      <c r="BB271" s="2" t="s">
        <v>21</v>
      </c>
      <c r="BD271" s="2" t="s">
        <v>3721</v>
      </c>
      <c r="BE271" s="2" t="s">
        <v>3722</v>
      </c>
      <c r="BF271" s="2" t="s">
        <v>3723</v>
      </c>
    </row>
    <row r="272" spans="1:58" ht="39.75" customHeight="1" x14ac:dyDescent="0.25">
      <c r="A272" s="1"/>
      <c r="B272" s="1" t="s">
        <v>0</v>
      </c>
      <c r="C272" s="1" t="s">
        <v>1</v>
      </c>
      <c r="D272" s="1" t="s">
        <v>3724</v>
      </c>
      <c r="E272" s="1" t="s">
        <v>3725</v>
      </c>
      <c r="F272" s="1" t="s">
        <v>3726</v>
      </c>
      <c r="H272" s="2" t="s">
        <v>5</v>
      </c>
      <c r="I272" s="2" t="s">
        <v>6</v>
      </c>
      <c r="J272" s="2" t="s">
        <v>5</v>
      </c>
      <c r="K272" s="2" t="s">
        <v>5</v>
      </c>
      <c r="L272" s="2" t="s">
        <v>7</v>
      </c>
      <c r="M272" s="1" t="s">
        <v>3727</v>
      </c>
      <c r="N272" s="1" t="s">
        <v>3728</v>
      </c>
      <c r="O272" s="2" t="s">
        <v>45</v>
      </c>
      <c r="Q272" s="2" t="s">
        <v>11</v>
      </c>
      <c r="R272" s="2" t="s">
        <v>260</v>
      </c>
      <c r="T272" s="2" t="s">
        <v>1367</v>
      </c>
      <c r="U272" s="3">
        <v>2</v>
      </c>
      <c r="V272" s="3">
        <v>2</v>
      </c>
      <c r="W272" s="4" t="s">
        <v>3729</v>
      </c>
      <c r="X272" s="4" t="s">
        <v>3729</v>
      </c>
      <c r="Y272" s="4" t="s">
        <v>770</v>
      </c>
      <c r="Z272" s="4" t="s">
        <v>770</v>
      </c>
      <c r="AA272" s="3">
        <v>70</v>
      </c>
      <c r="AB272" s="3">
        <v>67</v>
      </c>
      <c r="AC272" s="3">
        <v>67</v>
      </c>
      <c r="AD272" s="3">
        <v>1</v>
      </c>
      <c r="AE272" s="7">
        <v>1</v>
      </c>
      <c r="AF272" s="7">
        <v>3</v>
      </c>
      <c r="AG272" s="7">
        <v>3</v>
      </c>
      <c r="AH272" s="3">
        <v>0</v>
      </c>
      <c r="AI272" s="3">
        <v>0</v>
      </c>
      <c r="AJ272" s="3">
        <v>1</v>
      </c>
      <c r="AK272" s="3">
        <v>1</v>
      </c>
      <c r="AL272" s="3">
        <v>2</v>
      </c>
      <c r="AM272" s="3">
        <v>2</v>
      </c>
      <c r="AN272" s="3">
        <v>0</v>
      </c>
      <c r="AO272" s="3">
        <v>0</v>
      </c>
      <c r="AP272" s="3">
        <v>1</v>
      </c>
      <c r="AQ272" s="3">
        <v>1</v>
      </c>
      <c r="AR272" s="2" t="s">
        <v>5</v>
      </c>
      <c r="AS272" s="2" t="s">
        <v>5</v>
      </c>
      <c r="AU272" s="5" t="str">
        <f>HYPERLINK("https://creighton-primo.hosted.exlibrisgroup.com/primo-explore/search?tab=default_tab&amp;search_scope=EVERYTHING&amp;vid=01CRU&amp;lang=en_US&amp;offset=0&amp;query=any,contains,991000895759702656","Catalog Record")</f>
        <v>Catalog Record</v>
      </c>
      <c r="AV272" s="5" t="str">
        <f>HYPERLINK("http://www.worldcat.org/oclc/13978931","WorldCat Record")</f>
        <v>WorldCat Record</v>
      </c>
      <c r="AW272" s="2" t="s">
        <v>3730</v>
      </c>
      <c r="AX272" s="2" t="s">
        <v>3731</v>
      </c>
      <c r="AY272" s="2" t="s">
        <v>3732</v>
      </c>
      <c r="AZ272" s="2" t="s">
        <v>3732</v>
      </c>
      <c r="BA272" s="2" t="s">
        <v>3733</v>
      </c>
      <c r="BB272" s="2" t="s">
        <v>21</v>
      </c>
      <c r="BE272" s="2" t="s">
        <v>3734</v>
      </c>
      <c r="BF272" s="2" t="s">
        <v>3735</v>
      </c>
    </row>
    <row r="273" spans="1:58" ht="39.75" customHeight="1" x14ac:dyDescent="0.25">
      <c r="A273" s="1"/>
      <c r="B273" s="1" t="s">
        <v>0</v>
      </c>
      <c r="C273" s="1" t="s">
        <v>1</v>
      </c>
      <c r="D273" s="1" t="s">
        <v>3736</v>
      </c>
      <c r="E273" s="1" t="s">
        <v>3737</v>
      </c>
      <c r="F273" s="1" t="s">
        <v>3738</v>
      </c>
      <c r="H273" s="2" t="s">
        <v>5</v>
      </c>
      <c r="I273" s="2" t="s">
        <v>6</v>
      </c>
      <c r="J273" s="2" t="s">
        <v>5</v>
      </c>
      <c r="K273" s="2" t="s">
        <v>5</v>
      </c>
      <c r="L273" s="2" t="s">
        <v>7</v>
      </c>
      <c r="N273" s="1" t="s">
        <v>3739</v>
      </c>
      <c r="O273" s="2" t="s">
        <v>75</v>
      </c>
      <c r="Q273" s="2" t="s">
        <v>11</v>
      </c>
      <c r="R273" s="2" t="s">
        <v>76</v>
      </c>
      <c r="T273" s="2" t="s">
        <v>1367</v>
      </c>
      <c r="U273" s="3">
        <v>33</v>
      </c>
      <c r="V273" s="3">
        <v>33</v>
      </c>
      <c r="W273" s="4" t="s">
        <v>3740</v>
      </c>
      <c r="X273" s="4" t="s">
        <v>3740</v>
      </c>
      <c r="Y273" s="4" t="s">
        <v>3741</v>
      </c>
      <c r="Z273" s="4" t="s">
        <v>3741</v>
      </c>
      <c r="AA273" s="3">
        <v>890</v>
      </c>
      <c r="AB273" s="3">
        <v>797</v>
      </c>
      <c r="AC273" s="3">
        <v>804</v>
      </c>
      <c r="AD273" s="3">
        <v>11</v>
      </c>
      <c r="AE273" s="7">
        <v>11</v>
      </c>
      <c r="AF273" s="7">
        <v>36</v>
      </c>
      <c r="AG273" s="7">
        <v>36</v>
      </c>
      <c r="AH273" s="3">
        <v>8</v>
      </c>
      <c r="AI273" s="3">
        <v>8</v>
      </c>
      <c r="AJ273" s="3">
        <v>6</v>
      </c>
      <c r="AK273" s="3">
        <v>6</v>
      </c>
      <c r="AL273" s="3">
        <v>9</v>
      </c>
      <c r="AM273" s="3">
        <v>9</v>
      </c>
      <c r="AN273" s="3">
        <v>9</v>
      </c>
      <c r="AO273" s="3">
        <v>9</v>
      </c>
      <c r="AP273" s="3">
        <v>7</v>
      </c>
      <c r="AQ273" s="3">
        <v>7</v>
      </c>
      <c r="AR273" s="2" t="s">
        <v>5</v>
      </c>
      <c r="AS273" s="2" t="s">
        <v>16</v>
      </c>
      <c r="AT273" s="5" t="str">
        <f>HYPERLINK("http://catalog.hathitrust.org/Record/001107327","HathiTrust Record")</f>
        <v>HathiTrust Record</v>
      </c>
      <c r="AU273" s="5" t="str">
        <f>HYPERLINK("https://creighton-primo.hosted.exlibrisgroup.com/primo-explore/search?tab=default_tab&amp;search_scope=EVERYTHING&amp;vid=01CRU&amp;lang=en_US&amp;offset=0&amp;query=any,contains,991000834759702656","Catalog Record")</f>
        <v>Catalog Record</v>
      </c>
      <c r="AV273" s="5" t="str">
        <f>HYPERLINK("http://www.worldcat.org/oclc/148455","WorldCat Record")</f>
        <v>WorldCat Record</v>
      </c>
      <c r="AW273" s="2" t="s">
        <v>3742</v>
      </c>
      <c r="AX273" s="2" t="s">
        <v>3743</v>
      </c>
      <c r="AY273" s="2" t="s">
        <v>3744</v>
      </c>
      <c r="AZ273" s="2" t="s">
        <v>3744</v>
      </c>
      <c r="BA273" s="2" t="s">
        <v>3745</v>
      </c>
      <c r="BB273" s="2" t="s">
        <v>21</v>
      </c>
      <c r="BD273" s="2" t="s">
        <v>3746</v>
      </c>
      <c r="BE273" s="2" t="s">
        <v>3747</v>
      </c>
      <c r="BF273" s="2" t="s">
        <v>3748</v>
      </c>
    </row>
    <row r="274" spans="1:58" ht="39.75" customHeight="1" x14ac:dyDescent="0.25">
      <c r="A274" s="1"/>
      <c r="B274" s="1" t="s">
        <v>0</v>
      </c>
      <c r="C274" s="1" t="s">
        <v>1</v>
      </c>
      <c r="D274" s="1" t="s">
        <v>3749</v>
      </c>
      <c r="E274" s="1" t="s">
        <v>3750</v>
      </c>
      <c r="F274" s="1" t="s">
        <v>3751</v>
      </c>
      <c r="H274" s="2" t="s">
        <v>5</v>
      </c>
      <c r="I274" s="2" t="s">
        <v>6</v>
      </c>
      <c r="J274" s="2" t="s">
        <v>5</v>
      </c>
      <c r="K274" s="2" t="s">
        <v>5</v>
      </c>
      <c r="L274" s="2" t="s">
        <v>7</v>
      </c>
      <c r="M274" s="1" t="s">
        <v>3752</v>
      </c>
      <c r="N274" s="1" t="s">
        <v>3753</v>
      </c>
      <c r="O274" s="2" t="s">
        <v>472</v>
      </c>
      <c r="Q274" s="2" t="s">
        <v>11</v>
      </c>
      <c r="R274" s="2" t="s">
        <v>3079</v>
      </c>
      <c r="T274" s="2" t="s">
        <v>1367</v>
      </c>
      <c r="U274" s="3">
        <v>11</v>
      </c>
      <c r="V274" s="3">
        <v>11</v>
      </c>
      <c r="W274" s="4" t="s">
        <v>3754</v>
      </c>
      <c r="X274" s="4" t="s">
        <v>3754</v>
      </c>
      <c r="Y274" s="4" t="s">
        <v>1144</v>
      </c>
      <c r="Z274" s="4" t="s">
        <v>1144</v>
      </c>
      <c r="AA274" s="3">
        <v>290</v>
      </c>
      <c r="AB274" s="3">
        <v>267</v>
      </c>
      <c r="AC274" s="3">
        <v>268</v>
      </c>
      <c r="AD274" s="3">
        <v>1</v>
      </c>
      <c r="AE274" s="7">
        <v>1</v>
      </c>
      <c r="AF274" s="7">
        <v>19</v>
      </c>
      <c r="AG274" s="7">
        <v>19</v>
      </c>
      <c r="AH274" s="3">
        <v>6</v>
      </c>
      <c r="AI274" s="3">
        <v>6</v>
      </c>
      <c r="AJ274" s="3">
        <v>1</v>
      </c>
      <c r="AK274" s="3">
        <v>1</v>
      </c>
      <c r="AL274" s="3">
        <v>9</v>
      </c>
      <c r="AM274" s="3">
        <v>9</v>
      </c>
      <c r="AN274" s="3">
        <v>0</v>
      </c>
      <c r="AO274" s="3">
        <v>0</v>
      </c>
      <c r="AP274" s="3">
        <v>7</v>
      </c>
      <c r="AQ274" s="3">
        <v>7</v>
      </c>
      <c r="AR274" s="2" t="s">
        <v>5</v>
      </c>
      <c r="AS274" s="2" t="s">
        <v>5</v>
      </c>
      <c r="AU274" s="5" t="str">
        <f>HYPERLINK("https://creighton-primo.hosted.exlibrisgroup.com/primo-explore/search?tab=default_tab&amp;search_scope=EVERYTHING&amp;vid=01CRU&amp;lang=en_US&amp;offset=0&amp;query=any,contains,991005108349702656","Catalog Record")</f>
        <v>Catalog Record</v>
      </c>
      <c r="AV274" s="5" t="str">
        <f>HYPERLINK("http://www.worldcat.org/oclc/7374201","WorldCat Record")</f>
        <v>WorldCat Record</v>
      </c>
      <c r="AW274" s="2" t="s">
        <v>3755</v>
      </c>
      <c r="AX274" s="2" t="s">
        <v>3756</v>
      </c>
      <c r="AY274" s="2" t="s">
        <v>3757</v>
      </c>
      <c r="AZ274" s="2" t="s">
        <v>3757</v>
      </c>
      <c r="BA274" s="2" t="s">
        <v>3758</v>
      </c>
      <c r="BB274" s="2" t="s">
        <v>21</v>
      </c>
      <c r="BD274" s="2" t="s">
        <v>3759</v>
      </c>
      <c r="BE274" s="2" t="s">
        <v>3760</v>
      </c>
      <c r="BF274" s="2" t="s">
        <v>3761</v>
      </c>
    </row>
    <row r="275" spans="1:58" ht="39.75" customHeight="1" x14ac:dyDescent="0.25">
      <c r="A275" s="1"/>
      <c r="B275" s="1" t="s">
        <v>0</v>
      </c>
      <c r="C275" s="1" t="s">
        <v>1</v>
      </c>
      <c r="D275" s="1" t="s">
        <v>3762</v>
      </c>
      <c r="E275" s="1" t="s">
        <v>3763</v>
      </c>
      <c r="F275" s="1" t="s">
        <v>3764</v>
      </c>
      <c r="H275" s="2" t="s">
        <v>5</v>
      </c>
      <c r="I275" s="2" t="s">
        <v>6</v>
      </c>
      <c r="J275" s="2" t="s">
        <v>5</v>
      </c>
      <c r="K275" s="2" t="s">
        <v>5</v>
      </c>
      <c r="L275" s="2" t="s">
        <v>7</v>
      </c>
      <c r="M275" s="1" t="s">
        <v>3765</v>
      </c>
      <c r="N275" s="1" t="s">
        <v>3766</v>
      </c>
      <c r="O275" s="2" t="s">
        <v>355</v>
      </c>
      <c r="P275" s="1" t="s">
        <v>1907</v>
      </c>
      <c r="Q275" s="2" t="s">
        <v>11</v>
      </c>
      <c r="R275" s="2" t="s">
        <v>76</v>
      </c>
      <c r="S275" s="1" t="s">
        <v>3767</v>
      </c>
      <c r="T275" s="2" t="s">
        <v>1367</v>
      </c>
      <c r="U275" s="3">
        <v>3</v>
      </c>
      <c r="V275" s="3">
        <v>3</v>
      </c>
      <c r="W275" s="4" t="s">
        <v>673</v>
      </c>
      <c r="X275" s="4" t="s">
        <v>673</v>
      </c>
      <c r="Y275" s="4" t="s">
        <v>3768</v>
      </c>
      <c r="Z275" s="4" t="s">
        <v>3768</v>
      </c>
      <c r="AA275" s="3">
        <v>635</v>
      </c>
      <c r="AB275" s="3">
        <v>582</v>
      </c>
      <c r="AC275" s="3">
        <v>588</v>
      </c>
      <c r="AD275" s="3">
        <v>6</v>
      </c>
      <c r="AE275" s="7">
        <v>6</v>
      </c>
      <c r="AF275" s="7">
        <v>26</v>
      </c>
      <c r="AG275" s="7">
        <v>26</v>
      </c>
      <c r="AH275" s="3">
        <v>6</v>
      </c>
      <c r="AI275" s="3">
        <v>6</v>
      </c>
      <c r="AJ275" s="3">
        <v>5</v>
      </c>
      <c r="AK275" s="3">
        <v>5</v>
      </c>
      <c r="AL275" s="3">
        <v>12</v>
      </c>
      <c r="AM275" s="3">
        <v>12</v>
      </c>
      <c r="AN275" s="3">
        <v>4</v>
      </c>
      <c r="AO275" s="3">
        <v>4</v>
      </c>
      <c r="AP275" s="3">
        <v>3</v>
      </c>
      <c r="AQ275" s="3">
        <v>3</v>
      </c>
      <c r="AR275" s="2" t="s">
        <v>5</v>
      </c>
      <c r="AS275" s="2" t="s">
        <v>5</v>
      </c>
      <c r="AU275" s="5" t="str">
        <f>HYPERLINK("https://creighton-primo.hosted.exlibrisgroup.com/primo-explore/search?tab=default_tab&amp;search_scope=EVERYTHING&amp;vid=01CRU&amp;lang=en_US&amp;offset=0&amp;query=any,contains,991002841629702656","Catalog Record")</f>
        <v>Catalog Record</v>
      </c>
      <c r="AV275" s="5" t="str">
        <f>HYPERLINK("http://www.worldcat.org/oclc/482483","WorldCat Record")</f>
        <v>WorldCat Record</v>
      </c>
      <c r="AW275" s="2" t="s">
        <v>3769</v>
      </c>
      <c r="AX275" s="2" t="s">
        <v>3770</v>
      </c>
      <c r="AY275" s="2" t="s">
        <v>3771</v>
      </c>
      <c r="AZ275" s="2" t="s">
        <v>3771</v>
      </c>
      <c r="BA275" s="2" t="s">
        <v>3772</v>
      </c>
      <c r="BB275" s="2" t="s">
        <v>21</v>
      </c>
      <c r="BD275" s="2" t="s">
        <v>3773</v>
      </c>
      <c r="BE275" s="2" t="s">
        <v>3774</v>
      </c>
      <c r="BF275" s="2" t="s">
        <v>3775</v>
      </c>
    </row>
    <row r="276" spans="1:58" ht="39.75" customHeight="1" x14ac:dyDescent="0.25">
      <c r="A276" s="1"/>
      <c r="B276" s="1" t="s">
        <v>0</v>
      </c>
      <c r="C276" s="1" t="s">
        <v>1</v>
      </c>
      <c r="D276" s="1" t="s">
        <v>3776</v>
      </c>
      <c r="E276" s="1" t="s">
        <v>3777</v>
      </c>
      <c r="F276" s="1" t="s">
        <v>3778</v>
      </c>
      <c r="H276" s="2" t="s">
        <v>5</v>
      </c>
      <c r="I276" s="2" t="s">
        <v>6</v>
      </c>
      <c r="J276" s="2" t="s">
        <v>16</v>
      </c>
      <c r="K276" s="2" t="s">
        <v>5</v>
      </c>
      <c r="L276" s="2" t="s">
        <v>7</v>
      </c>
      <c r="M276" s="1" t="s">
        <v>3779</v>
      </c>
      <c r="N276" s="1" t="s">
        <v>3780</v>
      </c>
      <c r="O276" s="2" t="s">
        <v>516</v>
      </c>
      <c r="Q276" s="2" t="s">
        <v>11</v>
      </c>
      <c r="R276" s="2" t="s">
        <v>185</v>
      </c>
      <c r="S276" s="1" t="s">
        <v>3781</v>
      </c>
      <c r="T276" s="2" t="s">
        <v>1367</v>
      </c>
      <c r="U276" s="3">
        <v>1</v>
      </c>
      <c r="V276" s="3">
        <v>4</v>
      </c>
      <c r="W276" s="4" t="s">
        <v>3754</v>
      </c>
      <c r="X276" s="4" t="s">
        <v>3754</v>
      </c>
      <c r="Y276" s="4" t="s">
        <v>2334</v>
      </c>
      <c r="Z276" s="4" t="s">
        <v>2334</v>
      </c>
      <c r="AA276" s="3">
        <v>1124</v>
      </c>
      <c r="AB276" s="3">
        <v>1053</v>
      </c>
      <c r="AC276" s="3">
        <v>1141</v>
      </c>
      <c r="AD276" s="3">
        <v>11</v>
      </c>
      <c r="AE276" s="7">
        <v>11</v>
      </c>
      <c r="AF276" s="7">
        <v>49</v>
      </c>
      <c r="AG276" s="7">
        <v>53</v>
      </c>
      <c r="AH276" s="3">
        <v>14</v>
      </c>
      <c r="AI276" s="3">
        <v>14</v>
      </c>
      <c r="AJ276" s="3">
        <v>7</v>
      </c>
      <c r="AK276" s="3">
        <v>7</v>
      </c>
      <c r="AL276" s="3">
        <v>17</v>
      </c>
      <c r="AM276" s="3">
        <v>18</v>
      </c>
      <c r="AN276" s="3">
        <v>7</v>
      </c>
      <c r="AO276" s="3">
        <v>7</v>
      </c>
      <c r="AP276" s="3">
        <v>13</v>
      </c>
      <c r="AQ276" s="3">
        <v>16</v>
      </c>
      <c r="AR276" s="2" t="s">
        <v>5</v>
      </c>
      <c r="AS276" s="2" t="s">
        <v>5</v>
      </c>
      <c r="AU276" s="5" t="str">
        <f>HYPERLINK("https://creighton-primo.hosted.exlibrisgroup.com/primo-explore/search?tab=default_tab&amp;search_scope=EVERYTHING&amp;vid=01CRU&amp;lang=en_US&amp;offset=0&amp;query=any,contains,991001655629702656","Catalog Record")</f>
        <v>Catalog Record</v>
      </c>
      <c r="AV276" s="5" t="str">
        <f>HYPERLINK("http://www.worldcat.org/oclc/575392","WorldCat Record")</f>
        <v>WorldCat Record</v>
      </c>
      <c r="AW276" s="2" t="s">
        <v>3782</v>
      </c>
      <c r="AX276" s="2" t="s">
        <v>3783</v>
      </c>
      <c r="AY276" s="2" t="s">
        <v>3784</v>
      </c>
      <c r="AZ276" s="2" t="s">
        <v>3784</v>
      </c>
      <c r="BA276" s="2" t="s">
        <v>3785</v>
      </c>
      <c r="BB276" s="2" t="s">
        <v>21</v>
      </c>
      <c r="BE276" s="2" t="s">
        <v>3786</v>
      </c>
      <c r="BF276" s="2" t="s">
        <v>3787</v>
      </c>
    </row>
    <row r="277" spans="1:58" ht="39.75" customHeight="1" x14ac:dyDescent="0.25">
      <c r="A277" s="1"/>
      <c r="B277" s="1" t="s">
        <v>0</v>
      </c>
      <c r="C277" s="1" t="s">
        <v>1</v>
      </c>
      <c r="D277" s="1" t="s">
        <v>3788</v>
      </c>
      <c r="E277" s="1" t="s">
        <v>3789</v>
      </c>
      <c r="F277" s="1" t="s">
        <v>3790</v>
      </c>
      <c r="H277" s="2" t="s">
        <v>5</v>
      </c>
      <c r="I277" s="2" t="s">
        <v>6</v>
      </c>
      <c r="J277" s="2" t="s">
        <v>5</v>
      </c>
      <c r="K277" s="2" t="s">
        <v>5</v>
      </c>
      <c r="L277" s="2" t="s">
        <v>7</v>
      </c>
      <c r="M277" s="1" t="s">
        <v>3791</v>
      </c>
      <c r="N277" s="1" t="s">
        <v>3792</v>
      </c>
      <c r="O277" s="2" t="s">
        <v>1001</v>
      </c>
      <c r="P277" s="1" t="s">
        <v>229</v>
      </c>
      <c r="Q277" s="2" t="s">
        <v>11</v>
      </c>
      <c r="R277" s="2" t="s">
        <v>903</v>
      </c>
      <c r="T277" s="2" t="s">
        <v>1367</v>
      </c>
      <c r="U277" s="3">
        <v>1</v>
      </c>
      <c r="V277" s="3">
        <v>1</v>
      </c>
      <c r="W277" s="4" t="s">
        <v>2177</v>
      </c>
      <c r="X277" s="4" t="s">
        <v>2177</v>
      </c>
      <c r="Y277" s="4" t="s">
        <v>1578</v>
      </c>
      <c r="Z277" s="4" t="s">
        <v>1578</v>
      </c>
      <c r="AA277" s="3">
        <v>678</v>
      </c>
      <c r="AB277" s="3">
        <v>662</v>
      </c>
      <c r="AC277" s="3">
        <v>668</v>
      </c>
      <c r="AD277" s="3">
        <v>8</v>
      </c>
      <c r="AE277" s="7">
        <v>8</v>
      </c>
      <c r="AF277" s="7">
        <v>23</v>
      </c>
      <c r="AG277" s="7">
        <v>23</v>
      </c>
      <c r="AH277" s="3">
        <v>3</v>
      </c>
      <c r="AI277" s="3">
        <v>3</v>
      </c>
      <c r="AJ277" s="3">
        <v>0</v>
      </c>
      <c r="AK277" s="3">
        <v>0</v>
      </c>
      <c r="AL277" s="3">
        <v>4</v>
      </c>
      <c r="AM277" s="3">
        <v>4</v>
      </c>
      <c r="AN277" s="3">
        <v>5</v>
      </c>
      <c r="AO277" s="3">
        <v>5</v>
      </c>
      <c r="AP277" s="3">
        <v>12</v>
      </c>
      <c r="AQ277" s="3">
        <v>12</v>
      </c>
      <c r="AR277" s="2" t="s">
        <v>5</v>
      </c>
      <c r="AS277" s="2" t="s">
        <v>16</v>
      </c>
      <c r="AT277" s="5" t="str">
        <f>HYPERLINK("http://catalog.hathitrust.org/Record/000030041","HathiTrust Record")</f>
        <v>HathiTrust Record</v>
      </c>
      <c r="AU277" s="5" t="str">
        <f>HYPERLINK("https://creighton-primo.hosted.exlibrisgroup.com/primo-explore/search?tab=default_tab&amp;search_scope=EVERYTHING&amp;vid=01CRU&amp;lang=en_US&amp;offset=0&amp;query=any,contains,991003530239702656","Catalog Record")</f>
        <v>Catalog Record</v>
      </c>
      <c r="AV277" s="5" t="str">
        <f>HYPERLINK("http://www.worldcat.org/oclc/1093350","WorldCat Record")</f>
        <v>WorldCat Record</v>
      </c>
      <c r="AW277" s="2" t="s">
        <v>3793</v>
      </c>
      <c r="AX277" s="2" t="s">
        <v>3794</v>
      </c>
      <c r="AY277" s="2" t="s">
        <v>3795</v>
      </c>
      <c r="AZ277" s="2" t="s">
        <v>3795</v>
      </c>
      <c r="BA277" s="2" t="s">
        <v>3796</v>
      </c>
      <c r="BB277" s="2" t="s">
        <v>21</v>
      </c>
      <c r="BD277" s="2" t="s">
        <v>3797</v>
      </c>
      <c r="BE277" s="2" t="s">
        <v>3798</v>
      </c>
      <c r="BF277" s="2" t="s">
        <v>3799</v>
      </c>
    </row>
    <row r="278" spans="1:58" ht="39.75" customHeight="1" x14ac:dyDescent="0.25">
      <c r="A278" s="1"/>
      <c r="B278" s="1" t="s">
        <v>0</v>
      </c>
      <c r="C278" s="1" t="s">
        <v>1</v>
      </c>
      <c r="D278" s="1" t="s">
        <v>3800</v>
      </c>
      <c r="E278" s="1" t="s">
        <v>3801</v>
      </c>
      <c r="F278" s="1" t="s">
        <v>3802</v>
      </c>
      <c r="H278" s="2" t="s">
        <v>5</v>
      </c>
      <c r="I278" s="2" t="s">
        <v>6</v>
      </c>
      <c r="J278" s="2" t="s">
        <v>5</v>
      </c>
      <c r="K278" s="2" t="s">
        <v>5</v>
      </c>
      <c r="L278" s="2" t="s">
        <v>7</v>
      </c>
      <c r="N278" s="1" t="s">
        <v>3803</v>
      </c>
      <c r="O278" s="2" t="s">
        <v>305</v>
      </c>
      <c r="Q278" s="2" t="s">
        <v>11</v>
      </c>
      <c r="R278" s="2" t="s">
        <v>46</v>
      </c>
      <c r="T278" s="2" t="s">
        <v>1367</v>
      </c>
      <c r="U278" s="3">
        <v>4</v>
      </c>
      <c r="V278" s="3">
        <v>4</v>
      </c>
      <c r="W278" s="4" t="s">
        <v>3804</v>
      </c>
      <c r="X278" s="4" t="s">
        <v>3804</v>
      </c>
      <c r="Y278" s="4" t="s">
        <v>3805</v>
      </c>
      <c r="Z278" s="4" t="s">
        <v>3805</v>
      </c>
      <c r="AA278" s="3">
        <v>338</v>
      </c>
      <c r="AB278" s="3">
        <v>314</v>
      </c>
      <c r="AC278" s="3">
        <v>337</v>
      </c>
      <c r="AD278" s="3">
        <v>4</v>
      </c>
      <c r="AE278" s="7">
        <v>4</v>
      </c>
      <c r="AF278" s="7">
        <v>28</v>
      </c>
      <c r="AG278" s="7">
        <v>29</v>
      </c>
      <c r="AH278" s="3">
        <v>5</v>
      </c>
      <c r="AI278" s="3">
        <v>5</v>
      </c>
      <c r="AJ278" s="3">
        <v>4</v>
      </c>
      <c r="AK278" s="3">
        <v>5</v>
      </c>
      <c r="AL278" s="3">
        <v>6</v>
      </c>
      <c r="AM278" s="3">
        <v>7</v>
      </c>
      <c r="AN278" s="3">
        <v>3</v>
      </c>
      <c r="AO278" s="3">
        <v>3</v>
      </c>
      <c r="AP278" s="3">
        <v>13</v>
      </c>
      <c r="AQ278" s="3">
        <v>13</v>
      </c>
      <c r="AR278" s="2" t="s">
        <v>5</v>
      </c>
      <c r="AS278" s="2" t="s">
        <v>16</v>
      </c>
      <c r="AT278" s="5" t="str">
        <f>HYPERLINK("http://catalog.hathitrust.org/Record/003010310","HathiTrust Record")</f>
        <v>HathiTrust Record</v>
      </c>
      <c r="AU278" s="5" t="str">
        <f>HYPERLINK("https://creighton-primo.hosted.exlibrisgroup.com/primo-explore/search?tab=default_tab&amp;search_scope=EVERYTHING&amp;vid=01CRU&amp;lang=en_US&amp;offset=0&amp;query=any,contains,991002465309702656","Catalog Record")</f>
        <v>Catalog Record</v>
      </c>
      <c r="AV278" s="5" t="str">
        <f>HYPERLINK("http://www.worldcat.org/oclc/32131005","WorldCat Record")</f>
        <v>WorldCat Record</v>
      </c>
      <c r="AW278" s="2" t="s">
        <v>3806</v>
      </c>
      <c r="AX278" s="2" t="s">
        <v>3807</v>
      </c>
      <c r="AY278" s="2" t="s">
        <v>3808</v>
      </c>
      <c r="AZ278" s="2" t="s">
        <v>3808</v>
      </c>
      <c r="BA278" s="2" t="s">
        <v>3809</v>
      </c>
      <c r="BB278" s="2" t="s">
        <v>21</v>
      </c>
      <c r="BD278" s="2" t="s">
        <v>3810</v>
      </c>
      <c r="BE278" s="2" t="s">
        <v>3811</v>
      </c>
      <c r="BF278" s="2" t="s">
        <v>3812</v>
      </c>
    </row>
    <row r="279" spans="1:58" ht="39.75" customHeight="1" x14ac:dyDescent="0.25">
      <c r="A279" s="1"/>
      <c r="B279" s="1" t="s">
        <v>0</v>
      </c>
      <c r="C279" s="1" t="s">
        <v>1</v>
      </c>
      <c r="D279" s="1" t="s">
        <v>3813</v>
      </c>
      <c r="E279" s="1" t="s">
        <v>3814</v>
      </c>
      <c r="F279" s="1" t="s">
        <v>3815</v>
      </c>
      <c r="H279" s="2" t="s">
        <v>5</v>
      </c>
      <c r="I279" s="2" t="s">
        <v>6</v>
      </c>
      <c r="J279" s="2" t="s">
        <v>5</v>
      </c>
      <c r="K279" s="2" t="s">
        <v>5</v>
      </c>
      <c r="L279" s="2" t="s">
        <v>7</v>
      </c>
      <c r="N279" s="1" t="s">
        <v>3816</v>
      </c>
      <c r="O279" s="2" t="s">
        <v>45</v>
      </c>
      <c r="Q279" s="2" t="s">
        <v>11</v>
      </c>
      <c r="R279" s="2" t="s">
        <v>76</v>
      </c>
      <c r="T279" s="2" t="s">
        <v>1367</v>
      </c>
      <c r="U279" s="3">
        <v>4</v>
      </c>
      <c r="V279" s="3">
        <v>4</v>
      </c>
      <c r="W279" s="4" t="s">
        <v>3817</v>
      </c>
      <c r="X279" s="4" t="s">
        <v>3817</v>
      </c>
      <c r="Y279" s="4" t="s">
        <v>3137</v>
      </c>
      <c r="Z279" s="4" t="s">
        <v>3137</v>
      </c>
      <c r="AA279" s="3">
        <v>632</v>
      </c>
      <c r="AB279" s="3">
        <v>595</v>
      </c>
      <c r="AC279" s="3">
        <v>606</v>
      </c>
      <c r="AD279" s="3">
        <v>3</v>
      </c>
      <c r="AE279" s="7">
        <v>3</v>
      </c>
      <c r="AF279" s="7">
        <v>34</v>
      </c>
      <c r="AG279" s="7">
        <v>34</v>
      </c>
      <c r="AH279" s="3">
        <v>9</v>
      </c>
      <c r="AI279" s="3">
        <v>9</v>
      </c>
      <c r="AJ279" s="3">
        <v>6</v>
      </c>
      <c r="AK279" s="3">
        <v>6</v>
      </c>
      <c r="AL279" s="3">
        <v>12</v>
      </c>
      <c r="AM279" s="3">
        <v>12</v>
      </c>
      <c r="AN279" s="3">
        <v>2</v>
      </c>
      <c r="AO279" s="3">
        <v>2</v>
      </c>
      <c r="AP279" s="3">
        <v>11</v>
      </c>
      <c r="AQ279" s="3">
        <v>11</v>
      </c>
      <c r="AR279" s="2" t="s">
        <v>5</v>
      </c>
      <c r="AS279" s="2" t="s">
        <v>16</v>
      </c>
      <c r="AT279" s="5" t="str">
        <f>HYPERLINK("http://catalog.hathitrust.org/Record/000384120","HathiTrust Record")</f>
        <v>HathiTrust Record</v>
      </c>
      <c r="AU279" s="5" t="str">
        <f>HYPERLINK("https://creighton-primo.hosted.exlibrisgroup.com/primo-explore/search?tab=default_tab&amp;search_scope=EVERYTHING&amp;vid=01CRU&amp;lang=en_US&amp;offset=0&amp;query=any,contains,991000777119702656","Catalog Record")</f>
        <v>Catalog Record</v>
      </c>
      <c r="AV279" s="5" t="str">
        <f>HYPERLINK("http://www.worldcat.org/oclc/13090788","WorldCat Record")</f>
        <v>WorldCat Record</v>
      </c>
      <c r="AW279" s="2" t="s">
        <v>3818</v>
      </c>
      <c r="AX279" s="2" t="s">
        <v>3819</v>
      </c>
      <c r="AY279" s="2" t="s">
        <v>3820</v>
      </c>
      <c r="AZ279" s="2" t="s">
        <v>3820</v>
      </c>
      <c r="BA279" s="2" t="s">
        <v>3821</v>
      </c>
      <c r="BB279" s="2" t="s">
        <v>21</v>
      </c>
      <c r="BD279" s="2" t="s">
        <v>3822</v>
      </c>
      <c r="BE279" s="2" t="s">
        <v>3823</v>
      </c>
      <c r="BF279" s="2" t="s">
        <v>3824</v>
      </c>
    </row>
    <row r="280" spans="1:58" ht="39.75" customHeight="1" x14ac:dyDescent="0.25">
      <c r="A280" s="1"/>
      <c r="B280" s="1" t="s">
        <v>0</v>
      </c>
      <c r="C280" s="1" t="s">
        <v>1</v>
      </c>
      <c r="D280" s="1" t="s">
        <v>3825</v>
      </c>
      <c r="E280" s="1" t="s">
        <v>3826</v>
      </c>
      <c r="F280" s="1" t="s">
        <v>3827</v>
      </c>
      <c r="H280" s="2" t="s">
        <v>5</v>
      </c>
      <c r="I280" s="2" t="s">
        <v>6</v>
      </c>
      <c r="J280" s="2" t="s">
        <v>16</v>
      </c>
      <c r="K280" s="2" t="s">
        <v>5</v>
      </c>
      <c r="L280" s="2" t="s">
        <v>7</v>
      </c>
      <c r="N280" s="1" t="s">
        <v>3828</v>
      </c>
      <c r="O280" s="2" t="s">
        <v>486</v>
      </c>
      <c r="Q280" s="2" t="s">
        <v>11</v>
      </c>
      <c r="R280" s="2" t="s">
        <v>76</v>
      </c>
      <c r="S280" s="1" t="s">
        <v>3829</v>
      </c>
      <c r="T280" s="2" t="s">
        <v>1367</v>
      </c>
      <c r="U280" s="3">
        <v>7</v>
      </c>
      <c r="V280" s="3">
        <v>8</v>
      </c>
      <c r="W280" s="4" t="s">
        <v>3830</v>
      </c>
      <c r="X280" s="4" t="s">
        <v>3830</v>
      </c>
      <c r="Y280" s="4" t="s">
        <v>15</v>
      </c>
      <c r="Z280" s="4" t="s">
        <v>15</v>
      </c>
      <c r="AA280" s="3">
        <v>567</v>
      </c>
      <c r="AB280" s="3">
        <v>469</v>
      </c>
      <c r="AC280" s="3">
        <v>487</v>
      </c>
      <c r="AD280" s="3">
        <v>4</v>
      </c>
      <c r="AE280" s="7">
        <v>5</v>
      </c>
      <c r="AF280" s="7">
        <v>27</v>
      </c>
      <c r="AG280" s="7">
        <v>29</v>
      </c>
      <c r="AH280" s="3">
        <v>3</v>
      </c>
      <c r="AI280" s="3">
        <v>4</v>
      </c>
      <c r="AJ280" s="3">
        <v>6</v>
      </c>
      <c r="AK280" s="3">
        <v>6</v>
      </c>
      <c r="AL280" s="3">
        <v>12</v>
      </c>
      <c r="AM280" s="3">
        <v>12</v>
      </c>
      <c r="AN280" s="3">
        <v>2</v>
      </c>
      <c r="AO280" s="3">
        <v>2</v>
      </c>
      <c r="AP280" s="3">
        <v>9</v>
      </c>
      <c r="AQ280" s="3">
        <v>10</v>
      </c>
      <c r="AR280" s="2" t="s">
        <v>5</v>
      </c>
      <c r="AS280" s="2" t="s">
        <v>16</v>
      </c>
      <c r="AT280" s="5" t="str">
        <f>HYPERLINK("http://catalog.hathitrust.org/Record/000313640","HathiTrust Record")</f>
        <v>HathiTrust Record</v>
      </c>
      <c r="AU280" s="5" t="str">
        <f>HYPERLINK("https://creighton-primo.hosted.exlibrisgroup.com/primo-explore/search?tab=default_tab&amp;search_scope=EVERYTHING&amp;vid=01CRU&amp;lang=en_US&amp;offset=0&amp;query=any,contains,991001767449702656","Catalog Record")</f>
        <v>Catalog Record</v>
      </c>
      <c r="AV280" s="5" t="str">
        <f>HYPERLINK("http://www.worldcat.org/oclc/8866343","WorldCat Record")</f>
        <v>WorldCat Record</v>
      </c>
      <c r="AW280" s="2" t="s">
        <v>3831</v>
      </c>
      <c r="AX280" s="2" t="s">
        <v>3832</v>
      </c>
      <c r="AY280" s="2" t="s">
        <v>3833</v>
      </c>
      <c r="AZ280" s="2" t="s">
        <v>3833</v>
      </c>
      <c r="BA280" s="2" t="s">
        <v>3834</v>
      </c>
      <c r="BB280" s="2" t="s">
        <v>21</v>
      </c>
      <c r="BD280" s="2" t="s">
        <v>3835</v>
      </c>
      <c r="BE280" s="2" t="s">
        <v>3836</v>
      </c>
      <c r="BF280" s="2" t="s">
        <v>3837</v>
      </c>
    </row>
    <row r="281" spans="1:58" ht="39.75" customHeight="1" x14ac:dyDescent="0.25">
      <c r="A281" s="1"/>
      <c r="B281" s="1" t="s">
        <v>0</v>
      </c>
      <c r="C281" s="1" t="s">
        <v>1</v>
      </c>
      <c r="D281" s="1" t="s">
        <v>3838</v>
      </c>
      <c r="E281" s="1" t="s">
        <v>3839</v>
      </c>
      <c r="F281" s="1" t="s">
        <v>3840</v>
      </c>
      <c r="H281" s="2" t="s">
        <v>5</v>
      </c>
      <c r="I281" s="2" t="s">
        <v>6</v>
      </c>
      <c r="J281" s="2" t="s">
        <v>5</v>
      </c>
      <c r="K281" s="2" t="s">
        <v>5</v>
      </c>
      <c r="L281" s="2" t="s">
        <v>7</v>
      </c>
      <c r="N281" s="1" t="s">
        <v>3841</v>
      </c>
      <c r="O281" s="2" t="s">
        <v>387</v>
      </c>
      <c r="Q281" s="2" t="s">
        <v>11</v>
      </c>
      <c r="R281" s="2" t="s">
        <v>903</v>
      </c>
      <c r="S281" s="1" t="s">
        <v>3842</v>
      </c>
      <c r="T281" s="2" t="s">
        <v>1367</v>
      </c>
      <c r="U281" s="3">
        <v>13</v>
      </c>
      <c r="V281" s="3">
        <v>13</v>
      </c>
      <c r="W281" s="4" t="s">
        <v>3843</v>
      </c>
      <c r="X281" s="4" t="s">
        <v>3843</v>
      </c>
      <c r="Y281" s="4" t="s">
        <v>15</v>
      </c>
      <c r="Z281" s="4" t="s">
        <v>15</v>
      </c>
      <c r="AA281" s="3">
        <v>468</v>
      </c>
      <c r="AB281" s="3">
        <v>395</v>
      </c>
      <c r="AC281" s="3">
        <v>401</v>
      </c>
      <c r="AD281" s="3">
        <v>6</v>
      </c>
      <c r="AE281" s="7">
        <v>6</v>
      </c>
      <c r="AF281" s="7">
        <v>29</v>
      </c>
      <c r="AG281" s="7">
        <v>29</v>
      </c>
      <c r="AH281" s="3">
        <v>8</v>
      </c>
      <c r="AI281" s="3">
        <v>8</v>
      </c>
      <c r="AJ281" s="3">
        <v>5</v>
      </c>
      <c r="AK281" s="3">
        <v>5</v>
      </c>
      <c r="AL281" s="3">
        <v>7</v>
      </c>
      <c r="AM281" s="3">
        <v>7</v>
      </c>
      <c r="AN281" s="3">
        <v>4</v>
      </c>
      <c r="AO281" s="3">
        <v>4</v>
      </c>
      <c r="AP281" s="3">
        <v>11</v>
      </c>
      <c r="AQ281" s="3">
        <v>11</v>
      </c>
      <c r="AR281" s="2" t="s">
        <v>5</v>
      </c>
      <c r="AS281" s="2" t="s">
        <v>16</v>
      </c>
      <c r="AT281" s="5" t="str">
        <f>HYPERLINK("http://catalog.hathitrust.org/Record/000330509","HathiTrust Record")</f>
        <v>HathiTrust Record</v>
      </c>
      <c r="AU281" s="5" t="str">
        <f>HYPERLINK("https://creighton-primo.hosted.exlibrisgroup.com/primo-explore/search?tab=default_tab&amp;search_scope=EVERYTHING&amp;vid=01CRU&amp;lang=en_US&amp;offset=0&amp;query=any,contains,991000328749702656","Catalog Record")</f>
        <v>Catalog Record</v>
      </c>
      <c r="AV281" s="5" t="str">
        <f>HYPERLINK("http://www.worldcat.org/oclc/10185389","WorldCat Record")</f>
        <v>WorldCat Record</v>
      </c>
      <c r="AW281" s="2" t="s">
        <v>3844</v>
      </c>
      <c r="AX281" s="2" t="s">
        <v>3845</v>
      </c>
      <c r="AY281" s="2" t="s">
        <v>3846</v>
      </c>
      <c r="AZ281" s="2" t="s">
        <v>3846</v>
      </c>
      <c r="BA281" s="2" t="s">
        <v>3847</v>
      </c>
      <c r="BB281" s="2" t="s">
        <v>21</v>
      </c>
      <c r="BD281" s="2" t="s">
        <v>3848</v>
      </c>
      <c r="BE281" s="2" t="s">
        <v>3849</v>
      </c>
      <c r="BF281" s="2" t="s">
        <v>3850</v>
      </c>
    </row>
    <row r="282" spans="1:58" ht="39.75" customHeight="1" x14ac:dyDescent="0.25">
      <c r="A282" s="1"/>
      <c r="B282" s="1" t="s">
        <v>0</v>
      </c>
      <c r="C282" s="1" t="s">
        <v>1</v>
      </c>
      <c r="D282" s="1" t="s">
        <v>3851</v>
      </c>
      <c r="E282" s="1" t="s">
        <v>3852</v>
      </c>
      <c r="F282" s="1" t="s">
        <v>3853</v>
      </c>
      <c r="H282" s="2" t="s">
        <v>5</v>
      </c>
      <c r="I282" s="2" t="s">
        <v>6</v>
      </c>
      <c r="J282" s="2" t="s">
        <v>5</v>
      </c>
      <c r="K282" s="2" t="s">
        <v>5</v>
      </c>
      <c r="L282" s="2" t="s">
        <v>7</v>
      </c>
      <c r="M282" s="1" t="s">
        <v>3854</v>
      </c>
      <c r="N282" s="1" t="s">
        <v>3855</v>
      </c>
      <c r="O282" s="2" t="s">
        <v>401</v>
      </c>
      <c r="Q282" s="2" t="s">
        <v>11</v>
      </c>
      <c r="R282" s="2" t="s">
        <v>153</v>
      </c>
      <c r="T282" s="2" t="s">
        <v>1367</v>
      </c>
      <c r="U282" s="3">
        <v>1</v>
      </c>
      <c r="V282" s="3">
        <v>1</v>
      </c>
      <c r="W282" s="4" t="s">
        <v>3856</v>
      </c>
      <c r="X282" s="4" t="s">
        <v>3856</v>
      </c>
      <c r="Y282" s="4" t="s">
        <v>1578</v>
      </c>
      <c r="Z282" s="4" t="s">
        <v>1578</v>
      </c>
      <c r="AA282" s="3">
        <v>272</v>
      </c>
      <c r="AB282" s="3">
        <v>246</v>
      </c>
      <c r="AC282" s="3">
        <v>249</v>
      </c>
      <c r="AD282" s="3">
        <v>2</v>
      </c>
      <c r="AE282" s="7">
        <v>2</v>
      </c>
      <c r="AF282" s="7">
        <v>18</v>
      </c>
      <c r="AG282" s="7">
        <v>18</v>
      </c>
      <c r="AH282" s="3">
        <v>0</v>
      </c>
      <c r="AI282" s="3">
        <v>0</v>
      </c>
      <c r="AJ282" s="3">
        <v>1</v>
      </c>
      <c r="AK282" s="3">
        <v>1</v>
      </c>
      <c r="AL282" s="3">
        <v>3</v>
      </c>
      <c r="AM282" s="3">
        <v>3</v>
      </c>
      <c r="AN282" s="3">
        <v>0</v>
      </c>
      <c r="AO282" s="3">
        <v>0</v>
      </c>
      <c r="AP282" s="3">
        <v>15</v>
      </c>
      <c r="AQ282" s="3">
        <v>15</v>
      </c>
      <c r="AR282" s="2" t="s">
        <v>5</v>
      </c>
      <c r="AS282" s="2" t="s">
        <v>16</v>
      </c>
      <c r="AT282" s="5" t="str">
        <f>HYPERLINK("http://catalog.hathitrust.org/Record/001560480","HathiTrust Record")</f>
        <v>HathiTrust Record</v>
      </c>
      <c r="AU282" s="5" t="str">
        <f>HYPERLINK("https://creighton-primo.hosted.exlibrisgroup.com/primo-explore/search?tab=default_tab&amp;search_scope=EVERYTHING&amp;vid=01CRU&amp;lang=en_US&amp;offset=0&amp;query=any,contains,991002773029702656","Catalog Record")</f>
        <v>Catalog Record</v>
      </c>
      <c r="AV282" s="5" t="str">
        <f>HYPERLINK("http://www.worldcat.org/oclc/437743","WorldCat Record")</f>
        <v>WorldCat Record</v>
      </c>
      <c r="AW282" s="2" t="s">
        <v>3857</v>
      </c>
      <c r="AX282" s="2" t="s">
        <v>3858</v>
      </c>
      <c r="AY282" s="2" t="s">
        <v>3859</v>
      </c>
      <c r="AZ282" s="2" t="s">
        <v>3859</v>
      </c>
      <c r="BA282" s="2" t="s">
        <v>3860</v>
      </c>
      <c r="BB282" s="2" t="s">
        <v>21</v>
      </c>
      <c r="BE282" s="2" t="s">
        <v>3861</v>
      </c>
      <c r="BF282" s="2" t="s">
        <v>3862</v>
      </c>
    </row>
    <row r="283" spans="1:58" ht="39.75" customHeight="1" x14ac:dyDescent="0.25">
      <c r="A283" s="1"/>
      <c r="B283" s="1" t="s">
        <v>0</v>
      </c>
      <c r="C283" s="1" t="s">
        <v>1</v>
      </c>
      <c r="D283" s="1" t="s">
        <v>3863</v>
      </c>
      <c r="E283" s="1" t="s">
        <v>3864</v>
      </c>
      <c r="F283" s="1" t="s">
        <v>3865</v>
      </c>
      <c r="H283" s="2" t="s">
        <v>5</v>
      </c>
      <c r="I283" s="2" t="s">
        <v>6</v>
      </c>
      <c r="J283" s="2" t="s">
        <v>5</v>
      </c>
      <c r="K283" s="2" t="s">
        <v>5</v>
      </c>
      <c r="L283" s="2" t="s">
        <v>7</v>
      </c>
      <c r="M283" s="1" t="s">
        <v>3866</v>
      </c>
      <c r="N283" s="1" t="s">
        <v>3867</v>
      </c>
      <c r="O283" s="2" t="s">
        <v>228</v>
      </c>
      <c r="Q283" s="2" t="s">
        <v>11</v>
      </c>
      <c r="R283" s="2" t="s">
        <v>501</v>
      </c>
      <c r="T283" s="2" t="s">
        <v>1367</v>
      </c>
      <c r="U283" s="3">
        <v>11</v>
      </c>
      <c r="V283" s="3">
        <v>11</v>
      </c>
      <c r="W283" s="4" t="s">
        <v>3868</v>
      </c>
      <c r="X283" s="4" t="s">
        <v>3868</v>
      </c>
      <c r="Y283" s="4" t="s">
        <v>246</v>
      </c>
      <c r="Z283" s="4" t="s">
        <v>246</v>
      </c>
      <c r="AA283" s="3">
        <v>194</v>
      </c>
      <c r="AB283" s="3">
        <v>159</v>
      </c>
      <c r="AC283" s="3">
        <v>165</v>
      </c>
      <c r="AD283" s="3">
        <v>2</v>
      </c>
      <c r="AE283" s="7">
        <v>2</v>
      </c>
      <c r="AF283" s="7">
        <v>11</v>
      </c>
      <c r="AG283" s="7">
        <v>11</v>
      </c>
      <c r="AH283" s="3">
        <v>2</v>
      </c>
      <c r="AI283" s="3">
        <v>2</v>
      </c>
      <c r="AJ283" s="3">
        <v>0</v>
      </c>
      <c r="AK283" s="3">
        <v>0</v>
      </c>
      <c r="AL283" s="3">
        <v>3</v>
      </c>
      <c r="AM283" s="3">
        <v>3</v>
      </c>
      <c r="AN283" s="3">
        <v>1</v>
      </c>
      <c r="AO283" s="3">
        <v>1</v>
      </c>
      <c r="AP283" s="3">
        <v>7</v>
      </c>
      <c r="AQ283" s="3">
        <v>7</v>
      </c>
      <c r="AR283" s="2" t="s">
        <v>5</v>
      </c>
      <c r="AS283" s="2" t="s">
        <v>5</v>
      </c>
      <c r="AU283" s="5" t="str">
        <f>HYPERLINK("https://creighton-primo.hosted.exlibrisgroup.com/primo-explore/search?tab=default_tab&amp;search_scope=EVERYTHING&amp;vid=01CRU&amp;lang=en_US&amp;offset=0&amp;query=any,contains,991001462339702656","Catalog Record")</f>
        <v>Catalog Record</v>
      </c>
      <c r="AV283" s="5" t="str">
        <f>HYPERLINK("http://www.worldcat.org/oclc/19456415","WorldCat Record")</f>
        <v>WorldCat Record</v>
      </c>
      <c r="AW283" s="2" t="s">
        <v>3869</v>
      </c>
      <c r="AX283" s="2" t="s">
        <v>3870</v>
      </c>
      <c r="AY283" s="2" t="s">
        <v>3871</v>
      </c>
      <c r="AZ283" s="2" t="s">
        <v>3871</v>
      </c>
      <c r="BA283" s="2" t="s">
        <v>3872</v>
      </c>
      <c r="BB283" s="2" t="s">
        <v>21</v>
      </c>
      <c r="BD283" s="2" t="s">
        <v>3873</v>
      </c>
      <c r="BE283" s="2" t="s">
        <v>3874</v>
      </c>
      <c r="BF283" s="2" t="s">
        <v>3875</v>
      </c>
    </row>
    <row r="284" spans="1:58" ht="39.75" customHeight="1" x14ac:dyDescent="0.25">
      <c r="A284" s="1"/>
      <c r="B284" s="1" t="s">
        <v>0</v>
      </c>
      <c r="C284" s="1" t="s">
        <v>1</v>
      </c>
      <c r="D284" s="1" t="s">
        <v>3876</v>
      </c>
      <c r="E284" s="1" t="s">
        <v>3877</v>
      </c>
      <c r="F284" s="1" t="s">
        <v>3878</v>
      </c>
      <c r="H284" s="2" t="s">
        <v>5</v>
      </c>
      <c r="I284" s="2" t="s">
        <v>6</v>
      </c>
      <c r="J284" s="2" t="s">
        <v>5</v>
      </c>
      <c r="K284" s="2" t="s">
        <v>5</v>
      </c>
      <c r="L284" s="2" t="s">
        <v>7</v>
      </c>
      <c r="M284" s="1" t="s">
        <v>3879</v>
      </c>
      <c r="N284" s="1" t="s">
        <v>3880</v>
      </c>
      <c r="O284" s="2" t="s">
        <v>213</v>
      </c>
      <c r="Q284" s="2" t="s">
        <v>11</v>
      </c>
      <c r="R284" s="2" t="s">
        <v>76</v>
      </c>
      <c r="S284" s="1" t="s">
        <v>3881</v>
      </c>
      <c r="T284" s="2" t="s">
        <v>1367</v>
      </c>
      <c r="U284" s="3">
        <v>2</v>
      </c>
      <c r="V284" s="3">
        <v>2</v>
      </c>
      <c r="W284" s="4" t="s">
        <v>3882</v>
      </c>
      <c r="X284" s="4" t="s">
        <v>3882</v>
      </c>
      <c r="Y284" s="4" t="s">
        <v>3883</v>
      </c>
      <c r="Z284" s="4" t="s">
        <v>3883</v>
      </c>
      <c r="AA284" s="3">
        <v>518</v>
      </c>
      <c r="AB284" s="3">
        <v>508</v>
      </c>
      <c r="AC284" s="3">
        <v>515</v>
      </c>
      <c r="AD284" s="3">
        <v>3</v>
      </c>
      <c r="AE284" s="7">
        <v>3</v>
      </c>
      <c r="AF284" s="7">
        <v>23</v>
      </c>
      <c r="AG284" s="7">
        <v>23</v>
      </c>
      <c r="AH284" s="3">
        <v>4</v>
      </c>
      <c r="AI284" s="3">
        <v>4</v>
      </c>
      <c r="AJ284" s="3">
        <v>4</v>
      </c>
      <c r="AK284" s="3">
        <v>4</v>
      </c>
      <c r="AL284" s="3">
        <v>8</v>
      </c>
      <c r="AM284" s="3">
        <v>8</v>
      </c>
      <c r="AN284" s="3">
        <v>2</v>
      </c>
      <c r="AO284" s="3">
        <v>2</v>
      </c>
      <c r="AP284" s="3">
        <v>9</v>
      </c>
      <c r="AQ284" s="3">
        <v>9</v>
      </c>
      <c r="AR284" s="2" t="s">
        <v>5</v>
      </c>
      <c r="AS284" s="2" t="s">
        <v>16</v>
      </c>
      <c r="AT284" s="5" t="str">
        <f>HYPERLINK("http://catalog.hathitrust.org/Record/004509410","HathiTrust Record")</f>
        <v>HathiTrust Record</v>
      </c>
      <c r="AU284" s="5" t="str">
        <f>HYPERLINK("https://creighton-primo.hosted.exlibrisgroup.com/primo-explore/search?tab=default_tab&amp;search_scope=EVERYTHING&amp;vid=01CRU&amp;lang=en_US&amp;offset=0&amp;query=any,contains,991004257729702656","Catalog Record")</f>
        <v>Catalog Record</v>
      </c>
      <c r="AV284" s="5" t="str">
        <f>HYPERLINK("http://www.worldcat.org/oclc/2830788","WorldCat Record")</f>
        <v>WorldCat Record</v>
      </c>
      <c r="AW284" s="2" t="s">
        <v>3884</v>
      </c>
      <c r="AX284" s="2" t="s">
        <v>3885</v>
      </c>
      <c r="AY284" s="2" t="s">
        <v>3886</v>
      </c>
      <c r="AZ284" s="2" t="s">
        <v>3886</v>
      </c>
      <c r="BA284" s="2" t="s">
        <v>3887</v>
      </c>
      <c r="BB284" s="2" t="s">
        <v>21</v>
      </c>
      <c r="BD284" s="2" t="s">
        <v>3888</v>
      </c>
      <c r="BE284" s="2" t="s">
        <v>3889</v>
      </c>
      <c r="BF284" s="2" t="s">
        <v>3890</v>
      </c>
    </row>
    <row r="285" spans="1:58" ht="39.75" customHeight="1" x14ac:dyDescent="0.25">
      <c r="A285" s="1"/>
      <c r="B285" s="1" t="s">
        <v>0</v>
      </c>
      <c r="C285" s="1" t="s">
        <v>1</v>
      </c>
      <c r="D285" s="1" t="s">
        <v>3891</v>
      </c>
      <c r="E285" s="1" t="s">
        <v>3892</v>
      </c>
      <c r="F285" s="1" t="s">
        <v>3893</v>
      </c>
      <c r="H285" s="2" t="s">
        <v>5</v>
      </c>
      <c r="I285" s="2" t="s">
        <v>6</v>
      </c>
      <c r="J285" s="2" t="s">
        <v>5</v>
      </c>
      <c r="K285" s="2" t="s">
        <v>5</v>
      </c>
      <c r="L285" s="2" t="s">
        <v>7</v>
      </c>
      <c r="M285" s="1" t="s">
        <v>3894</v>
      </c>
      <c r="N285" s="1" t="s">
        <v>3895</v>
      </c>
      <c r="O285" s="2" t="s">
        <v>75</v>
      </c>
      <c r="Q285" s="2" t="s">
        <v>11</v>
      </c>
      <c r="R285" s="2" t="s">
        <v>76</v>
      </c>
      <c r="S285" s="1" t="s">
        <v>3896</v>
      </c>
      <c r="T285" s="2" t="s">
        <v>1367</v>
      </c>
      <c r="U285" s="3">
        <v>2</v>
      </c>
      <c r="V285" s="3">
        <v>2</v>
      </c>
      <c r="W285" s="4" t="s">
        <v>949</v>
      </c>
      <c r="X285" s="4" t="s">
        <v>949</v>
      </c>
      <c r="Y285" s="4" t="s">
        <v>3883</v>
      </c>
      <c r="Z285" s="4" t="s">
        <v>3883</v>
      </c>
      <c r="AA285" s="3">
        <v>128</v>
      </c>
      <c r="AB285" s="3">
        <v>110</v>
      </c>
      <c r="AC285" s="3">
        <v>516</v>
      </c>
      <c r="AD285" s="3">
        <v>1</v>
      </c>
      <c r="AE285" s="7">
        <v>4</v>
      </c>
      <c r="AF285" s="7">
        <v>4</v>
      </c>
      <c r="AG285" s="7">
        <v>34</v>
      </c>
      <c r="AH285" s="3">
        <v>2</v>
      </c>
      <c r="AI285" s="3">
        <v>7</v>
      </c>
      <c r="AJ285" s="3">
        <v>1</v>
      </c>
      <c r="AK285" s="3">
        <v>4</v>
      </c>
      <c r="AL285" s="3">
        <v>1</v>
      </c>
      <c r="AM285" s="3">
        <v>4</v>
      </c>
      <c r="AN285" s="3">
        <v>0</v>
      </c>
      <c r="AO285" s="3">
        <v>2</v>
      </c>
      <c r="AP285" s="3">
        <v>1</v>
      </c>
      <c r="AQ285" s="3">
        <v>20</v>
      </c>
      <c r="AR285" s="2" t="s">
        <v>5</v>
      </c>
      <c r="AS285" s="2" t="s">
        <v>5</v>
      </c>
      <c r="AU285" s="5" t="str">
        <f>HYPERLINK("https://creighton-primo.hosted.exlibrisgroup.com/primo-explore/search?tab=default_tab&amp;search_scope=EVERYTHING&amp;vid=01CRU&amp;lang=en_US&amp;offset=0&amp;query=any,contains,991001272929702656","Catalog Record")</f>
        <v>Catalog Record</v>
      </c>
      <c r="AV285" s="5" t="str">
        <f>HYPERLINK("http://www.worldcat.org/oclc/212540","WorldCat Record")</f>
        <v>WorldCat Record</v>
      </c>
      <c r="AW285" s="2" t="s">
        <v>3897</v>
      </c>
      <c r="AX285" s="2" t="s">
        <v>3898</v>
      </c>
      <c r="AY285" s="2" t="s">
        <v>3899</v>
      </c>
      <c r="AZ285" s="2" t="s">
        <v>3899</v>
      </c>
      <c r="BA285" s="2" t="s">
        <v>3900</v>
      </c>
      <c r="BB285" s="2" t="s">
        <v>21</v>
      </c>
      <c r="BD285" s="2" t="s">
        <v>3901</v>
      </c>
      <c r="BE285" s="2" t="s">
        <v>3902</v>
      </c>
      <c r="BF285" s="2" t="s">
        <v>3903</v>
      </c>
    </row>
    <row r="286" spans="1:58" ht="39.75" customHeight="1" x14ac:dyDescent="0.25">
      <c r="A286" s="1"/>
      <c r="B286" s="1" t="s">
        <v>0</v>
      </c>
      <c r="C286" s="1" t="s">
        <v>1</v>
      </c>
      <c r="D286" s="1" t="s">
        <v>3904</v>
      </c>
      <c r="E286" s="1" t="s">
        <v>3905</v>
      </c>
      <c r="F286" s="1" t="s">
        <v>3906</v>
      </c>
      <c r="H286" s="2" t="s">
        <v>5</v>
      </c>
      <c r="I286" s="2" t="s">
        <v>6</v>
      </c>
      <c r="J286" s="2" t="s">
        <v>5</v>
      </c>
      <c r="K286" s="2" t="s">
        <v>5</v>
      </c>
      <c r="L286" s="2" t="s">
        <v>7</v>
      </c>
      <c r="N286" s="1" t="s">
        <v>3907</v>
      </c>
      <c r="O286" s="2" t="s">
        <v>1745</v>
      </c>
      <c r="Q286" s="2" t="s">
        <v>11</v>
      </c>
      <c r="R286" s="2" t="s">
        <v>76</v>
      </c>
      <c r="T286" s="2" t="s">
        <v>1367</v>
      </c>
      <c r="U286" s="3">
        <v>7</v>
      </c>
      <c r="V286" s="3">
        <v>7</v>
      </c>
      <c r="W286" s="4" t="s">
        <v>262</v>
      </c>
      <c r="X286" s="4" t="s">
        <v>262</v>
      </c>
      <c r="Y286" s="4" t="s">
        <v>3908</v>
      </c>
      <c r="Z286" s="4" t="s">
        <v>3908</v>
      </c>
      <c r="AA286" s="3">
        <v>341</v>
      </c>
      <c r="AB286" s="3">
        <v>301</v>
      </c>
      <c r="AC286" s="3">
        <v>327</v>
      </c>
      <c r="AD286" s="3">
        <v>3</v>
      </c>
      <c r="AE286" s="7">
        <v>3</v>
      </c>
      <c r="AF286" s="7">
        <v>16</v>
      </c>
      <c r="AG286" s="7">
        <v>17</v>
      </c>
      <c r="AH286" s="3">
        <v>6</v>
      </c>
      <c r="AI286" s="3">
        <v>6</v>
      </c>
      <c r="AJ286" s="3">
        <v>2</v>
      </c>
      <c r="AK286" s="3">
        <v>2</v>
      </c>
      <c r="AL286" s="3">
        <v>10</v>
      </c>
      <c r="AM286" s="3">
        <v>10</v>
      </c>
      <c r="AN286" s="3">
        <v>2</v>
      </c>
      <c r="AO286" s="3">
        <v>2</v>
      </c>
      <c r="AP286" s="3">
        <v>1</v>
      </c>
      <c r="AQ286" s="3">
        <v>2</v>
      </c>
      <c r="AR286" s="2" t="s">
        <v>5</v>
      </c>
      <c r="AS286" s="2" t="s">
        <v>5</v>
      </c>
      <c r="AU286" s="5" t="str">
        <f>HYPERLINK("https://creighton-primo.hosted.exlibrisgroup.com/primo-explore/search?tab=default_tab&amp;search_scope=EVERYTHING&amp;vid=01CRU&amp;lang=en_US&amp;offset=0&amp;query=any,contains,991002212989702656","Catalog Record")</f>
        <v>Catalog Record</v>
      </c>
      <c r="AV286" s="5" t="str">
        <f>HYPERLINK("http://www.worldcat.org/oclc/28495591","WorldCat Record")</f>
        <v>WorldCat Record</v>
      </c>
      <c r="AW286" s="2" t="s">
        <v>3909</v>
      </c>
      <c r="AX286" s="2" t="s">
        <v>3910</v>
      </c>
      <c r="AY286" s="2" t="s">
        <v>3911</v>
      </c>
      <c r="AZ286" s="2" t="s">
        <v>3911</v>
      </c>
      <c r="BA286" s="2" t="s">
        <v>3912</v>
      </c>
      <c r="BB286" s="2" t="s">
        <v>21</v>
      </c>
      <c r="BD286" s="2" t="s">
        <v>3913</v>
      </c>
      <c r="BE286" s="2" t="s">
        <v>3914</v>
      </c>
      <c r="BF286" s="2" t="s">
        <v>3915</v>
      </c>
    </row>
    <row r="287" spans="1:58" ht="39.75" customHeight="1" x14ac:dyDescent="0.25">
      <c r="A287" s="1"/>
      <c r="B287" s="1" t="s">
        <v>0</v>
      </c>
      <c r="C287" s="1" t="s">
        <v>1</v>
      </c>
      <c r="D287" s="1" t="s">
        <v>3916</v>
      </c>
      <c r="E287" s="1" t="s">
        <v>3917</v>
      </c>
      <c r="F287" s="1" t="s">
        <v>3918</v>
      </c>
      <c r="H287" s="2" t="s">
        <v>5</v>
      </c>
      <c r="I287" s="2" t="s">
        <v>6</v>
      </c>
      <c r="J287" s="2" t="s">
        <v>5</v>
      </c>
      <c r="K287" s="2" t="s">
        <v>5</v>
      </c>
      <c r="L287" s="2" t="s">
        <v>7</v>
      </c>
      <c r="M287" s="1" t="s">
        <v>3919</v>
      </c>
      <c r="N287" s="1" t="s">
        <v>3920</v>
      </c>
      <c r="O287" s="2" t="s">
        <v>3921</v>
      </c>
      <c r="Q287" s="2" t="s">
        <v>11</v>
      </c>
      <c r="R287" s="2" t="s">
        <v>76</v>
      </c>
      <c r="T287" s="2" t="s">
        <v>1367</v>
      </c>
      <c r="U287" s="3">
        <v>1</v>
      </c>
      <c r="V287" s="3">
        <v>1</v>
      </c>
      <c r="W287" s="4" t="s">
        <v>3922</v>
      </c>
      <c r="X287" s="4" t="s">
        <v>3922</v>
      </c>
      <c r="Y287" s="4" t="s">
        <v>1073</v>
      </c>
      <c r="Z287" s="4" t="s">
        <v>1073</v>
      </c>
      <c r="AA287" s="3">
        <v>251</v>
      </c>
      <c r="AB287" s="3">
        <v>229</v>
      </c>
      <c r="AC287" s="3">
        <v>393</v>
      </c>
      <c r="AD287" s="3">
        <v>2</v>
      </c>
      <c r="AE287" s="7">
        <v>3</v>
      </c>
      <c r="AF287" s="7">
        <v>14</v>
      </c>
      <c r="AG287" s="7">
        <v>26</v>
      </c>
      <c r="AH287" s="3">
        <v>2</v>
      </c>
      <c r="AI287" s="3">
        <v>7</v>
      </c>
      <c r="AJ287" s="3">
        <v>2</v>
      </c>
      <c r="AK287" s="3">
        <v>5</v>
      </c>
      <c r="AL287" s="3">
        <v>5</v>
      </c>
      <c r="AM287" s="3">
        <v>6</v>
      </c>
      <c r="AN287" s="3">
        <v>0</v>
      </c>
      <c r="AO287" s="3">
        <v>1</v>
      </c>
      <c r="AP287" s="3">
        <v>7</v>
      </c>
      <c r="AQ287" s="3">
        <v>11</v>
      </c>
      <c r="AR287" s="2" t="s">
        <v>5</v>
      </c>
      <c r="AS287" s="2" t="s">
        <v>5</v>
      </c>
      <c r="AT287" s="5" t="str">
        <f>HYPERLINK("http://catalog.hathitrust.org/Record/001151932","HathiTrust Record")</f>
        <v>HathiTrust Record</v>
      </c>
      <c r="AU287" s="5" t="str">
        <f>HYPERLINK("https://creighton-primo.hosted.exlibrisgroup.com/primo-explore/search?tab=default_tab&amp;search_scope=EVERYTHING&amp;vid=01CRU&amp;lang=en_US&amp;offset=0&amp;query=any,contains,991002877689702656","Catalog Record")</f>
        <v>Catalog Record</v>
      </c>
      <c r="AV287" s="5" t="str">
        <f>HYPERLINK("http://www.worldcat.org/oclc/503910","WorldCat Record")</f>
        <v>WorldCat Record</v>
      </c>
      <c r="AW287" s="2" t="s">
        <v>3923</v>
      </c>
      <c r="AX287" s="2" t="s">
        <v>3924</v>
      </c>
      <c r="AY287" s="2" t="s">
        <v>3925</v>
      </c>
      <c r="AZ287" s="2" t="s">
        <v>3925</v>
      </c>
      <c r="BA287" s="2" t="s">
        <v>3926</v>
      </c>
      <c r="BB287" s="2" t="s">
        <v>21</v>
      </c>
      <c r="BE287" s="2" t="s">
        <v>3927</v>
      </c>
      <c r="BF287" s="2" t="s">
        <v>3928</v>
      </c>
    </row>
    <row r="288" spans="1:58" ht="39.75" customHeight="1" x14ac:dyDescent="0.25">
      <c r="A288" s="1"/>
      <c r="B288" s="1" t="s">
        <v>0</v>
      </c>
      <c r="C288" s="1" t="s">
        <v>1</v>
      </c>
      <c r="D288" s="1" t="s">
        <v>3929</v>
      </c>
      <c r="E288" s="1" t="s">
        <v>3930</v>
      </c>
      <c r="F288" s="1" t="s">
        <v>3931</v>
      </c>
      <c r="H288" s="2" t="s">
        <v>5</v>
      </c>
      <c r="I288" s="2" t="s">
        <v>6</v>
      </c>
      <c r="J288" s="2" t="s">
        <v>16</v>
      </c>
      <c r="K288" s="2" t="s">
        <v>5</v>
      </c>
      <c r="L288" s="2" t="s">
        <v>7</v>
      </c>
      <c r="M288" s="1" t="s">
        <v>3932</v>
      </c>
      <c r="N288" s="1" t="s">
        <v>3933</v>
      </c>
      <c r="O288" s="2" t="s">
        <v>3934</v>
      </c>
      <c r="Q288" s="2" t="s">
        <v>11</v>
      </c>
      <c r="R288" s="2" t="s">
        <v>501</v>
      </c>
      <c r="T288" s="2" t="s">
        <v>1367</v>
      </c>
      <c r="U288" s="3">
        <v>3</v>
      </c>
      <c r="V288" s="3">
        <v>4</v>
      </c>
      <c r="W288" s="4" t="s">
        <v>3935</v>
      </c>
      <c r="X288" s="4" t="s">
        <v>3935</v>
      </c>
      <c r="Y288" s="4" t="s">
        <v>3936</v>
      </c>
      <c r="Z288" s="4" t="s">
        <v>3936</v>
      </c>
      <c r="AA288" s="3">
        <v>996</v>
      </c>
      <c r="AB288" s="3">
        <v>917</v>
      </c>
      <c r="AC288" s="3">
        <v>922</v>
      </c>
      <c r="AD288" s="3">
        <v>12</v>
      </c>
      <c r="AE288" s="7">
        <v>12</v>
      </c>
      <c r="AF288" s="7">
        <v>59</v>
      </c>
      <c r="AG288" s="7">
        <v>59</v>
      </c>
      <c r="AH288" s="3">
        <v>15</v>
      </c>
      <c r="AI288" s="3">
        <v>15</v>
      </c>
      <c r="AJ288" s="3">
        <v>7</v>
      </c>
      <c r="AK288" s="3">
        <v>7</v>
      </c>
      <c r="AL288" s="3">
        <v>21</v>
      </c>
      <c r="AM288" s="3">
        <v>21</v>
      </c>
      <c r="AN288" s="3">
        <v>8</v>
      </c>
      <c r="AO288" s="3">
        <v>8</v>
      </c>
      <c r="AP288" s="3">
        <v>18</v>
      </c>
      <c r="AQ288" s="3">
        <v>18</v>
      </c>
      <c r="AR288" s="2" t="s">
        <v>5</v>
      </c>
      <c r="AS288" s="2" t="s">
        <v>5</v>
      </c>
      <c r="AT288" s="5" t="str">
        <f>HYPERLINK("http://catalog.hathitrust.org/Record/001413477","HathiTrust Record")</f>
        <v>HathiTrust Record</v>
      </c>
      <c r="AU288" s="5" t="str">
        <f>HYPERLINK("https://creighton-primo.hosted.exlibrisgroup.com/primo-explore/search?tab=default_tab&amp;search_scope=EVERYTHING&amp;vid=01CRU&amp;lang=en_US&amp;offset=0&amp;query=any,contains,991001806499702656","Catalog Record")</f>
        <v>Catalog Record</v>
      </c>
      <c r="AV288" s="5" t="str">
        <f>HYPERLINK("http://www.worldcat.org/oclc/232323","WorldCat Record")</f>
        <v>WorldCat Record</v>
      </c>
      <c r="AW288" s="2" t="s">
        <v>3937</v>
      </c>
      <c r="AX288" s="2" t="s">
        <v>3938</v>
      </c>
      <c r="AY288" s="2" t="s">
        <v>3939</v>
      </c>
      <c r="AZ288" s="2" t="s">
        <v>3939</v>
      </c>
      <c r="BA288" s="2" t="s">
        <v>3940</v>
      </c>
      <c r="BB288" s="2" t="s">
        <v>21</v>
      </c>
      <c r="BE288" s="2" t="s">
        <v>3941</v>
      </c>
      <c r="BF288" s="2" t="s">
        <v>3942</v>
      </c>
    </row>
    <row r="289" spans="1:58" ht="39.75" customHeight="1" x14ac:dyDescent="0.25">
      <c r="A289" s="1"/>
      <c r="B289" s="1" t="s">
        <v>0</v>
      </c>
      <c r="C289" s="1" t="s">
        <v>1</v>
      </c>
      <c r="D289" s="1" t="s">
        <v>3943</v>
      </c>
      <c r="E289" s="1" t="s">
        <v>3944</v>
      </c>
      <c r="F289" s="1" t="s">
        <v>3945</v>
      </c>
      <c r="H289" s="2" t="s">
        <v>5</v>
      </c>
      <c r="I289" s="2" t="s">
        <v>6</v>
      </c>
      <c r="J289" s="2" t="s">
        <v>16</v>
      </c>
      <c r="K289" s="2" t="s">
        <v>5</v>
      </c>
      <c r="L289" s="2" t="s">
        <v>7</v>
      </c>
      <c r="M289" s="1" t="s">
        <v>3946</v>
      </c>
      <c r="N289" s="1" t="s">
        <v>3947</v>
      </c>
      <c r="O289" s="2" t="s">
        <v>713</v>
      </c>
      <c r="Q289" s="2" t="s">
        <v>11</v>
      </c>
      <c r="R289" s="2" t="s">
        <v>76</v>
      </c>
      <c r="T289" s="2" t="s">
        <v>1367</v>
      </c>
      <c r="U289" s="3">
        <v>1</v>
      </c>
      <c r="V289" s="3">
        <v>5</v>
      </c>
      <c r="W289" s="4" t="s">
        <v>3948</v>
      </c>
      <c r="X289" s="4" t="s">
        <v>3949</v>
      </c>
      <c r="Y289" s="4" t="s">
        <v>1578</v>
      </c>
      <c r="Z289" s="4" t="s">
        <v>1578</v>
      </c>
      <c r="AA289" s="3">
        <v>533</v>
      </c>
      <c r="AB289" s="3">
        <v>429</v>
      </c>
      <c r="AC289" s="3">
        <v>438</v>
      </c>
      <c r="AD289" s="3">
        <v>3</v>
      </c>
      <c r="AE289" s="7">
        <v>3</v>
      </c>
      <c r="AF289" s="7">
        <v>32</v>
      </c>
      <c r="AG289" s="7">
        <v>33</v>
      </c>
      <c r="AH289" s="3">
        <v>3</v>
      </c>
      <c r="AI289" s="3">
        <v>4</v>
      </c>
      <c r="AJ289" s="3">
        <v>3</v>
      </c>
      <c r="AK289" s="3">
        <v>3</v>
      </c>
      <c r="AL289" s="3">
        <v>10</v>
      </c>
      <c r="AM289" s="3">
        <v>11</v>
      </c>
      <c r="AN289" s="3">
        <v>0</v>
      </c>
      <c r="AO289" s="3">
        <v>0</v>
      </c>
      <c r="AP289" s="3">
        <v>21</v>
      </c>
      <c r="AQ289" s="3">
        <v>21</v>
      </c>
      <c r="AR289" s="2" t="s">
        <v>5</v>
      </c>
      <c r="AS289" s="2" t="s">
        <v>16</v>
      </c>
      <c r="AT289" s="5" t="str">
        <f>HYPERLINK("http://catalog.hathitrust.org/Record/000978630","HathiTrust Record")</f>
        <v>HathiTrust Record</v>
      </c>
      <c r="AU289" s="5" t="str">
        <f>HYPERLINK("https://creighton-primo.hosted.exlibrisgroup.com/primo-explore/search?tab=default_tab&amp;search_scope=EVERYTHING&amp;vid=01CRU&amp;lang=en_US&amp;offset=0&amp;query=any,contains,991001620789702656","Catalog Record")</f>
        <v>Catalog Record</v>
      </c>
      <c r="AV289" s="5" t="str">
        <f>HYPERLINK("http://www.worldcat.org/oclc/263777","WorldCat Record")</f>
        <v>WorldCat Record</v>
      </c>
      <c r="AW289" s="2" t="s">
        <v>3950</v>
      </c>
      <c r="AX289" s="2" t="s">
        <v>3951</v>
      </c>
      <c r="AY289" s="2" t="s">
        <v>3952</v>
      </c>
      <c r="AZ289" s="2" t="s">
        <v>3952</v>
      </c>
      <c r="BA289" s="2" t="s">
        <v>3953</v>
      </c>
      <c r="BB289" s="2" t="s">
        <v>21</v>
      </c>
      <c r="BE289" s="2" t="s">
        <v>3954</v>
      </c>
      <c r="BF289" s="2" t="s">
        <v>3955</v>
      </c>
    </row>
    <row r="290" spans="1:58" ht="39.75" customHeight="1" x14ac:dyDescent="0.25">
      <c r="A290" s="1"/>
      <c r="B290" s="1" t="s">
        <v>0</v>
      </c>
      <c r="C290" s="1" t="s">
        <v>1</v>
      </c>
      <c r="D290" s="1" t="s">
        <v>3956</v>
      </c>
      <c r="E290" s="1" t="s">
        <v>3957</v>
      </c>
      <c r="F290" s="1" t="s">
        <v>3958</v>
      </c>
      <c r="H290" s="2" t="s">
        <v>5</v>
      </c>
      <c r="I290" s="2" t="s">
        <v>6</v>
      </c>
      <c r="J290" s="2" t="s">
        <v>16</v>
      </c>
      <c r="K290" s="2" t="s">
        <v>5</v>
      </c>
      <c r="L290" s="2" t="s">
        <v>7</v>
      </c>
      <c r="M290" s="1" t="s">
        <v>3959</v>
      </c>
      <c r="N290" s="1" t="s">
        <v>3960</v>
      </c>
      <c r="O290" s="2" t="s">
        <v>137</v>
      </c>
      <c r="Q290" s="2" t="s">
        <v>11</v>
      </c>
      <c r="R290" s="2" t="s">
        <v>76</v>
      </c>
      <c r="S290" s="1" t="s">
        <v>3961</v>
      </c>
      <c r="T290" s="2" t="s">
        <v>1367</v>
      </c>
      <c r="U290" s="3">
        <v>2</v>
      </c>
      <c r="V290" s="3">
        <v>4</v>
      </c>
      <c r="W290" s="4" t="s">
        <v>2086</v>
      </c>
      <c r="X290" s="4" t="s">
        <v>2086</v>
      </c>
      <c r="Y290" s="4" t="s">
        <v>3883</v>
      </c>
      <c r="Z290" s="4" t="s">
        <v>3883</v>
      </c>
      <c r="AA290" s="3">
        <v>1278</v>
      </c>
      <c r="AB290" s="3">
        <v>1225</v>
      </c>
      <c r="AC290" s="3">
        <v>1232</v>
      </c>
      <c r="AD290" s="3">
        <v>11</v>
      </c>
      <c r="AE290" s="7">
        <v>11</v>
      </c>
      <c r="AF290" s="7">
        <v>41</v>
      </c>
      <c r="AG290" s="7">
        <v>41</v>
      </c>
      <c r="AH290" s="3">
        <v>12</v>
      </c>
      <c r="AI290" s="3">
        <v>12</v>
      </c>
      <c r="AJ290" s="3">
        <v>5</v>
      </c>
      <c r="AK290" s="3">
        <v>5</v>
      </c>
      <c r="AL290" s="3">
        <v>19</v>
      </c>
      <c r="AM290" s="3">
        <v>19</v>
      </c>
      <c r="AN290" s="3">
        <v>8</v>
      </c>
      <c r="AO290" s="3">
        <v>8</v>
      </c>
      <c r="AP290" s="3">
        <v>5</v>
      </c>
      <c r="AQ290" s="3">
        <v>5</v>
      </c>
      <c r="AR290" s="2" t="s">
        <v>5</v>
      </c>
      <c r="AS290" s="2" t="s">
        <v>16</v>
      </c>
      <c r="AT290" s="5" t="str">
        <f>HYPERLINK("http://catalog.hathitrust.org/Record/003557615","HathiTrust Record")</f>
        <v>HathiTrust Record</v>
      </c>
      <c r="AU290" s="5" t="str">
        <f>HYPERLINK("https://creighton-primo.hosted.exlibrisgroup.com/primo-explore/search?tab=default_tab&amp;search_scope=EVERYTHING&amp;vid=01CRU&amp;lang=en_US&amp;offset=0&amp;query=any,contains,991001690469702656","Catalog Record")</f>
        <v>Catalog Record</v>
      </c>
      <c r="AV290" s="5" t="str">
        <f>HYPERLINK("http://www.worldcat.org/oclc/1031234","WorldCat Record")</f>
        <v>WorldCat Record</v>
      </c>
      <c r="AW290" s="2" t="s">
        <v>3962</v>
      </c>
      <c r="AX290" s="2" t="s">
        <v>3963</v>
      </c>
      <c r="AY290" s="2" t="s">
        <v>3964</v>
      </c>
      <c r="AZ290" s="2" t="s">
        <v>3964</v>
      </c>
      <c r="BA290" s="2" t="s">
        <v>3965</v>
      </c>
      <c r="BB290" s="2" t="s">
        <v>21</v>
      </c>
      <c r="BD290" s="2" t="s">
        <v>3966</v>
      </c>
      <c r="BE290" s="2" t="s">
        <v>3967</v>
      </c>
      <c r="BF290" s="2" t="s">
        <v>3968</v>
      </c>
    </row>
    <row r="291" spans="1:58" ht="39.75" customHeight="1" x14ac:dyDescent="0.25">
      <c r="A291" s="1"/>
      <c r="B291" s="1" t="s">
        <v>0</v>
      </c>
      <c r="C291" s="1" t="s">
        <v>1</v>
      </c>
      <c r="D291" s="1" t="s">
        <v>3969</v>
      </c>
      <c r="E291" s="1" t="s">
        <v>3970</v>
      </c>
      <c r="F291" s="1" t="s">
        <v>3971</v>
      </c>
      <c r="G291" s="2" t="s">
        <v>3317</v>
      </c>
      <c r="H291" s="2" t="s">
        <v>5</v>
      </c>
      <c r="I291" s="2" t="s">
        <v>6</v>
      </c>
      <c r="J291" s="2" t="s">
        <v>16</v>
      </c>
      <c r="K291" s="2" t="s">
        <v>5</v>
      </c>
      <c r="L291" s="2" t="s">
        <v>7</v>
      </c>
      <c r="M291" s="1" t="s">
        <v>3972</v>
      </c>
      <c r="N291" s="1" t="s">
        <v>3973</v>
      </c>
      <c r="O291" s="2" t="s">
        <v>836</v>
      </c>
      <c r="Q291" s="2" t="s">
        <v>11</v>
      </c>
      <c r="R291" s="2" t="s">
        <v>244</v>
      </c>
      <c r="T291" s="2" t="s">
        <v>1367</v>
      </c>
      <c r="U291" s="3">
        <v>5</v>
      </c>
      <c r="V291" s="3">
        <v>5</v>
      </c>
      <c r="W291" s="4" t="s">
        <v>3974</v>
      </c>
      <c r="X291" s="4" t="s">
        <v>3974</v>
      </c>
      <c r="Y291" s="4" t="s">
        <v>3137</v>
      </c>
      <c r="Z291" s="4" t="s">
        <v>3137</v>
      </c>
      <c r="AA291" s="3">
        <v>649</v>
      </c>
      <c r="AB291" s="3">
        <v>588</v>
      </c>
      <c r="AC291" s="3">
        <v>610</v>
      </c>
      <c r="AD291" s="3">
        <v>5</v>
      </c>
      <c r="AE291" s="7">
        <v>5</v>
      </c>
      <c r="AF291" s="7">
        <v>42</v>
      </c>
      <c r="AG291" s="7">
        <v>42</v>
      </c>
      <c r="AH291" s="3">
        <v>9</v>
      </c>
      <c r="AI291" s="3">
        <v>9</v>
      </c>
      <c r="AJ291" s="3">
        <v>6</v>
      </c>
      <c r="AK291" s="3">
        <v>6</v>
      </c>
      <c r="AL291" s="3">
        <v>14</v>
      </c>
      <c r="AM291" s="3">
        <v>14</v>
      </c>
      <c r="AN291" s="3">
        <v>3</v>
      </c>
      <c r="AO291" s="3">
        <v>3</v>
      </c>
      <c r="AP291" s="3">
        <v>19</v>
      </c>
      <c r="AQ291" s="3">
        <v>19</v>
      </c>
      <c r="AR291" s="2" t="s">
        <v>5</v>
      </c>
      <c r="AS291" s="2" t="s">
        <v>16</v>
      </c>
      <c r="AT291" s="5" t="str">
        <f>HYPERLINK("http://catalog.hathitrust.org/Record/000768055","HathiTrust Record")</f>
        <v>HathiTrust Record</v>
      </c>
      <c r="AU291" s="5" t="str">
        <f>HYPERLINK("https://creighton-primo.hosted.exlibrisgroup.com/primo-explore/search?tab=default_tab&amp;search_scope=EVERYTHING&amp;vid=01CRU&amp;lang=en_US&amp;offset=0&amp;query=any,contains,991001756699702656","Catalog Record")</f>
        <v>Catalog Record</v>
      </c>
      <c r="AV291" s="5" t="str">
        <f>HYPERLINK("http://www.worldcat.org/oclc/2189444","WorldCat Record")</f>
        <v>WorldCat Record</v>
      </c>
      <c r="AW291" s="2" t="s">
        <v>3975</v>
      </c>
      <c r="AX291" s="2" t="s">
        <v>3976</v>
      </c>
      <c r="AY291" s="2" t="s">
        <v>3977</v>
      </c>
      <c r="AZ291" s="2" t="s">
        <v>3977</v>
      </c>
      <c r="BA291" s="2" t="s">
        <v>3978</v>
      </c>
      <c r="BB291" s="2" t="s">
        <v>21</v>
      </c>
      <c r="BD291" s="2" t="s">
        <v>3979</v>
      </c>
      <c r="BE291" s="2" t="s">
        <v>3980</v>
      </c>
      <c r="BF291" s="2" t="s">
        <v>3981</v>
      </c>
    </row>
    <row r="292" spans="1:58" ht="39.75" customHeight="1" x14ac:dyDescent="0.25">
      <c r="A292" s="1"/>
      <c r="B292" s="1" t="s">
        <v>0</v>
      </c>
      <c r="C292" s="1" t="s">
        <v>1</v>
      </c>
      <c r="D292" s="1" t="s">
        <v>3982</v>
      </c>
      <c r="E292" s="1" t="s">
        <v>3983</v>
      </c>
      <c r="F292" s="1" t="s">
        <v>3984</v>
      </c>
      <c r="H292" s="2" t="s">
        <v>5</v>
      </c>
      <c r="I292" s="2" t="s">
        <v>6</v>
      </c>
      <c r="J292" s="2" t="s">
        <v>5</v>
      </c>
      <c r="K292" s="2" t="s">
        <v>5</v>
      </c>
      <c r="L292" s="2" t="s">
        <v>7</v>
      </c>
      <c r="M292" s="1" t="s">
        <v>3985</v>
      </c>
      <c r="N292" s="1" t="s">
        <v>3986</v>
      </c>
      <c r="O292" s="2" t="s">
        <v>291</v>
      </c>
      <c r="Q292" s="2" t="s">
        <v>11</v>
      </c>
      <c r="R292" s="2" t="s">
        <v>306</v>
      </c>
      <c r="T292" s="2" t="s">
        <v>1367</v>
      </c>
      <c r="U292" s="3">
        <v>2</v>
      </c>
      <c r="V292" s="3">
        <v>2</v>
      </c>
      <c r="W292" s="4" t="s">
        <v>3987</v>
      </c>
      <c r="X292" s="4" t="s">
        <v>3987</v>
      </c>
      <c r="Y292" s="4" t="s">
        <v>3988</v>
      </c>
      <c r="Z292" s="4" t="s">
        <v>3988</v>
      </c>
      <c r="AA292" s="3">
        <v>262</v>
      </c>
      <c r="AB292" s="3">
        <v>238</v>
      </c>
      <c r="AC292" s="3">
        <v>240</v>
      </c>
      <c r="AD292" s="3">
        <v>3</v>
      </c>
      <c r="AE292" s="7">
        <v>3</v>
      </c>
      <c r="AF292" s="7">
        <v>20</v>
      </c>
      <c r="AG292" s="7">
        <v>20</v>
      </c>
      <c r="AH292" s="3">
        <v>2</v>
      </c>
      <c r="AI292" s="3">
        <v>2</v>
      </c>
      <c r="AJ292" s="3">
        <v>1</v>
      </c>
      <c r="AK292" s="3">
        <v>1</v>
      </c>
      <c r="AL292" s="3">
        <v>4</v>
      </c>
      <c r="AM292" s="3">
        <v>4</v>
      </c>
      <c r="AN292" s="3">
        <v>2</v>
      </c>
      <c r="AO292" s="3">
        <v>2</v>
      </c>
      <c r="AP292" s="3">
        <v>12</v>
      </c>
      <c r="AQ292" s="3">
        <v>12</v>
      </c>
      <c r="AR292" s="2" t="s">
        <v>5</v>
      </c>
      <c r="AS292" s="2" t="s">
        <v>16</v>
      </c>
      <c r="AT292" s="5" t="str">
        <f>HYPERLINK("http://catalog.hathitrust.org/Record/004030559","HathiTrust Record")</f>
        <v>HathiTrust Record</v>
      </c>
      <c r="AU292" s="5" t="str">
        <f>HYPERLINK("https://creighton-primo.hosted.exlibrisgroup.com/primo-explore/search?tab=default_tab&amp;search_scope=EVERYTHING&amp;vid=01CRU&amp;lang=en_US&amp;offset=0&amp;query=any,contains,991003621979702656","Catalog Record")</f>
        <v>Catalog Record</v>
      </c>
      <c r="AV292" s="5" t="str">
        <f>HYPERLINK("http://www.worldcat.org/oclc/39556485","WorldCat Record")</f>
        <v>WorldCat Record</v>
      </c>
      <c r="AW292" s="2" t="s">
        <v>3989</v>
      </c>
      <c r="AX292" s="2" t="s">
        <v>3990</v>
      </c>
      <c r="AY292" s="2" t="s">
        <v>3991</v>
      </c>
      <c r="AZ292" s="2" t="s">
        <v>3991</v>
      </c>
      <c r="BA292" s="2" t="s">
        <v>3992</v>
      </c>
      <c r="BB292" s="2" t="s">
        <v>21</v>
      </c>
      <c r="BD292" s="2" t="s">
        <v>3993</v>
      </c>
      <c r="BE292" s="2" t="s">
        <v>3994</v>
      </c>
      <c r="BF292" s="2" t="s">
        <v>3995</v>
      </c>
    </row>
    <row r="293" spans="1:58" ht="39.75" customHeight="1" x14ac:dyDescent="0.25">
      <c r="A293" s="1"/>
      <c r="B293" s="1" t="s">
        <v>0</v>
      </c>
      <c r="C293" s="1" t="s">
        <v>1</v>
      </c>
      <c r="D293" s="1" t="s">
        <v>3996</v>
      </c>
      <c r="E293" s="1" t="s">
        <v>3997</v>
      </c>
      <c r="F293" s="1" t="s">
        <v>3998</v>
      </c>
      <c r="H293" s="2" t="s">
        <v>5</v>
      </c>
      <c r="I293" s="2" t="s">
        <v>6</v>
      </c>
      <c r="J293" s="2" t="s">
        <v>16</v>
      </c>
      <c r="K293" s="2" t="s">
        <v>5</v>
      </c>
      <c r="L293" s="2" t="s">
        <v>7</v>
      </c>
      <c r="M293" s="1" t="s">
        <v>3999</v>
      </c>
      <c r="N293" s="1" t="s">
        <v>4000</v>
      </c>
      <c r="O293" s="2" t="s">
        <v>500</v>
      </c>
      <c r="Q293" s="2" t="s">
        <v>11</v>
      </c>
      <c r="R293" s="2" t="s">
        <v>306</v>
      </c>
      <c r="T293" s="2" t="s">
        <v>1367</v>
      </c>
      <c r="U293" s="3">
        <v>3</v>
      </c>
      <c r="V293" s="3">
        <v>4</v>
      </c>
      <c r="W293" s="4" t="s">
        <v>4001</v>
      </c>
      <c r="X293" s="4" t="s">
        <v>4001</v>
      </c>
      <c r="Y293" s="4" t="s">
        <v>3137</v>
      </c>
      <c r="Z293" s="4" t="s">
        <v>4002</v>
      </c>
      <c r="AA293" s="3">
        <v>1126</v>
      </c>
      <c r="AB293" s="3">
        <v>1017</v>
      </c>
      <c r="AC293" s="3">
        <v>1022</v>
      </c>
      <c r="AD293" s="3">
        <v>8</v>
      </c>
      <c r="AE293" s="7">
        <v>8</v>
      </c>
      <c r="AF293" s="7">
        <v>63</v>
      </c>
      <c r="AG293" s="7">
        <v>63</v>
      </c>
      <c r="AH293" s="3">
        <v>17</v>
      </c>
      <c r="AI293" s="3">
        <v>17</v>
      </c>
      <c r="AJ293" s="3">
        <v>10</v>
      </c>
      <c r="AK293" s="3">
        <v>10</v>
      </c>
      <c r="AL293" s="3">
        <v>19</v>
      </c>
      <c r="AM293" s="3">
        <v>19</v>
      </c>
      <c r="AN293" s="3">
        <v>5</v>
      </c>
      <c r="AO293" s="3">
        <v>5</v>
      </c>
      <c r="AP293" s="3">
        <v>23</v>
      </c>
      <c r="AQ293" s="3">
        <v>23</v>
      </c>
      <c r="AR293" s="2" t="s">
        <v>5</v>
      </c>
      <c r="AS293" s="2" t="s">
        <v>16</v>
      </c>
      <c r="AT293" s="5" t="str">
        <f>HYPERLINK("http://catalog.hathitrust.org/Record/000747917","HathiTrust Record")</f>
        <v>HathiTrust Record</v>
      </c>
      <c r="AU293" s="5" t="str">
        <f>HYPERLINK("https://creighton-primo.hosted.exlibrisgroup.com/primo-explore/search?tab=default_tab&amp;search_scope=EVERYTHING&amp;vid=01CRU&amp;lang=en_US&amp;offset=0&amp;query=any,contains,991001781239702656","Catalog Record")</f>
        <v>Catalog Record</v>
      </c>
      <c r="AV293" s="5" t="str">
        <f>HYPERLINK("http://www.worldcat.org/oclc/3294385","WorldCat Record")</f>
        <v>WorldCat Record</v>
      </c>
      <c r="AW293" s="2" t="s">
        <v>4003</v>
      </c>
      <c r="AX293" s="2" t="s">
        <v>4004</v>
      </c>
      <c r="AY293" s="2" t="s">
        <v>4005</v>
      </c>
      <c r="AZ293" s="2" t="s">
        <v>4005</v>
      </c>
      <c r="BA293" s="2" t="s">
        <v>4006</v>
      </c>
      <c r="BB293" s="2" t="s">
        <v>21</v>
      </c>
      <c r="BD293" s="2" t="s">
        <v>4007</v>
      </c>
      <c r="BE293" s="2" t="s">
        <v>4008</v>
      </c>
      <c r="BF293" s="2" t="s">
        <v>4009</v>
      </c>
    </row>
    <row r="294" spans="1:58" ht="39.75" customHeight="1" x14ac:dyDescent="0.25">
      <c r="A294" s="1"/>
      <c r="B294" s="1" t="s">
        <v>0</v>
      </c>
      <c r="C294" s="1" t="s">
        <v>1</v>
      </c>
      <c r="D294" s="1" t="s">
        <v>4010</v>
      </c>
      <c r="E294" s="1" t="s">
        <v>4011</v>
      </c>
      <c r="F294" s="1" t="s">
        <v>4012</v>
      </c>
      <c r="H294" s="2" t="s">
        <v>5</v>
      </c>
      <c r="I294" s="2" t="s">
        <v>6</v>
      </c>
      <c r="J294" s="2" t="s">
        <v>5</v>
      </c>
      <c r="K294" s="2" t="s">
        <v>5</v>
      </c>
      <c r="L294" s="2" t="s">
        <v>7</v>
      </c>
      <c r="M294" s="1" t="s">
        <v>4013</v>
      </c>
      <c r="N294" s="1" t="s">
        <v>4014</v>
      </c>
      <c r="O294" s="2" t="s">
        <v>137</v>
      </c>
      <c r="Q294" s="2" t="s">
        <v>11</v>
      </c>
      <c r="R294" s="2" t="s">
        <v>260</v>
      </c>
      <c r="T294" s="2" t="s">
        <v>1367</v>
      </c>
      <c r="U294" s="3">
        <v>3</v>
      </c>
      <c r="V294" s="3">
        <v>3</v>
      </c>
      <c r="W294" s="4" t="s">
        <v>2086</v>
      </c>
      <c r="X294" s="4" t="s">
        <v>2086</v>
      </c>
      <c r="Y294" s="4" t="s">
        <v>3883</v>
      </c>
      <c r="Z294" s="4" t="s">
        <v>3883</v>
      </c>
      <c r="AA294" s="3">
        <v>393</v>
      </c>
      <c r="AB294" s="3">
        <v>370</v>
      </c>
      <c r="AC294" s="3">
        <v>371</v>
      </c>
      <c r="AD294" s="3">
        <v>3</v>
      </c>
      <c r="AE294" s="7">
        <v>3</v>
      </c>
      <c r="AF294" s="7">
        <v>13</v>
      </c>
      <c r="AG294" s="7">
        <v>13</v>
      </c>
      <c r="AH294" s="3">
        <v>2</v>
      </c>
      <c r="AI294" s="3">
        <v>2</v>
      </c>
      <c r="AJ294" s="3">
        <v>3</v>
      </c>
      <c r="AK294" s="3">
        <v>3</v>
      </c>
      <c r="AL294" s="3">
        <v>5</v>
      </c>
      <c r="AM294" s="3">
        <v>5</v>
      </c>
      <c r="AN294" s="3">
        <v>1</v>
      </c>
      <c r="AO294" s="3">
        <v>1</v>
      </c>
      <c r="AP294" s="3">
        <v>5</v>
      </c>
      <c r="AQ294" s="3">
        <v>5</v>
      </c>
      <c r="AR294" s="2" t="s">
        <v>5</v>
      </c>
      <c r="AS294" s="2" t="s">
        <v>5</v>
      </c>
      <c r="AU294" s="5" t="str">
        <f>HYPERLINK("https://creighton-primo.hosted.exlibrisgroup.com/primo-explore/search?tab=default_tab&amp;search_scope=EVERYTHING&amp;vid=01CRU&amp;lang=en_US&amp;offset=0&amp;query=any,contains,991003524429702656","Catalog Record")</f>
        <v>Catalog Record</v>
      </c>
      <c r="AV294" s="5" t="str">
        <f>HYPERLINK("http://www.worldcat.org/oclc/1086005","WorldCat Record")</f>
        <v>WorldCat Record</v>
      </c>
      <c r="AW294" s="2" t="s">
        <v>4015</v>
      </c>
      <c r="AX294" s="2" t="s">
        <v>4016</v>
      </c>
      <c r="AY294" s="2" t="s">
        <v>4017</v>
      </c>
      <c r="AZ294" s="2" t="s">
        <v>4017</v>
      </c>
      <c r="BA294" s="2" t="s">
        <v>4018</v>
      </c>
      <c r="BB294" s="2" t="s">
        <v>21</v>
      </c>
      <c r="BE294" s="2" t="s">
        <v>4019</v>
      </c>
      <c r="BF294" s="2" t="s">
        <v>4020</v>
      </c>
    </row>
    <row r="295" spans="1:58" ht="39.75" customHeight="1" x14ac:dyDescent="0.25">
      <c r="A295" s="1"/>
      <c r="B295" s="1" t="s">
        <v>0</v>
      </c>
      <c r="C295" s="1" t="s">
        <v>1</v>
      </c>
      <c r="D295" s="1" t="s">
        <v>4021</v>
      </c>
      <c r="E295" s="1" t="s">
        <v>4022</v>
      </c>
      <c r="F295" s="1" t="s">
        <v>4023</v>
      </c>
      <c r="H295" s="2" t="s">
        <v>5</v>
      </c>
      <c r="I295" s="2" t="s">
        <v>6</v>
      </c>
      <c r="J295" s="2" t="s">
        <v>5</v>
      </c>
      <c r="K295" s="2" t="s">
        <v>5</v>
      </c>
      <c r="L295" s="2" t="s">
        <v>7</v>
      </c>
      <c r="M295" s="1" t="s">
        <v>4024</v>
      </c>
      <c r="N295" s="1" t="s">
        <v>4025</v>
      </c>
      <c r="O295" s="2" t="s">
        <v>629</v>
      </c>
      <c r="Q295" s="2" t="s">
        <v>11</v>
      </c>
      <c r="R295" s="2" t="s">
        <v>76</v>
      </c>
      <c r="S295" s="1" t="s">
        <v>4026</v>
      </c>
      <c r="T295" s="2" t="s">
        <v>1367</v>
      </c>
      <c r="U295" s="3">
        <v>0</v>
      </c>
      <c r="V295" s="3">
        <v>0</v>
      </c>
      <c r="W295" s="4" t="s">
        <v>2060</v>
      </c>
      <c r="X295" s="4" t="s">
        <v>2060</v>
      </c>
      <c r="Y295" s="4" t="s">
        <v>4027</v>
      </c>
      <c r="Z295" s="4" t="s">
        <v>4027</v>
      </c>
      <c r="AA295" s="3">
        <v>201</v>
      </c>
      <c r="AB295" s="3">
        <v>178</v>
      </c>
      <c r="AC295" s="3">
        <v>183</v>
      </c>
      <c r="AD295" s="3">
        <v>2</v>
      </c>
      <c r="AE295" s="7">
        <v>2</v>
      </c>
      <c r="AF295" s="7">
        <v>15</v>
      </c>
      <c r="AG295" s="7">
        <v>15</v>
      </c>
      <c r="AH295" s="3">
        <v>1</v>
      </c>
      <c r="AI295" s="3">
        <v>1</v>
      </c>
      <c r="AJ295" s="3">
        <v>0</v>
      </c>
      <c r="AK295" s="3">
        <v>0</v>
      </c>
      <c r="AL295" s="3">
        <v>2</v>
      </c>
      <c r="AM295" s="3">
        <v>2</v>
      </c>
      <c r="AN295" s="3">
        <v>1</v>
      </c>
      <c r="AO295" s="3">
        <v>1</v>
      </c>
      <c r="AP295" s="3">
        <v>12</v>
      </c>
      <c r="AQ295" s="3">
        <v>12</v>
      </c>
      <c r="AR295" s="2" t="s">
        <v>5</v>
      </c>
      <c r="AS295" s="2" t="s">
        <v>5</v>
      </c>
      <c r="AU295" s="5" t="str">
        <f>HYPERLINK("https://creighton-primo.hosted.exlibrisgroup.com/primo-explore/search?tab=default_tab&amp;search_scope=EVERYTHING&amp;vid=01CRU&amp;lang=en_US&amp;offset=0&amp;query=any,contains,991000957419702656","Catalog Record")</f>
        <v>Catalog Record</v>
      </c>
      <c r="AV295" s="5" t="str">
        <f>HYPERLINK("http://www.worldcat.org/oclc/14719662","WorldCat Record")</f>
        <v>WorldCat Record</v>
      </c>
      <c r="AW295" s="2" t="s">
        <v>4028</v>
      </c>
      <c r="AX295" s="2" t="s">
        <v>4029</v>
      </c>
      <c r="AY295" s="2" t="s">
        <v>4030</v>
      </c>
      <c r="AZ295" s="2" t="s">
        <v>4030</v>
      </c>
      <c r="BA295" s="2" t="s">
        <v>4031</v>
      </c>
      <c r="BB295" s="2" t="s">
        <v>21</v>
      </c>
      <c r="BD295" s="2" t="s">
        <v>4032</v>
      </c>
      <c r="BE295" s="2" t="s">
        <v>4033</v>
      </c>
      <c r="BF295" s="2" t="s">
        <v>4034</v>
      </c>
    </row>
    <row r="296" spans="1:58" ht="39.75" customHeight="1" x14ac:dyDescent="0.25">
      <c r="A296" s="1"/>
      <c r="B296" s="1" t="s">
        <v>0</v>
      </c>
      <c r="C296" s="1" t="s">
        <v>1</v>
      </c>
      <c r="D296" s="1" t="s">
        <v>4035</v>
      </c>
      <c r="E296" s="1" t="s">
        <v>4036</v>
      </c>
      <c r="F296" s="1" t="s">
        <v>4037</v>
      </c>
      <c r="H296" s="2" t="s">
        <v>5</v>
      </c>
      <c r="I296" s="2" t="s">
        <v>6</v>
      </c>
      <c r="J296" s="2" t="s">
        <v>5</v>
      </c>
      <c r="K296" s="2" t="s">
        <v>5</v>
      </c>
      <c r="L296" s="2" t="s">
        <v>7</v>
      </c>
      <c r="N296" s="1" t="s">
        <v>4038</v>
      </c>
      <c r="O296" s="2" t="s">
        <v>91</v>
      </c>
      <c r="P296" s="1" t="s">
        <v>229</v>
      </c>
      <c r="Q296" s="2" t="s">
        <v>11</v>
      </c>
      <c r="R296" s="2" t="s">
        <v>124</v>
      </c>
      <c r="T296" s="2" t="s">
        <v>1367</v>
      </c>
      <c r="U296" s="3">
        <v>1</v>
      </c>
      <c r="V296" s="3">
        <v>1</v>
      </c>
      <c r="W296" s="4" t="s">
        <v>4039</v>
      </c>
      <c r="X296" s="4" t="s">
        <v>4039</v>
      </c>
      <c r="Y296" s="4" t="s">
        <v>4040</v>
      </c>
      <c r="Z296" s="4" t="s">
        <v>4040</v>
      </c>
      <c r="AA296" s="3">
        <v>109</v>
      </c>
      <c r="AB296" s="3">
        <v>109</v>
      </c>
      <c r="AC296" s="3">
        <v>112</v>
      </c>
      <c r="AD296" s="3">
        <v>3</v>
      </c>
      <c r="AE296" s="7">
        <v>3</v>
      </c>
      <c r="AF296" s="7">
        <v>2</v>
      </c>
      <c r="AG296" s="7">
        <v>2</v>
      </c>
      <c r="AH296" s="3">
        <v>1</v>
      </c>
      <c r="AI296" s="3">
        <v>1</v>
      </c>
      <c r="AJ296" s="3">
        <v>0</v>
      </c>
      <c r="AK296" s="3">
        <v>0</v>
      </c>
      <c r="AL296" s="3">
        <v>0</v>
      </c>
      <c r="AM296" s="3">
        <v>0</v>
      </c>
      <c r="AN296" s="3">
        <v>1</v>
      </c>
      <c r="AO296" s="3">
        <v>1</v>
      </c>
      <c r="AP296" s="3">
        <v>0</v>
      </c>
      <c r="AQ296" s="3">
        <v>0</v>
      </c>
      <c r="AR296" s="2" t="s">
        <v>5</v>
      </c>
      <c r="AS296" s="2" t="s">
        <v>5</v>
      </c>
      <c r="AU296" s="5" t="str">
        <f>HYPERLINK("https://creighton-primo.hosted.exlibrisgroup.com/primo-explore/search?tab=default_tab&amp;search_scope=EVERYTHING&amp;vid=01CRU&amp;lang=en_US&amp;offset=0&amp;query=any,contains,991002097759702656","Catalog Record")</f>
        <v>Catalog Record</v>
      </c>
      <c r="AV296" s="5" t="str">
        <f>HYPERLINK("http://www.worldcat.org/oclc/26919191","WorldCat Record")</f>
        <v>WorldCat Record</v>
      </c>
      <c r="AW296" s="2" t="s">
        <v>4041</v>
      </c>
      <c r="AX296" s="2" t="s">
        <v>4042</v>
      </c>
      <c r="AY296" s="2" t="s">
        <v>4043</v>
      </c>
      <c r="AZ296" s="2" t="s">
        <v>4043</v>
      </c>
      <c r="BA296" s="2" t="s">
        <v>4044</v>
      </c>
      <c r="BB296" s="2" t="s">
        <v>21</v>
      </c>
      <c r="BD296" s="2" t="s">
        <v>4045</v>
      </c>
      <c r="BE296" s="2" t="s">
        <v>4046</v>
      </c>
      <c r="BF296" s="2" t="s">
        <v>4047</v>
      </c>
    </row>
    <row r="297" spans="1:58" ht="39.75" customHeight="1" x14ac:dyDescent="0.25">
      <c r="A297" s="1"/>
      <c r="B297" s="1" t="s">
        <v>0</v>
      </c>
      <c r="C297" s="1" t="s">
        <v>1</v>
      </c>
      <c r="D297" s="1" t="s">
        <v>4048</v>
      </c>
      <c r="E297" s="1" t="s">
        <v>4049</v>
      </c>
      <c r="F297" s="1" t="s">
        <v>4050</v>
      </c>
      <c r="H297" s="2" t="s">
        <v>5</v>
      </c>
      <c r="I297" s="2" t="s">
        <v>6</v>
      </c>
      <c r="J297" s="2" t="s">
        <v>16</v>
      </c>
      <c r="K297" s="2" t="s">
        <v>5</v>
      </c>
      <c r="L297" s="2" t="s">
        <v>7</v>
      </c>
      <c r="M297" s="1" t="s">
        <v>4051</v>
      </c>
      <c r="N297" s="1" t="s">
        <v>4052</v>
      </c>
      <c r="O297" s="2" t="s">
        <v>259</v>
      </c>
      <c r="Q297" s="2" t="s">
        <v>11</v>
      </c>
      <c r="R297" s="2" t="s">
        <v>501</v>
      </c>
      <c r="T297" s="2" t="s">
        <v>1367</v>
      </c>
      <c r="U297" s="3">
        <v>3</v>
      </c>
      <c r="V297" s="3">
        <v>7</v>
      </c>
      <c r="W297" s="4" t="s">
        <v>4053</v>
      </c>
      <c r="X297" s="4" t="s">
        <v>4054</v>
      </c>
      <c r="Y297" s="4" t="s">
        <v>852</v>
      </c>
      <c r="Z297" s="4" t="s">
        <v>852</v>
      </c>
      <c r="AA297" s="3">
        <v>620</v>
      </c>
      <c r="AB297" s="3">
        <v>532</v>
      </c>
      <c r="AC297" s="3">
        <v>537</v>
      </c>
      <c r="AD297" s="3">
        <v>4</v>
      </c>
      <c r="AE297" s="7">
        <v>4</v>
      </c>
      <c r="AF297" s="7">
        <v>34</v>
      </c>
      <c r="AG297" s="7">
        <v>34</v>
      </c>
      <c r="AH297" s="3">
        <v>6</v>
      </c>
      <c r="AI297" s="3">
        <v>6</v>
      </c>
      <c r="AJ297" s="3">
        <v>5</v>
      </c>
      <c r="AK297" s="3">
        <v>5</v>
      </c>
      <c r="AL297" s="3">
        <v>6</v>
      </c>
      <c r="AM297" s="3">
        <v>6</v>
      </c>
      <c r="AN297" s="3">
        <v>1</v>
      </c>
      <c r="AO297" s="3">
        <v>1</v>
      </c>
      <c r="AP297" s="3">
        <v>19</v>
      </c>
      <c r="AQ297" s="3">
        <v>19</v>
      </c>
      <c r="AR297" s="2" t="s">
        <v>5</v>
      </c>
      <c r="AS297" s="2" t="s">
        <v>5</v>
      </c>
      <c r="AU297" s="5" t="str">
        <f>HYPERLINK("https://creighton-primo.hosted.exlibrisgroup.com/primo-explore/search?tab=default_tab&amp;search_scope=EVERYTHING&amp;vid=01CRU&amp;lang=en_US&amp;offset=0&amp;query=any,contains,991001638179702656","Catalog Record")</f>
        <v>Catalog Record</v>
      </c>
      <c r="AV297" s="5" t="str">
        <f>HYPERLINK("http://www.worldcat.org/oclc/17354609","WorldCat Record")</f>
        <v>WorldCat Record</v>
      </c>
      <c r="AW297" s="2" t="s">
        <v>4055</v>
      </c>
      <c r="AX297" s="2" t="s">
        <v>4056</v>
      </c>
      <c r="AY297" s="2" t="s">
        <v>4057</v>
      </c>
      <c r="AZ297" s="2" t="s">
        <v>4057</v>
      </c>
      <c r="BA297" s="2" t="s">
        <v>4058</v>
      </c>
      <c r="BB297" s="2" t="s">
        <v>21</v>
      </c>
      <c r="BD297" s="2" t="s">
        <v>4059</v>
      </c>
      <c r="BE297" s="2" t="s">
        <v>4060</v>
      </c>
      <c r="BF297" s="2" t="s">
        <v>4061</v>
      </c>
    </row>
    <row r="298" spans="1:58" ht="39.75" customHeight="1" x14ac:dyDescent="0.25">
      <c r="A298" s="1"/>
      <c r="B298" s="1" t="s">
        <v>0</v>
      </c>
      <c r="C298" s="1" t="s">
        <v>1</v>
      </c>
      <c r="D298" s="1" t="s">
        <v>4062</v>
      </c>
      <c r="E298" s="1" t="s">
        <v>4063</v>
      </c>
      <c r="F298" s="1" t="s">
        <v>4064</v>
      </c>
      <c r="H298" s="2" t="s">
        <v>5</v>
      </c>
      <c r="I298" s="2" t="s">
        <v>6</v>
      </c>
      <c r="J298" s="2" t="s">
        <v>16</v>
      </c>
      <c r="K298" s="2" t="s">
        <v>5</v>
      </c>
      <c r="L298" s="2" t="s">
        <v>7</v>
      </c>
      <c r="M298" s="1" t="s">
        <v>4065</v>
      </c>
      <c r="N298" s="1" t="s">
        <v>4066</v>
      </c>
      <c r="O298" s="2" t="s">
        <v>45</v>
      </c>
      <c r="Q298" s="2" t="s">
        <v>11</v>
      </c>
      <c r="R298" s="2" t="s">
        <v>76</v>
      </c>
      <c r="T298" s="2" t="s">
        <v>1367</v>
      </c>
      <c r="U298" s="3">
        <v>15</v>
      </c>
      <c r="V298" s="3">
        <v>17</v>
      </c>
      <c r="W298" s="4" t="s">
        <v>4067</v>
      </c>
      <c r="X298" s="4" t="s">
        <v>4067</v>
      </c>
      <c r="Y298" s="4" t="s">
        <v>4068</v>
      </c>
      <c r="Z298" s="4" t="s">
        <v>4069</v>
      </c>
      <c r="AA298" s="3">
        <v>1589</v>
      </c>
      <c r="AB298" s="3">
        <v>1414</v>
      </c>
      <c r="AC298" s="3">
        <v>1464</v>
      </c>
      <c r="AD298" s="3">
        <v>14</v>
      </c>
      <c r="AE298" s="7">
        <v>14</v>
      </c>
      <c r="AF298" s="7">
        <v>72</v>
      </c>
      <c r="AG298" s="7">
        <v>73</v>
      </c>
      <c r="AH298" s="3">
        <v>22</v>
      </c>
      <c r="AI298" s="3">
        <v>23</v>
      </c>
      <c r="AJ298" s="3">
        <v>11</v>
      </c>
      <c r="AK298" s="3">
        <v>11</v>
      </c>
      <c r="AL298" s="3">
        <v>22</v>
      </c>
      <c r="AM298" s="3">
        <v>22</v>
      </c>
      <c r="AN298" s="3">
        <v>9</v>
      </c>
      <c r="AO298" s="3">
        <v>9</v>
      </c>
      <c r="AP298" s="3">
        <v>20</v>
      </c>
      <c r="AQ298" s="3">
        <v>20</v>
      </c>
      <c r="AR298" s="2" t="s">
        <v>5</v>
      </c>
      <c r="AS298" s="2" t="s">
        <v>16</v>
      </c>
      <c r="AT298" s="5" t="str">
        <f>HYPERLINK("http://catalog.hathitrust.org/Record/000656130","HathiTrust Record")</f>
        <v>HathiTrust Record</v>
      </c>
      <c r="AU298" s="5" t="str">
        <f>HYPERLINK("https://creighton-primo.hosted.exlibrisgroup.com/primo-explore/search?tab=default_tab&amp;search_scope=EVERYTHING&amp;vid=01CRU&amp;lang=en_US&amp;offset=0&amp;query=any,contains,991001630249702656","Catalog Record")</f>
        <v>Catalog Record</v>
      </c>
      <c r="AV298" s="5" t="str">
        <f>HYPERLINK("http://www.worldcat.org/oclc/11970153","WorldCat Record")</f>
        <v>WorldCat Record</v>
      </c>
      <c r="AW298" s="2" t="s">
        <v>4070</v>
      </c>
      <c r="AX298" s="2" t="s">
        <v>4071</v>
      </c>
      <c r="AY298" s="2" t="s">
        <v>4072</v>
      </c>
      <c r="AZ298" s="2" t="s">
        <v>4072</v>
      </c>
      <c r="BA298" s="2" t="s">
        <v>4073</v>
      </c>
      <c r="BB298" s="2" t="s">
        <v>21</v>
      </c>
      <c r="BD298" s="2" t="s">
        <v>4074</v>
      </c>
      <c r="BE298" s="2" t="s">
        <v>4075</v>
      </c>
      <c r="BF298" s="2" t="s">
        <v>4076</v>
      </c>
    </row>
    <row r="299" spans="1:58" ht="39.75" customHeight="1" x14ac:dyDescent="0.25">
      <c r="A299" s="1"/>
      <c r="B299" s="1" t="s">
        <v>0</v>
      </c>
      <c r="C299" s="1" t="s">
        <v>1</v>
      </c>
      <c r="D299" s="1" t="s">
        <v>4077</v>
      </c>
      <c r="E299" s="1" t="s">
        <v>4078</v>
      </c>
      <c r="F299" s="1" t="s">
        <v>4079</v>
      </c>
      <c r="H299" s="2" t="s">
        <v>5</v>
      </c>
      <c r="I299" s="2" t="s">
        <v>6</v>
      </c>
      <c r="J299" s="2" t="s">
        <v>5</v>
      </c>
      <c r="K299" s="2" t="s">
        <v>5</v>
      </c>
      <c r="L299" s="2" t="s">
        <v>7</v>
      </c>
      <c r="M299" s="1" t="s">
        <v>4080</v>
      </c>
      <c r="N299" s="1" t="s">
        <v>4081</v>
      </c>
      <c r="O299" s="2" t="s">
        <v>137</v>
      </c>
      <c r="Q299" s="2" t="s">
        <v>11</v>
      </c>
      <c r="R299" s="2" t="s">
        <v>244</v>
      </c>
      <c r="T299" s="2" t="s">
        <v>1367</v>
      </c>
      <c r="U299" s="3">
        <v>1</v>
      </c>
      <c r="V299" s="3">
        <v>1</v>
      </c>
      <c r="W299" s="4" t="s">
        <v>4082</v>
      </c>
      <c r="X299" s="4" t="s">
        <v>4082</v>
      </c>
      <c r="Y299" s="4" t="s">
        <v>1578</v>
      </c>
      <c r="Z299" s="4" t="s">
        <v>1578</v>
      </c>
      <c r="AA299" s="3">
        <v>604</v>
      </c>
      <c r="AB299" s="3">
        <v>560</v>
      </c>
      <c r="AC299" s="3">
        <v>568</v>
      </c>
      <c r="AD299" s="3">
        <v>5</v>
      </c>
      <c r="AE299" s="7">
        <v>5</v>
      </c>
      <c r="AF299" s="7">
        <v>26</v>
      </c>
      <c r="AG299" s="7">
        <v>26</v>
      </c>
      <c r="AH299" s="3">
        <v>5</v>
      </c>
      <c r="AI299" s="3">
        <v>5</v>
      </c>
      <c r="AJ299" s="3">
        <v>3</v>
      </c>
      <c r="AK299" s="3">
        <v>3</v>
      </c>
      <c r="AL299" s="3">
        <v>4</v>
      </c>
      <c r="AM299" s="3">
        <v>4</v>
      </c>
      <c r="AN299" s="3">
        <v>2</v>
      </c>
      <c r="AO299" s="3">
        <v>2</v>
      </c>
      <c r="AP299" s="3">
        <v>15</v>
      </c>
      <c r="AQ299" s="3">
        <v>15</v>
      </c>
      <c r="AR299" s="2" t="s">
        <v>5</v>
      </c>
      <c r="AS299" s="2" t="s">
        <v>16</v>
      </c>
      <c r="AT299" s="5" t="str">
        <f>HYPERLINK("http://catalog.hathitrust.org/Record/007550797","HathiTrust Record")</f>
        <v>HathiTrust Record</v>
      </c>
      <c r="AU299" s="5" t="str">
        <f>HYPERLINK("https://creighton-primo.hosted.exlibrisgroup.com/primo-explore/search?tab=default_tab&amp;search_scope=EVERYTHING&amp;vid=01CRU&amp;lang=en_US&amp;offset=0&amp;query=any,contains,991003205969702656","Catalog Record")</f>
        <v>Catalog Record</v>
      </c>
      <c r="AV299" s="5" t="str">
        <f>HYPERLINK("http://www.worldcat.org/oclc/730773","WorldCat Record")</f>
        <v>WorldCat Record</v>
      </c>
      <c r="AW299" s="2" t="s">
        <v>4083</v>
      </c>
      <c r="AX299" s="2" t="s">
        <v>4084</v>
      </c>
      <c r="AY299" s="2" t="s">
        <v>4085</v>
      </c>
      <c r="AZ299" s="2" t="s">
        <v>4085</v>
      </c>
      <c r="BA299" s="2" t="s">
        <v>4086</v>
      </c>
      <c r="BB299" s="2" t="s">
        <v>21</v>
      </c>
      <c r="BD299" s="2" t="s">
        <v>4087</v>
      </c>
      <c r="BE299" s="2" t="s">
        <v>4088</v>
      </c>
      <c r="BF299" s="2" t="s">
        <v>4089</v>
      </c>
    </row>
    <row r="300" spans="1:58" ht="39.75" customHeight="1" x14ac:dyDescent="0.25">
      <c r="A300" s="1"/>
      <c r="B300" s="1" t="s">
        <v>0</v>
      </c>
      <c r="C300" s="1" t="s">
        <v>1</v>
      </c>
      <c r="D300" s="1" t="s">
        <v>4090</v>
      </c>
      <c r="E300" s="1" t="s">
        <v>4091</v>
      </c>
      <c r="F300" s="1" t="s">
        <v>4092</v>
      </c>
      <c r="H300" s="2" t="s">
        <v>5</v>
      </c>
      <c r="I300" s="2" t="s">
        <v>6</v>
      </c>
      <c r="J300" s="2" t="s">
        <v>5</v>
      </c>
      <c r="K300" s="2" t="s">
        <v>5</v>
      </c>
      <c r="L300" s="2" t="s">
        <v>7</v>
      </c>
      <c r="M300" s="1" t="s">
        <v>4093</v>
      </c>
      <c r="N300" s="1" t="s">
        <v>4094</v>
      </c>
      <c r="O300" s="2" t="s">
        <v>918</v>
      </c>
      <c r="P300" s="1" t="s">
        <v>229</v>
      </c>
      <c r="Q300" s="2" t="s">
        <v>11</v>
      </c>
      <c r="R300" s="2" t="s">
        <v>903</v>
      </c>
      <c r="T300" s="2" t="s">
        <v>1367</v>
      </c>
      <c r="U300" s="3">
        <v>5</v>
      </c>
      <c r="V300" s="3">
        <v>5</v>
      </c>
      <c r="W300" s="4" t="s">
        <v>4095</v>
      </c>
      <c r="X300" s="4" t="s">
        <v>4095</v>
      </c>
      <c r="Y300" s="4" t="s">
        <v>4096</v>
      </c>
      <c r="Z300" s="4" t="s">
        <v>4096</v>
      </c>
      <c r="AA300" s="3">
        <v>471</v>
      </c>
      <c r="AB300" s="3">
        <v>445</v>
      </c>
      <c r="AC300" s="3">
        <v>1244</v>
      </c>
      <c r="AD300" s="3">
        <v>5</v>
      </c>
      <c r="AE300" s="7">
        <v>5</v>
      </c>
      <c r="AF300" s="7">
        <v>20</v>
      </c>
      <c r="AG300" s="7">
        <v>30</v>
      </c>
      <c r="AH300" s="3">
        <v>3</v>
      </c>
      <c r="AI300" s="3">
        <v>10</v>
      </c>
      <c r="AJ300" s="3">
        <v>0</v>
      </c>
      <c r="AK300" s="3">
        <v>2</v>
      </c>
      <c r="AL300" s="3">
        <v>3</v>
      </c>
      <c r="AM300" s="3">
        <v>7</v>
      </c>
      <c r="AN300" s="3">
        <v>4</v>
      </c>
      <c r="AO300" s="3">
        <v>4</v>
      </c>
      <c r="AP300" s="3">
        <v>10</v>
      </c>
      <c r="AQ300" s="3">
        <v>10</v>
      </c>
      <c r="AR300" s="2" t="s">
        <v>5</v>
      </c>
      <c r="AS300" s="2" t="s">
        <v>16</v>
      </c>
      <c r="AT300" s="5" t="str">
        <f>HYPERLINK("http://catalog.hathitrust.org/Record/003168516","HathiTrust Record")</f>
        <v>HathiTrust Record</v>
      </c>
      <c r="AU300" s="5" t="str">
        <f>HYPERLINK("https://creighton-primo.hosted.exlibrisgroup.com/primo-explore/search?tab=default_tab&amp;search_scope=EVERYTHING&amp;vid=01CRU&amp;lang=en_US&amp;offset=0&amp;query=any,contains,991002767049702656","Catalog Record")</f>
        <v>Catalog Record</v>
      </c>
      <c r="AV300" s="5" t="str">
        <f>HYPERLINK("http://www.worldcat.org/oclc/36307958","WorldCat Record")</f>
        <v>WorldCat Record</v>
      </c>
      <c r="AW300" s="2" t="s">
        <v>4097</v>
      </c>
      <c r="AX300" s="2" t="s">
        <v>4098</v>
      </c>
      <c r="AY300" s="2" t="s">
        <v>4099</v>
      </c>
      <c r="AZ300" s="2" t="s">
        <v>4099</v>
      </c>
      <c r="BA300" s="2" t="s">
        <v>4100</v>
      </c>
      <c r="BB300" s="2" t="s">
        <v>21</v>
      </c>
      <c r="BD300" s="2" t="s">
        <v>4101</v>
      </c>
      <c r="BE300" s="2" t="s">
        <v>4102</v>
      </c>
      <c r="BF300" s="2" t="s">
        <v>4103</v>
      </c>
    </row>
    <row r="301" spans="1:58" ht="39.75" customHeight="1" x14ac:dyDescent="0.25">
      <c r="A301" s="1"/>
      <c r="B301" s="1" t="s">
        <v>0</v>
      </c>
      <c r="C301" s="1" t="s">
        <v>1</v>
      </c>
      <c r="D301" s="1" t="s">
        <v>4104</v>
      </c>
      <c r="E301" s="1" t="s">
        <v>4105</v>
      </c>
      <c r="F301" s="1" t="s">
        <v>4106</v>
      </c>
      <c r="H301" s="2" t="s">
        <v>5</v>
      </c>
      <c r="I301" s="2" t="s">
        <v>6</v>
      </c>
      <c r="J301" s="2" t="s">
        <v>5</v>
      </c>
      <c r="K301" s="2" t="s">
        <v>5</v>
      </c>
      <c r="L301" s="2" t="s">
        <v>7</v>
      </c>
      <c r="M301" s="1" t="s">
        <v>4107</v>
      </c>
      <c r="N301" s="1" t="s">
        <v>4108</v>
      </c>
      <c r="O301" s="2" t="s">
        <v>387</v>
      </c>
      <c r="Q301" s="2" t="s">
        <v>11</v>
      </c>
      <c r="R301" s="2" t="s">
        <v>306</v>
      </c>
      <c r="S301" s="1" t="s">
        <v>4109</v>
      </c>
      <c r="T301" s="2" t="s">
        <v>1367</v>
      </c>
      <c r="U301" s="3">
        <v>8</v>
      </c>
      <c r="V301" s="3">
        <v>8</v>
      </c>
      <c r="W301" s="4" t="s">
        <v>444</v>
      </c>
      <c r="X301" s="4" t="s">
        <v>444</v>
      </c>
      <c r="Y301" s="4" t="s">
        <v>3137</v>
      </c>
      <c r="Z301" s="4" t="s">
        <v>3137</v>
      </c>
      <c r="AA301" s="3">
        <v>489</v>
      </c>
      <c r="AB301" s="3">
        <v>428</v>
      </c>
      <c r="AC301" s="3">
        <v>445</v>
      </c>
      <c r="AD301" s="3">
        <v>4</v>
      </c>
      <c r="AE301" s="7">
        <v>4</v>
      </c>
      <c r="AF301" s="7">
        <v>32</v>
      </c>
      <c r="AG301" s="7">
        <v>32</v>
      </c>
      <c r="AH301" s="3">
        <v>9</v>
      </c>
      <c r="AI301" s="3">
        <v>9</v>
      </c>
      <c r="AJ301" s="3">
        <v>8</v>
      </c>
      <c r="AK301" s="3">
        <v>8</v>
      </c>
      <c r="AL301" s="3">
        <v>8</v>
      </c>
      <c r="AM301" s="3">
        <v>8</v>
      </c>
      <c r="AN301" s="3">
        <v>2</v>
      </c>
      <c r="AO301" s="3">
        <v>2</v>
      </c>
      <c r="AP301" s="3">
        <v>12</v>
      </c>
      <c r="AQ301" s="3">
        <v>12</v>
      </c>
      <c r="AR301" s="2" t="s">
        <v>5</v>
      </c>
      <c r="AS301" s="2" t="s">
        <v>16</v>
      </c>
      <c r="AT301" s="5" t="str">
        <f>HYPERLINK("http://catalog.hathitrust.org/Record/000379684","HathiTrust Record")</f>
        <v>HathiTrust Record</v>
      </c>
      <c r="AU301" s="5" t="str">
        <f>HYPERLINK("https://creighton-primo.hosted.exlibrisgroup.com/primo-explore/search?tab=default_tab&amp;search_scope=EVERYTHING&amp;vid=01CRU&amp;lang=en_US&amp;offset=0&amp;query=any,contains,991000323749702656","Catalog Record")</f>
        <v>Catalog Record</v>
      </c>
      <c r="AV301" s="5" t="str">
        <f>HYPERLINK("http://www.worldcat.org/oclc/10162647","WorldCat Record")</f>
        <v>WorldCat Record</v>
      </c>
      <c r="AW301" s="2" t="s">
        <v>4110</v>
      </c>
      <c r="AX301" s="2" t="s">
        <v>4111</v>
      </c>
      <c r="AY301" s="2" t="s">
        <v>4112</v>
      </c>
      <c r="AZ301" s="2" t="s">
        <v>4112</v>
      </c>
      <c r="BA301" s="2" t="s">
        <v>4113</v>
      </c>
      <c r="BB301" s="2" t="s">
        <v>21</v>
      </c>
      <c r="BD301" s="2" t="s">
        <v>4114</v>
      </c>
      <c r="BE301" s="2" t="s">
        <v>4115</v>
      </c>
      <c r="BF301" s="2" t="s">
        <v>4116</v>
      </c>
    </row>
    <row r="302" spans="1:58" ht="39.75" customHeight="1" x14ac:dyDescent="0.25">
      <c r="A302" s="1"/>
      <c r="B302" s="1" t="s">
        <v>0</v>
      </c>
      <c r="C302" s="1" t="s">
        <v>1</v>
      </c>
      <c r="D302" s="1" t="s">
        <v>4117</v>
      </c>
      <c r="E302" s="1" t="s">
        <v>4118</v>
      </c>
      <c r="F302" s="1" t="s">
        <v>4119</v>
      </c>
      <c r="H302" s="2" t="s">
        <v>5</v>
      </c>
      <c r="I302" s="2" t="s">
        <v>6</v>
      </c>
      <c r="J302" s="2" t="s">
        <v>16</v>
      </c>
      <c r="K302" s="2" t="s">
        <v>5</v>
      </c>
      <c r="L302" s="2" t="s">
        <v>7</v>
      </c>
      <c r="M302" s="1" t="s">
        <v>4120</v>
      </c>
      <c r="N302" s="1" t="s">
        <v>4121</v>
      </c>
      <c r="O302" s="2" t="s">
        <v>152</v>
      </c>
      <c r="Q302" s="2" t="s">
        <v>11</v>
      </c>
      <c r="R302" s="2" t="s">
        <v>306</v>
      </c>
      <c r="T302" s="2" t="s">
        <v>1367</v>
      </c>
      <c r="U302" s="3">
        <v>3</v>
      </c>
      <c r="V302" s="3">
        <v>6</v>
      </c>
      <c r="W302" s="4" t="s">
        <v>4122</v>
      </c>
      <c r="X302" s="4" t="s">
        <v>4123</v>
      </c>
      <c r="Y302" s="4" t="s">
        <v>4124</v>
      </c>
      <c r="Z302" s="4" t="s">
        <v>3618</v>
      </c>
      <c r="AA302" s="3">
        <v>590</v>
      </c>
      <c r="AB302" s="3">
        <v>491</v>
      </c>
      <c r="AC302" s="3">
        <v>491</v>
      </c>
      <c r="AD302" s="3">
        <v>5</v>
      </c>
      <c r="AE302" s="7">
        <v>5</v>
      </c>
      <c r="AF302" s="7">
        <v>39</v>
      </c>
      <c r="AG302" s="7">
        <v>39</v>
      </c>
      <c r="AH302" s="3">
        <v>6</v>
      </c>
      <c r="AI302" s="3">
        <v>6</v>
      </c>
      <c r="AJ302" s="3">
        <v>4</v>
      </c>
      <c r="AK302" s="3">
        <v>4</v>
      </c>
      <c r="AL302" s="3">
        <v>7</v>
      </c>
      <c r="AM302" s="3">
        <v>7</v>
      </c>
      <c r="AN302" s="3">
        <v>2</v>
      </c>
      <c r="AO302" s="3">
        <v>2</v>
      </c>
      <c r="AP302" s="3">
        <v>24</v>
      </c>
      <c r="AQ302" s="3">
        <v>24</v>
      </c>
      <c r="AR302" s="2" t="s">
        <v>5</v>
      </c>
      <c r="AS302" s="2" t="s">
        <v>5</v>
      </c>
      <c r="AU302" s="5" t="str">
        <f>HYPERLINK("https://creighton-primo.hosted.exlibrisgroup.com/primo-explore/search?tab=default_tab&amp;search_scope=EVERYTHING&amp;vid=01CRU&amp;lang=en_US&amp;offset=0&amp;query=any,contains,991001642489702656","Catalog Record")</f>
        <v>Catalog Record</v>
      </c>
      <c r="AV302" s="5" t="str">
        <f>HYPERLINK("http://www.worldcat.org/oclc/20354571","WorldCat Record")</f>
        <v>WorldCat Record</v>
      </c>
      <c r="AW302" s="2" t="s">
        <v>4125</v>
      </c>
      <c r="AX302" s="2" t="s">
        <v>4126</v>
      </c>
      <c r="AY302" s="2" t="s">
        <v>4127</v>
      </c>
      <c r="AZ302" s="2" t="s">
        <v>4127</v>
      </c>
      <c r="BA302" s="2" t="s">
        <v>4128</v>
      </c>
      <c r="BB302" s="2" t="s">
        <v>21</v>
      </c>
      <c r="BD302" s="2" t="s">
        <v>4129</v>
      </c>
      <c r="BE302" s="2" t="s">
        <v>4130</v>
      </c>
      <c r="BF302" s="2" t="s">
        <v>4131</v>
      </c>
    </row>
    <row r="303" spans="1:58" ht="39.75" customHeight="1" x14ac:dyDescent="0.25">
      <c r="A303" s="1"/>
      <c r="B303" s="1" t="s">
        <v>0</v>
      </c>
      <c r="C303" s="1" t="s">
        <v>1</v>
      </c>
      <c r="D303" s="1" t="s">
        <v>4132</v>
      </c>
      <c r="E303" s="1" t="s">
        <v>4133</v>
      </c>
      <c r="F303" s="1" t="s">
        <v>4134</v>
      </c>
      <c r="H303" s="2" t="s">
        <v>5</v>
      </c>
      <c r="I303" s="2" t="s">
        <v>6</v>
      </c>
      <c r="J303" s="2" t="s">
        <v>5</v>
      </c>
      <c r="K303" s="2" t="s">
        <v>5</v>
      </c>
      <c r="L303" s="2" t="s">
        <v>7</v>
      </c>
      <c r="M303" s="1" t="s">
        <v>4135</v>
      </c>
      <c r="N303" s="1" t="s">
        <v>4136</v>
      </c>
      <c r="O303" s="2" t="s">
        <v>228</v>
      </c>
      <c r="Q303" s="2" t="s">
        <v>11</v>
      </c>
      <c r="R303" s="2" t="s">
        <v>76</v>
      </c>
      <c r="T303" s="2" t="s">
        <v>1367</v>
      </c>
      <c r="U303" s="3">
        <v>1</v>
      </c>
      <c r="V303" s="3">
        <v>1</v>
      </c>
      <c r="W303" s="4" t="s">
        <v>4137</v>
      </c>
      <c r="X303" s="4" t="s">
        <v>4137</v>
      </c>
      <c r="Y303" s="4" t="s">
        <v>4138</v>
      </c>
      <c r="Z303" s="4" t="s">
        <v>4138</v>
      </c>
      <c r="AA303" s="3">
        <v>620</v>
      </c>
      <c r="AB303" s="3">
        <v>573</v>
      </c>
      <c r="AC303" s="3">
        <v>580</v>
      </c>
      <c r="AD303" s="3">
        <v>3</v>
      </c>
      <c r="AE303" s="7">
        <v>3</v>
      </c>
      <c r="AF303" s="7">
        <v>36</v>
      </c>
      <c r="AG303" s="7">
        <v>36</v>
      </c>
      <c r="AH303" s="3">
        <v>7</v>
      </c>
      <c r="AI303" s="3">
        <v>7</v>
      </c>
      <c r="AJ303" s="3">
        <v>4</v>
      </c>
      <c r="AK303" s="3">
        <v>4</v>
      </c>
      <c r="AL303" s="3">
        <v>11</v>
      </c>
      <c r="AM303" s="3">
        <v>11</v>
      </c>
      <c r="AN303" s="3">
        <v>2</v>
      </c>
      <c r="AO303" s="3">
        <v>2</v>
      </c>
      <c r="AP303" s="3">
        <v>18</v>
      </c>
      <c r="AQ303" s="3">
        <v>18</v>
      </c>
      <c r="AR303" s="2" t="s">
        <v>5</v>
      </c>
      <c r="AS303" s="2" t="s">
        <v>16</v>
      </c>
      <c r="AT303" s="5" t="str">
        <f>HYPERLINK("http://catalog.hathitrust.org/Record/001304316","HathiTrust Record")</f>
        <v>HathiTrust Record</v>
      </c>
      <c r="AU303" s="5" t="str">
        <f>HYPERLINK("https://creighton-primo.hosted.exlibrisgroup.com/primo-explore/search?tab=default_tab&amp;search_scope=EVERYTHING&amp;vid=01CRU&amp;lang=en_US&amp;offset=0&amp;query=any,contains,991001437519702656","Catalog Record")</f>
        <v>Catalog Record</v>
      </c>
      <c r="AV303" s="5" t="str">
        <f>HYPERLINK("http://www.worldcat.org/oclc/19130929","WorldCat Record")</f>
        <v>WorldCat Record</v>
      </c>
      <c r="AW303" s="2" t="s">
        <v>4139</v>
      </c>
      <c r="AX303" s="2" t="s">
        <v>4140</v>
      </c>
      <c r="AY303" s="2" t="s">
        <v>4141</v>
      </c>
      <c r="AZ303" s="2" t="s">
        <v>4141</v>
      </c>
      <c r="BA303" s="2" t="s">
        <v>4142</v>
      </c>
      <c r="BB303" s="2" t="s">
        <v>21</v>
      </c>
      <c r="BD303" s="2" t="s">
        <v>4143</v>
      </c>
      <c r="BE303" s="2" t="s">
        <v>4144</v>
      </c>
      <c r="BF303" s="2" t="s">
        <v>4145</v>
      </c>
    </row>
    <row r="304" spans="1:58" ht="39.75" customHeight="1" x14ac:dyDescent="0.25">
      <c r="A304" s="1"/>
      <c r="B304" s="1" t="s">
        <v>0</v>
      </c>
      <c r="C304" s="1" t="s">
        <v>1</v>
      </c>
      <c r="D304" s="1" t="s">
        <v>4146</v>
      </c>
      <c r="E304" s="1" t="s">
        <v>4147</v>
      </c>
      <c r="F304" s="1" t="s">
        <v>4148</v>
      </c>
      <c r="H304" s="2" t="s">
        <v>5</v>
      </c>
      <c r="I304" s="2" t="s">
        <v>6</v>
      </c>
      <c r="J304" s="2" t="s">
        <v>5</v>
      </c>
      <c r="K304" s="2" t="s">
        <v>5</v>
      </c>
      <c r="L304" s="2" t="s">
        <v>7</v>
      </c>
      <c r="M304" s="1" t="s">
        <v>4149</v>
      </c>
      <c r="N304" s="1" t="s">
        <v>4150</v>
      </c>
      <c r="O304" s="2" t="s">
        <v>259</v>
      </c>
      <c r="Q304" s="2" t="s">
        <v>11</v>
      </c>
      <c r="R304" s="2" t="s">
        <v>501</v>
      </c>
      <c r="T304" s="2" t="s">
        <v>1367</v>
      </c>
      <c r="U304" s="3">
        <v>4</v>
      </c>
      <c r="V304" s="3">
        <v>4</v>
      </c>
      <c r="W304" s="4" t="s">
        <v>714</v>
      </c>
      <c r="X304" s="4" t="s">
        <v>714</v>
      </c>
      <c r="Y304" s="4" t="s">
        <v>4151</v>
      </c>
      <c r="Z304" s="4" t="s">
        <v>4151</v>
      </c>
      <c r="AA304" s="3">
        <v>210</v>
      </c>
      <c r="AB304" s="3">
        <v>186</v>
      </c>
      <c r="AC304" s="3">
        <v>188</v>
      </c>
      <c r="AD304" s="3">
        <v>3</v>
      </c>
      <c r="AE304" s="7">
        <v>3</v>
      </c>
      <c r="AF304" s="7">
        <v>10</v>
      </c>
      <c r="AG304" s="7">
        <v>10</v>
      </c>
      <c r="AH304" s="3">
        <v>2</v>
      </c>
      <c r="AI304" s="3">
        <v>2</v>
      </c>
      <c r="AJ304" s="3">
        <v>0</v>
      </c>
      <c r="AK304" s="3">
        <v>0</v>
      </c>
      <c r="AL304" s="3">
        <v>4</v>
      </c>
      <c r="AM304" s="3">
        <v>4</v>
      </c>
      <c r="AN304" s="3">
        <v>2</v>
      </c>
      <c r="AO304" s="3">
        <v>2</v>
      </c>
      <c r="AP304" s="3">
        <v>4</v>
      </c>
      <c r="AQ304" s="3">
        <v>4</v>
      </c>
      <c r="AR304" s="2" t="s">
        <v>5</v>
      </c>
      <c r="AS304" s="2" t="s">
        <v>16</v>
      </c>
      <c r="AT304" s="5" t="str">
        <f>HYPERLINK("http://catalog.hathitrust.org/Record/001292870","HathiTrust Record")</f>
        <v>HathiTrust Record</v>
      </c>
      <c r="AU304" s="5" t="str">
        <f>HYPERLINK("https://creighton-primo.hosted.exlibrisgroup.com/primo-explore/search?tab=default_tab&amp;search_scope=EVERYTHING&amp;vid=01CRU&amp;lang=en_US&amp;offset=0&amp;query=any,contains,991001255369702656","Catalog Record")</f>
        <v>Catalog Record</v>
      </c>
      <c r="AV304" s="5" t="str">
        <f>HYPERLINK("http://www.worldcat.org/oclc/17731090","WorldCat Record")</f>
        <v>WorldCat Record</v>
      </c>
      <c r="AW304" s="2" t="s">
        <v>4152</v>
      </c>
      <c r="AX304" s="2" t="s">
        <v>4153</v>
      </c>
      <c r="AY304" s="2" t="s">
        <v>4154</v>
      </c>
      <c r="AZ304" s="2" t="s">
        <v>4154</v>
      </c>
      <c r="BA304" s="2" t="s">
        <v>4155</v>
      </c>
      <c r="BB304" s="2" t="s">
        <v>21</v>
      </c>
      <c r="BD304" s="2" t="s">
        <v>4156</v>
      </c>
      <c r="BE304" s="2" t="s">
        <v>4157</v>
      </c>
      <c r="BF304" s="2" t="s">
        <v>4158</v>
      </c>
    </row>
    <row r="305" spans="1:58" ht="39.75" customHeight="1" x14ac:dyDescent="0.25">
      <c r="A305" s="1"/>
      <c r="B305" s="1" t="s">
        <v>0</v>
      </c>
      <c r="C305" s="1" t="s">
        <v>1</v>
      </c>
      <c r="D305" s="1" t="s">
        <v>4159</v>
      </c>
      <c r="E305" s="1" t="s">
        <v>4160</v>
      </c>
      <c r="F305" s="1" t="s">
        <v>4161</v>
      </c>
      <c r="H305" s="2" t="s">
        <v>5</v>
      </c>
      <c r="I305" s="2" t="s">
        <v>6</v>
      </c>
      <c r="J305" s="2" t="s">
        <v>5</v>
      </c>
      <c r="K305" s="2" t="s">
        <v>5</v>
      </c>
      <c r="L305" s="2" t="s">
        <v>7</v>
      </c>
      <c r="M305" s="1" t="s">
        <v>4162</v>
      </c>
      <c r="N305" s="1" t="s">
        <v>4163</v>
      </c>
      <c r="O305" s="2" t="s">
        <v>486</v>
      </c>
      <c r="P305" s="1" t="s">
        <v>229</v>
      </c>
      <c r="Q305" s="2" t="s">
        <v>11</v>
      </c>
      <c r="R305" s="2" t="s">
        <v>903</v>
      </c>
      <c r="S305" s="1" t="s">
        <v>4164</v>
      </c>
      <c r="T305" s="2" t="s">
        <v>1367</v>
      </c>
      <c r="U305" s="3">
        <v>10</v>
      </c>
      <c r="V305" s="3">
        <v>10</v>
      </c>
      <c r="W305" s="4" t="s">
        <v>714</v>
      </c>
      <c r="X305" s="4" t="s">
        <v>714</v>
      </c>
      <c r="Y305" s="4" t="s">
        <v>4165</v>
      </c>
      <c r="Z305" s="4" t="s">
        <v>4165</v>
      </c>
      <c r="AA305" s="3">
        <v>496</v>
      </c>
      <c r="AB305" s="3">
        <v>415</v>
      </c>
      <c r="AC305" s="3">
        <v>432</v>
      </c>
      <c r="AD305" s="3">
        <v>3</v>
      </c>
      <c r="AE305" s="7">
        <v>3</v>
      </c>
      <c r="AF305" s="7">
        <v>29</v>
      </c>
      <c r="AG305" s="7">
        <v>31</v>
      </c>
      <c r="AH305" s="3">
        <v>4</v>
      </c>
      <c r="AI305" s="3">
        <v>5</v>
      </c>
      <c r="AJ305" s="3">
        <v>2</v>
      </c>
      <c r="AK305" s="3">
        <v>3</v>
      </c>
      <c r="AL305" s="3">
        <v>7</v>
      </c>
      <c r="AM305" s="3">
        <v>7</v>
      </c>
      <c r="AN305" s="3">
        <v>1</v>
      </c>
      <c r="AO305" s="3">
        <v>1</v>
      </c>
      <c r="AP305" s="3">
        <v>17</v>
      </c>
      <c r="AQ305" s="3">
        <v>17</v>
      </c>
      <c r="AR305" s="2" t="s">
        <v>5</v>
      </c>
      <c r="AS305" s="2" t="s">
        <v>16</v>
      </c>
      <c r="AT305" s="5" t="str">
        <f>HYPERLINK("http://catalog.hathitrust.org/Record/002605526","HathiTrust Record")</f>
        <v>HathiTrust Record</v>
      </c>
      <c r="AU305" s="5" t="str">
        <f>HYPERLINK("https://creighton-primo.hosted.exlibrisgroup.com/primo-explore/search?tab=default_tab&amp;search_scope=EVERYTHING&amp;vid=01CRU&amp;lang=en_US&amp;offset=0&amp;query=any,contains,991000265779702656","Catalog Record")</f>
        <v>Catalog Record</v>
      </c>
      <c r="AV305" s="5" t="str">
        <f>HYPERLINK("http://www.worldcat.org/oclc/9829581","WorldCat Record")</f>
        <v>WorldCat Record</v>
      </c>
      <c r="AW305" s="2" t="s">
        <v>4166</v>
      </c>
      <c r="AX305" s="2" t="s">
        <v>4167</v>
      </c>
      <c r="AY305" s="2" t="s">
        <v>4168</v>
      </c>
      <c r="AZ305" s="2" t="s">
        <v>4168</v>
      </c>
      <c r="BA305" s="2" t="s">
        <v>4169</v>
      </c>
      <c r="BB305" s="2" t="s">
        <v>21</v>
      </c>
      <c r="BD305" s="2" t="s">
        <v>4170</v>
      </c>
      <c r="BE305" s="2" t="s">
        <v>4171</v>
      </c>
      <c r="BF305" s="2" t="s">
        <v>4172</v>
      </c>
    </row>
    <row r="306" spans="1:58" ht="39.75" customHeight="1" x14ac:dyDescent="0.25">
      <c r="A306" s="1"/>
      <c r="B306" s="1" t="s">
        <v>0</v>
      </c>
      <c r="C306" s="1" t="s">
        <v>1</v>
      </c>
      <c r="D306" s="1" t="s">
        <v>4173</v>
      </c>
      <c r="E306" s="1" t="s">
        <v>4174</v>
      </c>
      <c r="F306" s="1" t="s">
        <v>4175</v>
      </c>
      <c r="H306" s="2" t="s">
        <v>5</v>
      </c>
      <c r="I306" s="2" t="s">
        <v>6</v>
      </c>
      <c r="J306" s="2" t="s">
        <v>16</v>
      </c>
      <c r="K306" s="2" t="s">
        <v>5</v>
      </c>
      <c r="L306" s="2" t="s">
        <v>7</v>
      </c>
      <c r="M306" s="1" t="s">
        <v>4176</v>
      </c>
      <c r="N306" s="1" t="s">
        <v>4177</v>
      </c>
      <c r="O306" s="2" t="s">
        <v>29</v>
      </c>
      <c r="Q306" s="2" t="s">
        <v>11</v>
      </c>
      <c r="R306" s="2" t="s">
        <v>903</v>
      </c>
      <c r="T306" s="2" t="s">
        <v>1367</v>
      </c>
      <c r="U306" s="3">
        <v>5</v>
      </c>
      <c r="V306" s="3">
        <v>5</v>
      </c>
      <c r="W306" s="4" t="s">
        <v>4178</v>
      </c>
      <c r="X306" s="4" t="s">
        <v>4178</v>
      </c>
      <c r="Y306" s="4" t="s">
        <v>3137</v>
      </c>
      <c r="Z306" s="4" t="s">
        <v>3137</v>
      </c>
      <c r="AA306" s="3">
        <v>487</v>
      </c>
      <c r="AB306" s="3">
        <v>437</v>
      </c>
      <c r="AC306" s="3">
        <v>443</v>
      </c>
      <c r="AD306" s="3">
        <v>3</v>
      </c>
      <c r="AE306" s="7">
        <v>3</v>
      </c>
      <c r="AF306" s="7">
        <v>25</v>
      </c>
      <c r="AG306" s="7">
        <v>25</v>
      </c>
      <c r="AH306" s="3">
        <v>2</v>
      </c>
      <c r="AI306" s="3">
        <v>2</v>
      </c>
      <c r="AJ306" s="3">
        <v>1</v>
      </c>
      <c r="AK306" s="3">
        <v>1</v>
      </c>
      <c r="AL306" s="3">
        <v>2</v>
      </c>
      <c r="AM306" s="3">
        <v>2</v>
      </c>
      <c r="AN306" s="3">
        <v>1</v>
      </c>
      <c r="AO306" s="3">
        <v>1</v>
      </c>
      <c r="AP306" s="3">
        <v>19</v>
      </c>
      <c r="AQ306" s="3">
        <v>19</v>
      </c>
      <c r="AR306" s="2" t="s">
        <v>5</v>
      </c>
      <c r="AS306" s="2" t="s">
        <v>5</v>
      </c>
      <c r="AU306" s="5" t="str">
        <f>HYPERLINK("https://creighton-primo.hosted.exlibrisgroup.com/primo-explore/search?tab=default_tab&amp;search_scope=EVERYTHING&amp;vid=01CRU&amp;lang=en_US&amp;offset=0&amp;query=any,contains,991001812209702656","Catalog Record")</f>
        <v>Catalog Record</v>
      </c>
      <c r="AV306" s="5" t="str">
        <f>HYPERLINK("http://www.worldcat.org/oclc/5676315","WorldCat Record")</f>
        <v>WorldCat Record</v>
      </c>
      <c r="AW306" s="2" t="s">
        <v>4179</v>
      </c>
      <c r="AX306" s="2" t="s">
        <v>4180</v>
      </c>
      <c r="AY306" s="2" t="s">
        <v>4181</v>
      </c>
      <c r="AZ306" s="2" t="s">
        <v>4181</v>
      </c>
      <c r="BA306" s="2" t="s">
        <v>4182</v>
      </c>
      <c r="BB306" s="2" t="s">
        <v>21</v>
      </c>
      <c r="BD306" s="2" t="s">
        <v>4183</v>
      </c>
      <c r="BE306" s="2" t="s">
        <v>4184</v>
      </c>
      <c r="BF306" s="2" t="s">
        <v>4185</v>
      </c>
    </row>
    <row r="307" spans="1:58" ht="39.75" customHeight="1" x14ac:dyDescent="0.25">
      <c r="A307" s="1"/>
      <c r="B307" s="1" t="s">
        <v>0</v>
      </c>
      <c r="C307" s="1" t="s">
        <v>1</v>
      </c>
      <c r="D307" s="1" t="s">
        <v>4186</v>
      </c>
      <c r="E307" s="1" t="s">
        <v>4187</v>
      </c>
      <c r="F307" s="1" t="s">
        <v>4188</v>
      </c>
      <c r="H307" s="2" t="s">
        <v>5</v>
      </c>
      <c r="I307" s="2" t="s">
        <v>6</v>
      </c>
      <c r="J307" s="2" t="s">
        <v>5</v>
      </c>
      <c r="K307" s="2" t="s">
        <v>5</v>
      </c>
      <c r="L307" s="2" t="s">
        <v>7</v>
      </c>
      <c r="M307" s="1" t="s">
        <v>4189</v>
      </c>
      <c r="N307" s="1" t="s">
        <v>4190</v>
      </c>
      <c r="O307" s="2" t="s">
        <v>1001</v>
      </c>
      <c r="Q307" s="2" t="s">
        <v>11</v>
      </c>
      <c r="R307" s="2" t="s">
        <v>124</v>
      </c>
      <c r="S307" s="1" t="s">
        <v>4191</v>
      </c>
      <c r="T307" s="2" t="s">
        <v>1367</v>
      </c>
      <c r="U307" s="3">
        <v>4</v>
      </c>
      <c r="V307" s="3">
        <v>4</v>
      </c>
      <c r="W307" s="4" t="s">
        <v>4192</v>
      </c>
      <c r="X307" s="4" t="s">
        <v>4192</v>
      </c>
      <c r="Y307" s="4" t="s">
        <v>3883</v>
      </c>
      <c r="Z307" s="4" t="s">
        <v>3883</v>
      </c>
      <c r="AA307" s="3">
        <v>469</v>
      </c>
      <c r="AB307" s="3">
        <v>435</v>
      </c>
      <c r="AC307" s="3">
        <v>500</v>
      </c>
      <c r="AD307" s="3">
        <v>8</v>
      </c>
      <c r="AE307" s="7">
        <v>9</v>
      </c>
      <c r="AF307" s="7">
        <v>20</v>
      </c>
      <c r="AG307" s="7">
        <v>21</v>
      </c>
      <c r="AH307" s="3">
        <v>6</v>
      </c>
      <c r="AI307" s="3">
        <v>6</v>
      </c>
      <c r="AJ307" s="3">
        <v>5</v>
      </c>
      <c r="AK307" s="3">
        <v>5</v>
      </c>
      <c r="AL307" s="3">
        <v>8</v>
      </c>
      <c r="AM307" s="3">
        <v>8</v>
      </c>
      <c r="AN307" s="3">
        <v>5</v>
      </c>
      <c r="AO307" s="3">
        <v>5</v>
      </c>
      <c r="AP307" s="3">
        <v>2</v>
      </c>
      <c r="AQ307" s="3">
        <v>3</v>
      </c>
      <c r="AR307" s="2" t="s">
        <v>5</v>
      </c>
      <c r="AS307" s="2" t="s">
        <v>16</v>
      </c>
      <c r="AT307" s="5" t="str">
        <f>HYPERLINK("http://catalog.hathitrust.org/Record/000030190","HathiTrust Record")</f>
        <v>HathiTrust Record</v>
      </c>
      <c r="AU307" s="5" t="str">
        <f>HYPERLINK("https://creighton-primo.hosted.exlibrisgroup.com/primo-explore/search?tab=default_tab&amp;search_scope=EVERYTHING&amp;vid=01CRU&amp;lang=en_US&amp;offset=0&amp;query=any,contains,991003530579702656","Catalog Record")</f>
        <v>Catalog Record</v>
      </c>
      <c r="AV307" s="5" t="str">
        <f>HYPERLINK("http://www.worldcat.org/oclc/1093476","WorldCat Record")</f>
        <v>WorldCat Record</v>
      </c>
      <c r="AW307" s="2" t="s">
        <v>4193</v>
      </c>
      <c r="AX307" s="2" t="s">
        <v>4194</v>
      </c>
      <c r="AY307" s="2" t="s">
        <v>4195</v>
      </c>
      <c r="AZ307" s="2" t="s">
        <v>4195</v>
      </c>
      <c r="BA307" s="2" t="s">
        <v>4196</v>
      </c>
      <c r="BB307" s="2" t="s">
        <v>21</v>
      </c>
      <c r="BD307" s="2" t="s">
        <v>4197</v>
      </c>
      <c r="BE307" s="2" t="s">
        <v>4198</v>
      </c>
      <c r="BF307" s="2" t="s">
        <v>4199</v>
      </c>
    </row>
    <row r="308" spans="1:58" ht="39.75" customHeight="1" x14ac:dyDescent="0.25">
      <c r="A308" s="1"/>
      <c r="B308" s="1" t="s">
        <v>0</v>
      </c>
      <c r="C308" s="1" t="s">
        <v>1</v>
      </c>
      <c r="D308" s="1" t="s">
        <v>4200</v>
      </c>
      <c r="E308" s="1" t="s">
        <v>4201</v>
      </c>
      <c r="F308" s="1" t="s">
        <v>4202</v>
      </c>
      <c r="H308" s="2" t="s">
        <v>5</v>
      </c>
      <c r="I308" s="2" t="s">
        <v>6</v>
      </c>
      <c r="J308" s="2" t="s">
        <v>16</v>
      </c>
      <c r="K308" s="2" t="s">
        <v>5</v>
      </c>
      <c r="L308" s="2" t="s">
        <v>7</v>
      </c>
      <c r="M308" s="1" t="s">
        <v>4203</v>
      </c>
      <c r="N308" s="1" t="s">
        <v>4204</v>
      </c>
      <c r="O308" s="2" t="s">
        <v>516</v>
      </c>
      <c r="Q308" s="2" t="s">
        <v>11</v>
      </c>
      <c r="R308" s="2" t="s">
        <v>1934</v>
      </c>
      <c r="T308" s="2" t="s">
        <v>1367</v>
      </c>
      <c r="U308" s="3">
        <v>1</v>
      </c>
      <c r="V308" s="3">
        <v>3</v>
      </c>
      <c r="W308" s="4" t="s">
        <v>4205</v>
      </c>
      <c r="X308" s="4" t="s">
        <v>4205</v>
      </c>
      <c r="Y308" s="4" t="s">
        <v>1073</v>
      </c>
      <c r="Z308" s="4" t="s">
        <v>1073</v>
      </c>
      <c r="AA308" s="3">
        <v>906</v>
      </c>
      <c r="AB308" s="3">
        <v>792</v>
      </c>
      <c r="AC308" s="3">
        <v>816</v>
      </c>
      <c r="AD308" s="3">
        <v>7</v>
      </c>
      <c r="AE308" s="7">
        <v>7</v>
      </c>
      <c r="AF308" s="7">
        <v>43</v>
      </c>
      <c r="AG308" s="7">
        <v>45</v>
      </c>
      <c r="AH308" s="3">
        <v>7</v>
      </c>
      <c r="AI308" s="3">
        <v>8</v>
      </c>
      <c r="AJ308" s="3">
        <v>6</v>
      </c>
      <c r="AK308" s="3">
        <v>6</v>
      </c>
      <c r="AL308" s="3">
        <v>12</v>
      </c>
      <c r="AM308" s="3">
        <v>14</v>
      </c>
      <c r="AN308" s="3">
        <v>4</v>
      </c>
      <c r="AO308" s="3">
        <v>4</v>
      </c>
      <c r="AP308" s="3">
        <v>21</v>
      </c>
      <c r="AQ308" s="3">
        <v>21</v>
      </c>
      <c r="AR308" s="2" t="s">
        <v>5</v>
      </c>
      <c r="AS308" s="2" t="s">
        <v>16</v>
      </c>
      <c r="AT308" s="5" t="str">
        <f>HYPERLINK("http://catalog.hathitrust.org/Record/000341803","HathiTrust Record")</f>
        <v>HathiTrust Record</v>
      </c>
      <c r="AU308" s="5" t="str">
        <f>HYPERLINK("https://creighton-primo.hosted.exlibrisgroup.com/primo-explore/search?tab=default_tab&amp;search_scope=EVERYTHING&amp;vid=01CRU&amp;lang=en_US&amp;offset=0&amp;query=any,contains,991001672759702656","Catalog Record")</f>
        <v>Catalog Record</v>
      </c>
      <c r="AV308" s="5" t="str">
        <f>HYPERLINK("http://www.worldcat.org/oclc/712153","WorldCat Record")</f>
        <v>WorldCat Record</v>
      </c>
      <c r="AW308" s="2" t="s">
        <v>4206</v>
      </c>
      <c r="AX308" s="2" t="s">
        <v>4207</v>
      </c>
      <c r="AY308" s="2" t="s">
        <v>4208</v>
      </c>
      <c r="AZ308" s="2" t="s">
        <v>4208</v>
      </c>
      <c r="BA308" s="2" t="s">
        <v>4209</v>
      </c>
      <c r="BB308" s="2" t="s">
        <v>21</v>
      </c>
      <c r="BE308" s="2" t="s">
        <v>4210</v>
      </c>
      <c r="BF308" s="2" t="s">
        <v>4211</v>
      </c>
    </row>
    <row r="309" spans="1:58" ht="39.75" customHeight="1" x14ac:dyDescent="0.25">
      <c r="A309" s="1"/>
      <c r="B309" s="1" t="s">
        <v>0</v>
      </c>
      <c r="C309" s="1" t="s">
        <v>1</v>
      </c>
      <c r="D309" s="1" t="s">
        <v>4212</v>
      </c>
      <c r="E309" s="1" t="s">
        <v>4213</v>
      </c>
      <c r="F309" s="1" t="s">
        <v>4214</v>
      </c>
      <c r="H309" s="2" t="s">
        <v>5</v>
      </c>
      <c r="I309" s="2" t="s">
        <v>6</v>
      </c>
      <c r="J309" s="2" t="s">
        <v>5</v>
      </c>
      <c r="K309" s="2" t="s">
        <v>5</v>
      </c>
      <c r="L309" s="2" t="s">
        <v>7</v>
      </c>
      <c r="M309" s="1" t="s">
        <v>4215</v>
      </c>
      <c r="N309" s="1" t="s">
        <v>4216</v>
      </c>
      <c r="O309" s="2" t="s">
        <v>836</v>
      </c>
      <c r="Q309" s="2" t="s">
        <v>11</v>
      </c>
      <c r="R309" s="2" t="s">
        <v>244</v>
      </c>
      <c r="T309" s="2" t="s">
        <v>1367</v>
      </c>
      <c r="U309" s="3">
        <v>1</v>
      </c>
      <c r="V309" s="3">
        <v>1</v>
      </c>
      <c r="W309" s="4" t="s">
        <v>4205</v>
      </c>
      <c r="X309" s="4" t="s">
        <v>4205</v>
      </c>
      <c r="Y309" s="4" t="s">
        <v>1073</v>
      </c>
      <c r="Z309" s="4" t="s">
        <v>1073</v>
      </c>
      <c r="AA309" s="3">
        <v>407</v>
      </c>
      <c r="AB309" s="3">
        <v>341</v>
      </c>
      <c r="AC309" s="3">
        <v>343</v>
      </c>
      <c r="AD309" s="3">
        <v>3</v>
      </c>
      <c r="AE309" s="7">
        <v>3</v>
      </c>
      <c r="AF309" s="7">
        <v>20</v>
      </c>
      <c r="AG309" s="7">
        <v>20</v>
      </c>
      <c r="AH309" s="3">
        <v>0</v>
      </c>
      <c r="AI309" s="3">
        <v>0</v>
      </c>
      <c r="AJ309" s="3">
        <v>1</v>
      </c>
      <c r="AK309" s="3">
        <v>1</v>
      </c>
      <c r="AL309" s="3">
        <v>3</v>
      </c>
      <c r="AM309" s="3">
        <v>3</v>
      </c>
      <c r="AN309" s="3">
        <v>2</v>
      </c>
      <c r="AO309" s="3">
        <v>2</v>
      </c>
      <c r="AP309" s="3">
        <v>14</v>
      </c>
      <c r="AQ309" s="3">
        <v>14</v>
      </c>
      <c r="AR309" s="2" t="s">
        <v>5</v>
      </c>
      <c r="AS309" s="2" t="s">
        <v>16</v>
      </c>
      <c r="AT309" s="5" t="str">
        <f>HYPERLINK("http://catalog.hathitrust.org/Record/000711237","HathiTrust Record")</f>
        <v>HathiTrust Record</v>
      </c>
      <c r="AU309" s="5" t="str">
        <f>HYPERLINK("https://creighton-primo.hosted.exlibrisgroup.com/primo-explore/search?tab=default_tab&amp;search_scope=EVERYTHING&amp;vid=01CRU&amp;lang=en_US&amp;offset=0&amp;query=any,contains,991003982659702656","Catalog Record")</f>
        <v>Catalog Record</v>
      </c>
      <c r="AV309" s="5" t="str">
        <f>HYPERLINK("http://www.worldcat.org/oclc/2020770","WorldCat Record")</f>
        <v>WorldCat Record</v>
      </c>
      <c r="AW309" s="2" t="s">
        <v>4217</v>
      </c>
      <c r="AX309" s="2" t="s">
        <v>4218</v>
      </c>
      <c r="AY309" s="2" t="s">
        <v>4219</v>
      </c>
      <c r="AZ309" s="2" t="s">
        <v>4219</v>
      </c>
      <c r="BA309" s="2" t="s">
        <v>4220</v>
      </c>
      <c r="BB309" s="2" t="s">
        <v>21</v>
      </c>
      <c r="BD309" s="2" t="s">
        <v>4221</v>
      </c>
      <c r="BE309" s="2" t="s">
        <v>4222</v>
      </c>
      <c r="BF309" s="2" t="s">
        <v>4223</v>
      </c>
    </row>
    <row r="310" spans="1:58" ht="39.75" customHeight="1" x14ac:dyDescent="0.25">
      <c r="A310" s="1"/>
      <c r="B310" s="1" t="s">
        <v>0</v>
      </c>
      <c r="C310" s="1" t="s">
        <v>1</v>
      </c>
      <c r="D310" s="1" t="s">
        <v>4224</v>
      </c>
      <c r="E310" s="1" t="s">
        <v>4225</v>
      </c>
      <c r="F310" s="1" t="s">
        <v>4226</v>
      </c>
      <c r="H310" s="2" t="s">
        <v>5</v>
      </c>
      <c r="I310" s="2" t="s">
        <v>6</v>
      </c>
      <c r="J310" s="2" t="s">
        <v>5</v>
      </c>
      <c r="K310" s="2" t="s">
        <v>5</v>
      </c>
      <c r="L310" s="2" t="s">
        <v>7</v>
      </c>
      <c r="M310" s="1" t="s">
        <v>4227</v>
      </c>
      <c r="N310" s="1" t="s">
        <v>4228</v>
      </c>
      <c r="O310" s="2" t="s">
        <v>472</v>
      </c>
      <c r="Q310" s="2" t="s">
        <v>11</v>
      </c>
      <c r="R310" s="2" t="s">
        <v>1934</v>
      </c>
      <c r="T310" s="2" t="s">
        <v>1367</v>
      </c>
      <c r="U310" s="3">
        <v>4</v>
      </c>
      <c r="V310" s="3">
        <v>4</v>
      </c>
      <c r="W310" s="4" t="s">
        <v>4229</v>
      </c>
      <c r="X310" s="4" t="s">
        <v>4229</v>
      </c>
      <c r="Y310" s="4" t="s">
        <v>3137</v>
      </c>
      <c r="Z310" s="4" t="s">
        <v>3137</v>
      </c>
      <c r="AA310" s="3">
        <v>570</v>
      </c>
      <c r="AB310" s="3">
        <v>512</v>
      </c>
      <c r="AC310" s="3">
        <v>518</v>
      </c>
      <c r="AD310" s="3">
        <v>4</v>
      </c>
      <c r="AE310" s="7">
        <v>4</v>
      </c>
      <c r="AF310" s="7">
        <v>31</v>
      </c>
      <c r="AG310" s="7">
        <v>31</v>
      </c>
      <c r="AH310" s="3">
        <v>7</v>
      </c>
      <c r="AI310" s="3">
        <v>7</v>
      </c>
      <c r="AJ310" s="3">
        <v>5</v>
      </c>
      <c r="AK310" s="3">
        <v>5</v>
      </c>
      <c r="AL310" s="3">
        <v>9</v>
      </c>
      <c r="AM310" s="3">
        <v>9</v>
      </c>
      <c r="AN310" s="3">
        <v>3</v>
      </c>
      <c r="AO310" s="3">
        <v>3</v>
      </c>
      <c r="AP310" s="3">
        <v>12</v>
      </c>
      <c r="AQ310" s="3">
        <v>12</v>
      </c>
      <c r="AR310" s="2" t="s">
        <v>5</v>
      </c>
      <c r="AS310" s="2" t="s">
        <v>16</v>
      </c>
      <c r="AT310" s="5" t="str">
        <f>HYPERLINK("http://catalog.hathitrust.org/Record/000103635","HathiTrust Record")</f>
        <v>HathiTrust Record</v>
      </c>
      <c r="AU310" s="5" t="str">
        <f>HYPERLINK("https://creighton-primo.hosted.exlibrisgroup.com/primo-explore/search?tab=default_tab&amp;search_scope=EVERYTHING&amp;vid=01CRU&amp;lang=en_US&amp;offset=0&amp;query=any,contains,991005036859702656","Catalog Record")</f>
        <v>Catalog Record</v>
      </c>
      <c r="AV310" s="5" t="str">
        <f>HYPERLINK("http://www.worldcat.org/oclc/6762322","WorldCat Record")</f>
        <v>WorldCat Record</v>
      </c>
      <c r="AW310" s="2" t="s">
        <v>4230</v>
      </c>
      <c r="AX310" s="2" t="s">
        <v>4231</v>
      </c>
      <c r="AY310" s="2" t="s">
        <v>4232</v>
      </c>
      <c r="AZ310" s="2" t="s">
        <v>4232</v>
      </c>
      <c r="BA310" s="2" t="s">
        <v>4233</v>
      </c>
      <c r="BB310" s="2" t="s">
        <v>21</v>
      </c>
      <c r="BD310" s="2" t="s">
        <v>4234</v>
      </c>
      <c r="BE310" s="2" t="s">
        <v>4235</v>
      </c>
      <c r="BF310" s="2" t="s">
        <v>4236</v>
      </c>
    </row>
    <row r="311" spans="1:58" ht="39.75" customHeight="1" x14ac:dyDescent="0.25">
      <c r="A311" s="1"/>
      <c r="B311" s="1" t="s">
        <v>0</v>
      </c>
      <c r="C311" s="1" t="s">
        <v>1</v>
      </c>
      <c r="D311" s="1" t="s">
        <v>4237</v>
      </c>
      <c r="E311" s="1" t="s">
        <v>4238</v>
      </c>
      <c r="F311" s="1" t="s">
        <v>4239</v>
      </c>
      <c r="H311" s="2" t="s">
        <v>5</v>
      </c>
      <c r="I311" s="2" t="s">
        <v>6</v>
      </c>
      <c r="J311" s="2" t="s">
        <v>5</v>
      </c>
      <c r="K311" s="2" t="s">
        <v>5</v>
      </c>
      <c r="L311" s="2" t="s">
        <v>7</v>
      </c>
      <c r="M311" s="1" t="s">
        <v>4240</v>
      </c>
      <c r="N311" s="1" t="s">
        <v>4241</v>
      </c>
      <c r="O311" s="2" t="s">
        <v>275</v>
      </c>
      <c r="Q311" s="2" t="s">
        <v>11</v>
      </c>
      <c r="R311" s="2" t="s">
        <v>76</v>
      </c>
      <c r="S311" s="1" t="s">
        <v>4242</v>
      </c>
      <c r="T311" s="2" t="s">
        <v>1367</v>
      </c>
      <c r="U311" s="3">
        <v>2</v>
      </c>
      <c r="V311" s="3">
        <v>2</v>
      </c>
      <c r="W311" s="4" t="s">
        <v>4243</v>
      </c>
      <c r="X311" s="4" t="s">
        <v>4243</v>
      </c>
      <c r="Y311" s="4" t="s">
        <v>4244</v>
      </c>
      <c r="Z311" s="4" t="s">
        <v>4244</v>
      </c>
      <c r="AA311" s="3">
        <v>360</v>
      </c>
      <c r="AB311" s="3">
        <v>330</v>
      </c>
      <c r="AC311" s="3">
        <v>346</v>
      </c>
      <c r="AD311" s="3">
        <v>4</v>
      </c>
      <c r="AE311" s="7">
        <v>4</v>
      </c>
      <c r="AF311" s="7">
        <v>21</v>
      </c>
      <c r="AG311" s="7">
        <v>21</v>
      </c>
      <c r="AH311" s="3">
        <v>6</v>
      </c>
      <c r="AI311" s="3">
        <v>6</v>
      </c>
      <c r="AJ311" s="3">
        <v>1</v>
      </c>
      <c r="AK311" s="3">
        <v>1</v>
      </c>
      <c r="AL311" s="3">
        <v>9</v>
      </c>
      <c r="AM311" s="3">
        <v>9</v>
      </c>
      <c r="AN311" s="3">
        <v>3</v>
      </c>
      <c r="AO311" s="3">
        <v>3</v>
      </c>
      <c r="AP311" s="3">
        <v>5</v>
      </c>
      <c r="AQ311" s="3">
        <v>5</v>
      </c>
      <c r="AR311" s="2" t="s">
        <v>5</v>
      </c>
      <c r="AS311" s="2" t="s">
        <v>16</v>
      </c>
      <c r="AT311" s="5" t="str">
        <f>HYPERLINK("http://catalog.hathitrust.org/Record/000715940","HathiTrust Record")</f>
        <v>HathiTrust Record</v>
      </c>
      <c r="AU311" s="5" t="str">
        <f>HYPERLINK("https://creighton-primo.hosted.exlibrisgroup.com/primo-explore/search?tab=default_tab&amp;search_scope=EVERYTHING&amp;vid=01CRU&amp;lang=en_US&amp;offset=0&amp;query=any,contains,991004783089702656","Catalog Record")</f>
        <v>Catalog Record</v>
      </c>
      <c r="AV311" s="5" t="str">
        <f>HYPERLINK("http://www.worldcat.org/oclc/5126193","WorldCat Record")</f>
        <v>WorldCat Record</v>
      </c>
      <c r="AW311" s="2" t="s">
        <v>4245</v>
      </c>
      <c r="AX311" s="2" t="s">
        <v>4246</v>
      </c>
      <c r="AY311" s="2" t="s">
        <v>4247</v>
      </c>
      <c r="AZ311" s="2" t="s">
        <v>4247</v>
      </c>
      <c r="BA311" s="2" t="s">
        <v>4248</v>
      </c>
      <c r="BB311" s="2" t="s">
        <v>21</v>
      </c>
      <c r="BD311" s="2" t="s">
        <v>4249</v>
      </c>
      <c r="BE311" s="2" t="s">
        <v>4250</v>
      </c>
      <c r="BF311" s="2" t="s">
        <v>4251</v>
      </c>
    </row>
    <row r="312" spans="1:58" ht="39.75" customHeight="1" x14ac:dyDescent="0.25">
      <c r="A312" s="1"/>
      <c r="B312" s="1" t="s">
        <v>0</v>
      </c>
      <c r="C312" s="1" t="s">
        <v>1</v>
      </c>
      <c r="D312" s="1" t="s">
        <v>4252</v>
      </c>
      <c r="E312" s="1" t="s">
        <v>4253</v>
      </c>
      <c r="F312" s="1" t="s">
        <v>4254</v>
      </c>
      <c r="H312" s="2" t="s">
        <v>5</v>
      </c>
      <c r="I312" s="2" t="s">
        <v>6</v>
      </c>
      <c r="J312" s="2" t="s">
        <v>5</v>
      </c>
      <c r="K312" s="2" t="s">
        <v>5</v>
      </c>
      <c r="L312" s="2" t="s">
        <v>7</v>
      </c>
      <c r="N312" s="1" t="s">
        <v>4255</v>
      </c>
      <c r="O312" s="2" t="s">
        <v>500</v>
      </c>
      <c r="Q312" s="2" t="s">
        <v>11</v>
      </c>
      <c r="R312" s="2" t="s">
        <v>76</v>
      </c>
      <c r="S312" s="1" t="s">
        <v>4256</v>
      </c>
      <c r="T312" s="2" t="s">
        <v>1367</v>
      </c>
      <c r="U312" s="3">
        <v>2</v>
      </c>
      <c r="V312" s="3">
        <v>2</v>
      </c>
      <c r="W312" s="4" t="s">
        <v>110</v>
      </c>
      <c r="X312" s="4" t="s">
        <v>110</v>
      </c>
      <c r="Y312" s="4" t="s">
        <v>4257</v>
      </c>
      <c r="Z312" s="4" t="s">
        <v>4257</v>
      </c>
      <c r="AA312" s="3">
        <v>148</v>
      </c>
      <c r="AB312" s="3">
        <v>126</v>
      </c>
      <c r="AC312" s="3">
        <v>126</v>
      </c>
      <c r="AD312" s="3">
        <v>3</v>
      </c>
      <c r="AE312" s="7">
        <v>3</v>
      </c>
      <c r="AF312" s="7">
        <v>11</v>
      </c>
      <c r="AG312" s="7">
        <v>11</v>
      </c>
      <c r="AH312" s="3">
        <v>1</v>
      </c>
      <c r="AI312" s="3">
        <v>1</v>
      </c>
      <c r="AJ312" s="3">
        <v>0</v>
      </c>
      <c r="AK312" s="3">
        <v>0</v>
      </c>
      <c r="AL312" s="3">
        <v>1</v>
      </c>
      <c r="AM312" s="3">
        <v>1</v>
      </c>
      <c r="AN312" s="3">
        <v>2</v>
      </c>
      <c r="AO312" s="3">
        <v>2</v>
      </c>
      <c r="AP312" s="3">
        <v>7</v>
      </c>
      <c r="AQ312" s="3">
        <v>7</v>
      </c>
      <c r="AR312" s="2" t="s">
        <v>5</v>
      </c>
      <c r="AS312" s="2" t="s">
        <v>5</v>
      </c>
      <c r="AU312" s="5" t="str">
        <f>HYPERLINK("https://creighton-primo.hosted.exlibrisgroup.com/primo-explore/search?tab=default_tab&amp;search_scope=EVERYTHING&amp;vid=01CRU&amp;lang=en_US&amp;offset=0&amp;query=any,contains,991004549659702656","Catalog Record")</f>
        <v>Catalog Record</v>
      </c>
      <c r="AV312" s="5" t="str">
        <f>HYPERLINK("http://www.worldcat.org/oclc/3932970","WorldCat Record")</f>
        <v>WorldCat Record</v>
      </c>
      <c r="AW312" s="2" t="s">
        <v>4258</v>
      </c>
      <c r="AX312" s="2" t="s">
        <v>4259</v>
      </c>
      <c r="AY312" s="2" t="s">
        <v>4260</v>
      </c>
      <c r="AZ312" s="2" t="s">
        <v>4260</v>
      </c>
      <c r="BA312" s="2" t="s">
        <v>4261</v>
      </c>
      <c r="BB312" s="2" t="s">
        <v>21</v>
      </c>
      <c r="BE312" s="2" t="s">
        <v>4262</v>
      </c>
      <c r="BF312" s="2" t="s">
        <v>4263</v>
      </c>
    </row>
    <row r="313" spans="1:58" ht="39.75" customHeight="1" x14ac:dyDescent="0.25">
      <c r="A313" s="1"/>
      <c r="B313" s="1" t="s">
        <v>0</v>
      </c>
      <c r="C313" s="1" t="s">
        <v>1</v>
      </c>
      <c r="D313" s="1" t="s">
        <v>4264</v>
      </c>
      <c r="E313" s="1" t="s">
        <v>4265</v>
      </c>
      <c r="F313" s="1" t="s">
        <v>4266</v>
      </c>
      <c r="H313" s="2" t="s">
        <v>5</v>
      </c>
      <c r="I313" s="2" t="s">
        <v>6</v>
      </c>
      <c r="J313" s="2" t="s">
        <v>5</v>
      </c>
      <c r="K313" s="2" t="s">
        <v>5</v>
      </c>
      <c r="L313" s="2" t="s">
        <v>7</v>
      </c>
      <c r="M313" s="1" t="s">
        <v>4267</v>
      </c>
      <c r="N313" s="1" t="s">
        <v>4268</v>
      </c>
      <c r="O313" s="2" t="s">
        <v>259</v>
      </c>
      <c r="Q313" s="2" t="s">
        <v>11</v>
      </c>
      <c r="R313" s="2" t="s">
        <v>76</v>
      </c>
      <c r="T313" s="2" t="s">
        <v>1367</v>
      </c>
      <c r="U313" s="3">
        <v>2</v>
      </c>
      <c r="V313" s="3">
        <v>2</v>
      </c>
      <c r="W313" s="4" t="s">
        <v>4269</v>
      </c>
      <c r="X313" s="4" t="s">
        <v>4269</v>
      </c>
      <c r="Y313" s="4" t="s">
        <v>4165</v>
      </c>
      <c r="Z313" s="4" t="s">
        <v>4165</v>
      </c>
      <c r="AA313" s="3">
        <v>415</v>
      </c>
      <c r="AB313" s="3">
        <v>358</v>
      </c>
      <c r="AC313" s="3">
        <v>541</v>
      </c>
      <c r="AD313" s="3">
        <v>3</v>
      </c>
      <c r="AE313" s="7">
        <v>3</v>
      </c>
      <c r="AF313" s="7">
        <v>31</v>
      </c>
      <c r="AG313" s="7">
        <v>38</v>
      </c>
      <c r="AH313" s="3">
        <v>8</v>
      </c>
      <c r="AI313" s="3">
        <v>12</v>
      </c>
      <c r="AJ313" s="3">
        <v>4</v>
      </c>
      <c r="AK313" s="3">
        <v>7</v>
      </c>
      <c r="AL313" s="3">
        <v>12</v>
      </c>
      <c r="AM313" s="3">
        <v>14</v>
      </c>
      <c r="AN313" s="3">
        <v>2</v>
      </c>
      <c r="AO313" s="3">
        <v>2</v>
      </c>
      <c r="AP313" s="3">
        <v>11</v>
      </c>
      <c r="AQ313" s="3">
        <v>11</v>
      </c>
      <c r="AR313" s="2" t="s">
        <v>5</v>
      </c>
      <c r="AS313" s="2" t="s">
        <v>16</v>
      </c>
      <c r="AT313" s="5" t="str">
        <f>HYPERLINK("http://catalog.hathitrust.org/Record/000930153","HathiTrust Record")</f>
        <v>HathiTrust Record</v>
      </c>
      <c r="AU313" s="5" t="str">
        <f>HYPERLINK("https://creighton-primo.hosted.exlibrisgroup.com/primo-explore/search?tab=default_tab&amp;search_scope=EVERYTHING&amp;vid=01CRU&amp;lang=en_US&amp;offset=0&amp;query=any,contains,991001256819702656","Catalog Record")</f>
        <v>Catalog Record</v>
      </c>
      <c r="AV313" s="5" t="str">
        <f>HYPERLINK("http://www.worldcat.org/oclc/17732226","WorldCat Record")</f>
        <v>WorldCat Record</v>
      </c>
      <c r="AW313" s="2" t="s">
        <v>4270</v>
      </c>
      <c r="AX313" s="2" t="s">
        <v>4271</v>
      </c>
      <c r="AY313" s="2" t="s">
        <v>4272</v>
      </c>
      <c r="AZ313" s="2" t="s">
        <v>4272</v>
      </c>
      <c r="BA313" s="2" t="s">
        <v>4273</v>
      </c>
      <c r="BB313" s="2" t="s">
        <v>21</v>
      </c>
      <c r="BD313" s="2" t="s">
        <v>4274</v>
      </c>
      <c r="BE313" s="2" t="s">
        <v>4275</v>
      </c>
      <c r="BF313" s="2" t="s">
        <v>4276</v>
      </c>
    </row>
    <row r="314" spans="1:58" ht="39.75" customHeight="1" x14ac:dyDescent="0.25">
      <c r="A314" s="1"/>
      <c r="B314" s="1" t="s">
        <v>0</v>
      </c>
      <c r="C314" s="1" t="s">
        <v>1</v>
      </c>
      <c r="D314" s="1" t="s">
        <v>4277</v>
      </c>
      <c r="E314" s="1" t="s">
        <v>4278</v>
      </c>
      <c r="F314" s="1" t="s">
        <v>4279</v>
      </c>
      <c r="H314" s="2" t="s">
        <v>5</v>
      </c>
      <c r="I314" s="2" t="s">
        <v>6</v>
      </c>
      <c r="J314" s="2" t="s">
        <v>16</v>
      </c>
      <c r="K314" s="2" t="s">
        <v>5</v>
      </c>
      <c r="L314" s="2" t="s">
        <v>7</v>
      </c>
      <c r="M314" s="1" t="s">
        <v>4280</v>
      </c>
      <c r="N314" s="1" t="s">
        <v>4281</v>
      </c>
      <c r="O314" s="2" t="s">
        <v>184</v>
      </c>
      <c r="Q314" s="2" t="s">
        <v>11</v>
      </c>
      <c r="R314" s="2" t="s">
        <v>153</v>
      </c>
      <c r="T314" s="2" t="s">
        <v>1367</v>
      </c>
      <c r="U314" s="3">
        <v>2</v>
      </c>
      <c r="V314" s="3">
        <v>2</v>
      </c>
      <c r="W314" s="4" t="s">
        <v>4282</v>
      </c>
      <c r="X314" s="4" t="s">
        <v>4282</v>
      </c>
      <c r="Y314" s="4" t="s">
        <v>3137</v>
      </c>
      <c r="Z314" s="4" t="s">
        <v>3830</v>
      </c>
      <c r="AA314" s="3">
        <v>657</v>
      </c>
      <c r="AB314" s="3">
        <v>574</v>
      </c>
      <c r="AC314" s="3">
        <v>735</v>
      </c>
      <c r="AD314" s="3">
        <v>6</v>
      </c>
      <c r="AE314" s="7">
        <v>6</v>
      </c>
      <c r="AF314" s="7">
        <v>45</v>
      </c>
      <c r="AG314" s="7">
        <v>53</v>
      </c>
      <c r="AH314" s="3">
        <v>11</v>
      </c>
      <c r="AI314" s="3">
        <v>15</v>
      </c>
      <c r="AJ314" s="3">
        <v>6</v>
      </c>
      <c r="AK314" s="3">
        <v>8</v>
      </c>
      <c r="AL314" s="3">
        <v>13</v>
      </c>
      <c r="AM314" s="3">
        <v>16</v>
      </c>
      <c r="AN314" s="3">
        <v>3</v>
      </c>
      <c r="AO314" s="3">
        <v>3</v>
      </c>
      <c r="AP314" s="3">
        <v>20</v>
      </c>
      <c r="AQ314" s="3">
        <v>21</v>
      </c>
      <c r="AR314" s="2" t="s">
        <v>5</v>
      </c>
      <c r="AS314" s="2" t="s">
        <v>5</v>
      </c>
      <c r="AU314" s="5" t="str">
        <f>HYPERLINK("https://creighton-primo.hosted.exlibrisgroup.com/primo-explore/search?tab=default_tab&amp;search_scope=EVERYTHING&amp;vid=01CRU&amp;lang=en_US&amp;offset=0&amp;query=any,contains,991001674509702656","Catalog Record")</f>
        <v>Catalog Record</v>
      </c>
      <c r="AV314" s="5" t="str">
        <f>HYPERLINK("http://www.worldcat.org/oclc/8109724","WorldCat Record")</f>
        <v>WorldCat Record</v>
      </c>
      <c r="AW314" s="2" t="s">
        <v>4283</v>
      </c>
      <c r="AX314" s="2" t="s">
        <v>4284</v>
      </c>
      <c r="AY314" s="2" t="s">
        <v>4285</v>
      </c>
      <c r="AZ314" s="2" t="s">
        <v>4285</v>
      </c>
      <c r="BA314" s="2" t="s">
        <v>4286</v>
      </c>
      <c r="BB314" s="2" t="s">
        <v>21</v>
      </c>
      <c r="BD314" s="2" t="s">
        <v>4287</v>
      </c>
      <c r="BE314" s="2" t="s">
        <v>4288</v>
      </c>
      <c r="BF314" s="2" t="s">
        <v>4289</v>
      </c>
    </row>
    <row r="315" spans="1:58" ht="39.75" customHeight="1" x14ac:dyDescent="0.25">
      <c r="A315" s="1"/>
      <c r="B315" s="1" t="s">
        <v>0</v>
      </c>
      <c r="C315" s="1" t="s">
        <v>1</v>
      </c>
      <c r="D315" s="1" t="s">
        <v>4290</v>
      </c>
      <c r="E315" s="1" t="s">
        <v>4291</v>
      </c>
      <c r="F315" s="1" t="s">
        <v>4292</v>
      </c>
      <c r="H315" s="2" t="s">
        <v>5</v>
      </c>
      <c r="I315" s="2" t="s">
        <v>6</v>
      </c>
      <c r="J315" s="2" t="s">
        <v>5</v>
      </c>
      <c r="K315" s="2" t="s">
        <v>5</v>
      </c>
      <c r="L315" s="2" t="s">
        <v>7</v>
      </c>
      <c r="M315" s="1" t="s">
        <v>4293</v>
      </c>
      <c r="N315" s="1" t="s">
        <v>4294</v>
      </c>
      <c r="O315" s="2" t="s">
        <v>152</v>
      </c>
      <c r="Q315" s="2" t="s">
        <v>11</v>
      </c>
      <c r="R315" s="2" t="s">
        <v>260</v>
      </c>
      <c r="T315" s="2" t="s">
        <v>1367</v>
      </c>
      <c r="U315" s="3">
        <v>4</v>
      </c>
      <c r="V315" s="3">
        <v>4</v>
      </c>
      <c r="W315" s="4" t="s">
        <v>4295</v>
      </c>
      <c r="X315" s="4" t="s">
        <v>4295</v>
      </c>
      <c r="Y315" s="4" t="s">
        <v>4296</v>
      </c>
      <c r="Z315" s="4" t="s">
        <v>4296</v>
      </c>
      <c r="AA315" s="3">
        <v>571</v>
      </c>
      <c r="AB315" s="3">
        <v>539</v>
      </c>
      <c r="AC315" s="3">
        <v>550</v>
      </c>
      <c r="AD315" s="3">
        <v>2</v>
      </c>
      <c r="AE315" s="7">
        <v>2</v>
      </c>
      <c r="AF315" s="7">
        <v>25</v>
      </c>
      <c r="AG315" s="7">
        <v>26</v>
      </c>
      <c r="AH315" s="3">
        <v>7</v>
      </c>
      <c r="AI315" s="3">
        <v>8</v>
      </c>
      <c r="AJ315" s="3">
        <v>6</v>
      </c>
      <c r="AK315" s="3">
        <v>6</v>
      </c>
      <c r="AL315" s="3">
        <v>8</v>
      </c>
      <c r="AM315" s="3">
        <v>9</v>
      </c>
      <c r="AN315" s="3">
        <v>1</v>
      </c>
      <c r="AO315" s="3">
        <v>1</v>
      </c>
      <c r="AP315" s="3">
        <v>9</v>
      </c>
      <c r="AQ315" s="3">
        <v>9</v>
      </c>
      <c r="AR315" s="2" t="s">
        <v>5</v>
      </c>
      <c r="AS315" s="2" t="s">
        <v>16</v>
      </c>
      <c r="AT315" s="5" t="str">
        <f>HYPERLINK("http://catalog.hathitrust.org/Record/002204684","HathiTrust Record")</f>
        <v>HathiTrust Record</v>
      </c>
      <c r="AU315" s="5" t="str">
        <f>HYPERLINK("https://creighton-primo.hosted.exlibrisgroup.com/primo-explore/search?tab=default_tab&amp;search_scope=EVERYTHING&amp;vid=01CRU&amp;lang=en_US&amp;offset=0&amp;query=any,contains,991001534649702656","Catalog Record")</f>
        <v>Catalog Record</v>
      </c>
      <c r="AV315" s="5" t="str">
        <f>HYPERLINK("http://www.worldcat.org/oclc/20057284","WorldCat Record")</f>
        <v>WorldCat Record</v>
      </c>
      <c r="AW315" s="2" t="s">
        <v>4297</v>
      </c>
      <c r="AX315" s="2" t="s">
        <v>4298</v>
      </c>
      <c r="AY315" s="2" t="s">
        <v>4299</v>
      </c>
      <c r="AZ315" s="2" t="s">
        <v>4299</v>
      </c>
      <c r="BA315" s="2" t="s">
        <v>4300</v>
      </c>
      <c r="BB315" s="2" t="s">
        <v>21</v>
      </c>
      <c r="BD315" s="2" t="s">
        <v>4301</v>
      </c>
      <c r="BE315" s="2" t="s">
        <v>4302</v>
      </c>
      <c r="BF315" s="2" t="s">
        <v>4303</v>
      </c>
    </row>
    <row r="316" spans="1:58" ht="39.75" customHeight="1" x14ac:dyDescent="0.25">
      <c r="A316" s="1"/>
      <c r="B316" s="1" t="s">
        <v>0</v>
      </c>
      <c r="C316" s="1" t="s">
        <v>1</v>
      </c>
      <c r="D316" s="1" t="s">
        <v>4304</v>
      </c>
      <c r="E316" s="1" t="s">
        <v>4305</v>
      </c>
      <c r="F316" s="1" t="s">
        <v>4306</v>
      </c>
      <c r="H316" s="2" t="s">
        <v>5</v>
      </c>
      <c r="I316" s="2" t="s">
        <v>6</v>
      </c>
      <c r="J316" s="2" t="s">
        <v>5</v>
      </c>
      <c r="K316" s="2" t="s">
        <v>5</v>
      </c>
      <c r="L316" s="2" t="s">
        <v>7</v>
      </c>
      <c r="M316" s="1" t="s">
        <v>4307</v>
      </c>
      <c r="N316" s="1" t="s">
        <v>4308</v>
      </c>
      <c r="O316" s="2" t="s">
        <v>107</v>
      </c>
      <c r="Q316" s="2" t="s">
        <v>11</v>
      </c>
      <c r="R316" s="2" t="s">
        <v>306</v>
      </c>
      <c r="T316" s="2" t="s">
        <v>1367</v>
      </c>
      <c r="U316" s="3">
        <v>2</v>
      </c>
      <c r="V316" s="3">
        <v>2</v>
      </c>
      <c r="W316" s="4" t="s">
        <v>4309</v>
      </c>
      <c r="X316" s="4" t="s">
        <v>4309</v>
      </c>
      <c r="Y316" s="4" t="s">
        <v>4310</v>
      </c>
      <c r="Z316" s="4" t="s">
        <v>4310</v>
      </c>
      <c r="AA316" s="3">
        <v>172</v>
      </c>
      <c r="AB316" s="3">
        <v>148</v>
      </c>
      <c r="AC316" s="3">
        <v>385</v>
      </c>
      <c r="AD316" s="3">
        <v>1</v>
      </c>
      <c r="AE316" s="7">
        <v>2</v>
      </c>
      <c r="AF316" s="7">
        <v>9</v>
      </c>
      <c r="AG316" s="7">
        <v>28</v>
      </c>
      <c r="AH316" s="3">
        <v>2</v>
      </c>
      <c r="AI316" s="3">
        <v>7</v>
      </c>
      <c r="AJ316" s="3">
        <v>2</v>
      </c>
      <c r="AK316" s="3">
        <v>5</v>
      </c>
      <c r="AL316" s="3">
        <v>1</v>
      </c>
      <c r="AM316" s="3">
        <v>12</v>
      </c>
      <c r="AN316" s="3">
        <v>0</v>
      </c>
      <c r="AO316" s="3">
        <v>0</v>
      </c>
      <c r="AP316" s="3">
        <v>4</v>
      </c>
      <c r="AQ316" s="3">
        <v>9</v>
      </c>
      <c r="AR316" s="2" t="s">
        <v>5</v>
      </c>
      <c r="AS316" s="2" t="s">
        <v>5</v>
      </c>
      <c r="AU316" s="5" t="str">
        <f>HYPERLINK("https://creighton-primo.hosted.exlibrisgroup.com/primo-explore/search?tab=default_tab&amp;search_scope=EVERYTHING&amp;vid=01CRU&amp;lang=en_US&amp;offset=0&amp;query=any,contains,991001949609702656","Catalog Record")</f>
        <v>Catalog Record</v>
      </c>
      <c r="AV316" s="5" t="str">
        <f>HYPERLINK("http://www.worldcat.org/oclc/251470","WorldCat Record")</f>
        <v>WorldCat Record</v>
      </c>
      <c r="AW316" s="2" t="s">
        <v>4311</v>
      </c>
      <c r="AX316" s="2" t="s">
        <v>4312</v>
      </c>
      <c r="AY316" s="2" t="s">
        <v>4313</v>
      </c>
      <c r="AZ316" s="2" t="s">
        <v>4313</v>
      </c>
      <c r="BA316" s="2" t="s">
        <v>4314</v>
      </c>
      <c r="BB316" s="2" t="s">
        <v>21</v>
      </c>
      <c r="BD316" s="2" t="s">
        <v>4315</v>
      </c>
      <c r="BE316" s="2" t="s">
        <v>4316</v>
      </c>
      <c r="BF316" s="2" t="s">
        <v>4317</v>
      </c>
    </row>
    <row r="317" spans="1:58" ht="39.75" customHeight="1" x14ac:dyDescent="0.25">
      <c r="A317" s="1"/>
      <c r="B317" s="1" t="s">
        <v>0</v>
      </c>
      <c r="C317" s="1" t="s">
        <v>1</v>
      </c>
      <c r="D317" s="1" t="s">
        <v>4318</v>
      </c>
      <c r="E317" s="1" t="s">
        <v>4319</v>
      </c>
      <c r="F317" s="1" t="s">
        <v>4320</v>
      </c>
      <c r="H317" s="2" t="s">
        <v>5</v>
      </c>
      <c r="I317" s="2" t="s">
        <v>6</v>
      </c>
      <c r="J317" s="2" t="s">
        <v>5</v>
      </c>
      <c r="K317" s="2" t="s">
        <v>5</v>
      </c>
      <c r="L317" s="2" t="s">
        <v>7</v>
      </c>
      <c r="M317" s="1" t="s">
        <v>4321</v>
      </c>
      <c r="N317" s="1" t="s">
        <v>4322</v>
      </c>
      <c r="O317" s="2" t="s">
        <v>169</v>
      </c>
      <c r="P317" s="1" t="s">
        <v>1671</v>
      </c>
      <c r="Q317" s="2" t="s">
        <v>11</v>
      </c>
      <c r="R317" s="2" t="s">
        <v>4323</v>
      </c>
      <c r="S317" s="1" t="s">
        <v>4324</v>
      </c>
      <c r="T317" s="2" t="s">
        <v>1367</v>
      </c>
      <c r="U317" s="3">
        <v>2</v>
      </c>
      <c r="V317" s="3">
        <v>2</v>
      </c>
      <c r="W317" s="4" t="s">
        <v>4325</v>
      </c>
      <c r="X317" s="4" t="s">
        <v>4325</v>
      </c>
      <c r="Y317" s="4" t="s">
        <v>4326</v>
      </c>
      <c r="Z317" s="4" t="s">
        <v>4326</v>
      </c>
      <c r="AA317" s="3">
        <v>85</v>
      </c>
      <c r="AB317" s="3">
        <v>85</v>
      </c>
      <c r="AC317" s="3">
        <v>167</v>
      </c>
      <c r="AD317" s="3">
        <v>2</v>
      </c>
      <c r="AE317" s="7">
        <v>2</v>
      </c>
      <c r="AF317" s="7">
        <v>3</v>
      </c>
      <c r="AG317" s="7">
        <v>7</v>
      </c>
      <c r="AH317" s="3">
        <v>0</v>
      </c>
      <c r="AI317" s="3">
        <v>0</v>
      </c>
      <c r="AJ317" s="3">
        <v>1</v>
      </c>
      <c r="AK317" s="3">
        <v>3</v>
      </c>
      <c r="AL317" s="3">
        <v>2</v>
      </c>
      <c r="AM317" s="3">
        <v>4</v>
      </c>
      <c r="AN317" s="3">
        <v>1</v>
      </c>
      <c r="AO317" s="3">
        <v>1</v>
      </c>
      <c r="AP317" s="3">
        <v>0</v>
      </c>
      <c r="AQ317" s="3">
        <v>1</v>
      </c>
      <c r="AR317" s="2" t="s">
        <v>5</v>
      </c>
      <c r="AS317" s="2" t="s">
        <v>16</v>
      </c>
      <c r="AT317" s="5" t="str">
        <f>HYPERLINK("http://catalog.hathitrust.org/Record/009814278","HathiTrust Record")</f>
        <v>HathiTrust Record</v>
      </c>
      <c r="AU317" s="5" t="str">
        <f>HYPERLINK("https://creighton-primo.hosted.exlibrisgroup.com/primo-explore/search?tab=default_tab&amp;search_scope=EVERYTHING&amp;vid=01CRU&amp;lang=en_US&amp;offset=0&amp;query=any,contains,991001907619702656","Catalog Record")</f>
        <v>Catalog Record</v>
      </c>
      <c r="AV317" s="5" t="str">
        <f>HYPERLINK("http://www.worldcat.org/oclc/24081955","WorldCat Record")</f>
        <v>WorldCat Record</v>
      </c>
      <c r="AW317" s="2" t="s">
        <v>4327</v>
      </c>
      <c r="AX317" s="2" t="s">
        <v>4328</v>
      </c>
      <c r="AY317" s="2" t="s">
        <v>4329</v>
      </c>
      <c r="AZ317" s="2" t="s">
        <v>4329</v>
      </c>
      <c r="BA317" s="2" t="s">
        <v>4330</v>
      </c>
      <c r="BB317" s="2" t="s">
        <v>21</v>
      </c>
      <c r="BD317" s="2" t="s">
        <v>4331</v>
      </c>
      <c r="BE317" s="2" t="s">
        <v>4332</v>
      </c>
      <c r="BF317" s="2" t="s">
        <v>4333</v>
      </c>
    </row>
    <row r="318" spans="1:58" ht="39.75" customHeight="1" x14ac:dyDescent="0.25">
      <c r="A318" s="1"/>
      <c r="B318" s="1" t="s">
        <v>0</v>
      </c>
      <c r="C318" s="1" t="s">
        <v>1</v>
      </c>
      <c r="D318" s="1" t="s">
        <v>4334</v>
      </c>
      <c r="E318" s="1" t="s">
        <v>4335</v>
      </c>
      <c r="F318" s="1" t="s">
        <v>4336</v>
      </c>
      <c r="H318" s="2" t="s">
        <v>5</v>
      </c>
      <c r="I318" s="2" t="s">
        <v>6</v>
      </c>
      <c r="J318" s="2" t="s">
        <v>5</v>
      </c>
      <c r="K318" s="2" t="s">
        <v>5</v>
      </c>
      <c r="L318" s="2" t="s">
        <v>7</v>
      </c>
      <c r="M318" s="1" t="s">
        <v>4337</v>
      </c>
      <c r="N318" s="1" t="s">
        <v>2317</v>
      </c>
      <c r="O318" s="2" t="s">
        <v>184</v>
      </c>
      <c r="Q318" s="2" t="s">
        <v>11</v>
      </c>
      <c r="R318" s="2" t="s">
        <v>501</v>
      </c>
      <c r="T318" s="2" t="s">
        <v>1367</v>
      </c>
      <c r="U318" s="3">
        <v>1</v>
      </c>
      <c r="V318" s="3">
        <v>1</v>
      </c>
      <c r="W318" s="4" t="s">
        <v>4338</v>
      </c>
      <c r="X318" s="4" t="s">
        <v>4338</v>
      </c>
      <c r="Y318" s="4" t="s">
        <v>4339</v>
      </c>
      <c r="Z318" s="4" t="s">
        <v>4339</v>
      </c>
      <c r="AA318" s="3">
        <v>306</v>
      </c>
      <c r="AB318" s="3">
        <v>293</v>
      </c>
      <c r="AC318" s="3">
        <v>361</v>
      </c>
      <c r="AD318" s="3">
        <v>2</v>
      </c>
      <c r="AE318" s="7">
        <v>2</v>
      </c>
      <c r="AF318" s="7">
        <v>7</v>
      </c>
      <c r="AG318" s="7">
        <v>9</v>
      </c>
      <c r="AH318" s="3">
        <v>1</v>
      </c>
      <c r="AI318" s="3">
        <v>1</v>
      </c>
      <c r="AJ318" s="3">
        <v>2</v>
      </c>
      <c r="AK318" s="3">
        <v>2</v>
      </c>
      <c r="AL318" s="3">
        <v>5</v>
      </c>
      <c r="AM318" s="3">
        <v>6</v>
      </c>
      <c r="AN318" s="3">
        <v>0</v>
      </c>
      <c r="AO318" s="3">
        <v>0</v>
      </c>
      <c r="AP318" s="3">
        <v>1</v>
      </c>
      <c r="AQ318" s="3">
        <v>2</v>
      </c>
      <c r="AR318" s="2" t="s">
        <v>5</v>
      </c>
      <c r="AS318" s="2" t="s">
        <v>16</v>
      </c>
      <c r="AT318" s="5" t="str">
        <f>HYPERLINK("http://catalog.hathitrust.org/Record/004509565","HathiTrust Record")</f>
        <v>HathiTrust Record</v>
      </c>
      <c r="AU318" s="5" t="str">
        <f>HYPERLINK("https://creighton-primo.hosted.exlibrisgroup.com/primo-explore/search?tab=default_tab&amp;search_scope=EVERYTHING&amp;vid=01CRU&amp;lang=en_US&amp;offset=0&amp;query=any,contains,991000026709702656","Catalog Record")</f>
        <v>Catalog Record</v>
      </c>
      <c r="AV318" s="5" t="str">
        <f>HYPERLINK("http://www.worldcat.org/oclc/8589764","WorldCat Record")</f>
        <v>WorldCat Record</v>
      </c>
      <c r="AW318" s="2" t="s">
        <v>4340</v>
      </c>
      <c r="AX318" s="2" t="s">
        <v>4341</v>
      </c>
      <c r="AY318" s="2" t="s">
        <v>4342</v>
      </c>
      <c r="AZ318" s="2" t="s">
        <v>4342</v>
      </c>
      <c r="BA318" s="2" t="s">
        <v>4343</v>
      </c>
      <c r="BB318" s="2" t="s">
        <v>21</v>
      </c>
      <c r="BD318" s="2" t="s">
        <v>4344</v>
      </c>
      <c r="BE318" s="2" t="s">
        <v>4345</v>
      </c>
      <c r="BF318" s="2" t="s">
        <v>4346</v>
      </c>
    </row>
    <row r="319" spans="1:58" ht="39.75" customHeight="1" x14ac:dyDescent="0.25">
      <c r="A319" s="1"/>
      <c r="B319" s="1" t="s">
        <v>0</v>
      </c>
      <c r="C319" s="1" t="s">
        <v>1</v>
      </c>
      <c r="D319" s="1" t="s">
        <v>4347</v>
      </c>
      <c r="E319" s="1" t="s">
        <v>4348</v>
      </c>
      <c r="F319" s="1" t="s">
        <v>4349</v>
      </c>
      <c r="H319" s="2" t="s">
        <v>5</v>
      </c>
      <c r="I319" s="2" t="s">
        <v>6</v>
      </c>
      <c r="J319" s="2" t="s">
        <v>5</v>
      </c>
      <c r="K319" s="2" t="s">
        <v>5</v>
      </c>
      <c r="L319" s="2" t="s">
        <v>7</v>
      </c>
      <c r="M319" s="1" t="s">
        <v>4350</v>
      </c>
      <c r="N319" s="1" t="s">
        <v>4351</v>
      </c>
      <c r="O319" s="2" t="s">
        <v>29</v>
      </c>
      <c r="P319" s="1" t="s">
        <v>340</v>
      </c>
      <c r="Q319" s="2" t="s">
        <v>11</v>
      </c>
      <c r="R319" s="2" t="s">
        <v>76</v>
      </c>
      <c r="T319" s="2" t="s">
        <v>1367</v>
      </c>
      <c r="U319" s="3">
        <v>1</v>
      </c>
      <c r="V319" s="3">
        <v>1</v>
      </c>
      <c r="W319" s="4" t="s">
        <v>4338</v>
      </c>
      <c r="X319" s="4" t="s">
        <v>4338</v>
      </c>
      <c r="Y319" s="4" t="s">
        <v>4339</v>
      </c>
      <c r="Z319" s="4" t="s">
        <v>4339</v>
      </c>
      <c r="AA319" s="3">
        <v>130</v>
      </c>
      <c r="AB319" s="3">
        <v>123</v>
      </c>
      <c r="AC319" s="3">
        <v>191</v>
      </c>
      <c r="AD319" s="3">
        <v>1</v>
      </c>
      <c r="AE319" s="7">
        <v>2</v>
      </c>
      <c r="AF319" s="7">
        <v>8</v>
      </c>
      <c r="AG319" s="7">
        <v>19</v>
      </c>
      <c r="AH319" s="3">
        <v>0</v>
      </c>
      <c r="AI319" s="3">
        <v>0</v>
      </c>
      <c r="AJ319" s="3">
        <v>0</v>
      </c>
      <c r="AK319" s="3">
        <v>0</v>
      </c>
      <c r="AL319" s="3">
        <v>0</v>
      </c>
      <c r="AM319" s="3">
        <v>0</v>
      </c>
      <c r="AN319" s="3">
        <v>0</v>
      </c>
      <c r="AO319" s="3">
        <v>0</v>
      </c>
      <c r="AP319" s="3">
        <v>8</v>
      </c>
      <c r="AQ319" s="3">
        <v>19</v>
      </c>
      <c r="AR319" s="2" t="s">
        <v>5</v>
      </c>
      <c r="AS319" s="2" t="s">
        <v>16</v>
      </c>
      <c r="AT319" s="5" t="str">
        <f>HYPERLINK("http://catalog.hathitrust.org/Record/010069147","HathiTrust Record")</f>
        <v>HathiTrust Record</v>
      </c>
      <c r="AU319" s="5" t="str">
        <f>HYPERLINK("https://creighton-primo.hosted.exlibrisgroup.com/primo-explore/search?tab=default_tab&amp;search_scope=EVERYTHING&amp;vid=01CRU&amp;lang=en_US&amp;offset=0&amp;query=any,contains,991005022289702656","Catalog Record")</f>
        <v>Catalog Record</v>
      </c>
      <c r="AV319" s="5" t="str">
        <f>HYPERLINK("http://www.worldcat.org/oclc/7176625","WorldCat Record")</f>
        <v>WorldCat Record</v>
      </c>
      <c r="AW319" s="2" t="s">
        <v>4352</v>
      </c>
      <c r="AX319" s="2" t="s">
        <v>4353</v>
      </c>
      <c r="AY319" s="2" t="s">
        <v>4354</v>
      </c>
      <c r="AZ319" s="2" t="s">
        <v>4354</v>
      </c>
      <c r="BA319" s="2" t="s">
        <v>4355</v>
      </c>
      <c r="BB319" s="2" t="s">
        <v>21</v>
      </c>
      <c r="BE319" s="2" t="s">
        <v>4356</v>
      </c>
      <c r="BF319" s="2" t="s">
        <v>4357</v>
      </c>
    </row>
    <row r="320" spans="1:58" ht="39.75" customHeight="1" x14ac:dyDescent="0.25">
      <c r="A320" s="1"/>
      <c r="B320" s="1" t="s">
        <v>0</v>
      </c>
      <c r="C320" s="1" t="s">
        <v>1</v>
      </c>
      <c r="D320" s="1" t="s">
        <v>4358</v>
      </c>
      <c r="E320" s="1" t="s">
        <v>4359</v>
      </c>
      <c r="F320" s="1" t="s">
        <v>4360</v>
      </c>
      <c r="H320" s="2" t="s">
        <v>5</v>
      </c>
      <c r="I320" s="2" t="s">
        <v>6</v>
      </c>
      <c r="J320" s="2" t="s">
        <v>5</v>
      </c>
      <c r="K320" s="2" t="s">
        <v>5</v>
      </c>
      <c r="L320" s="2" t="s">
        <v>7</v>
      </c>
      <c r="M320" s="1" t="s">
        <v>4361</v>
      </c>
      <c r="N320" s="1" t="s">
        <v>4362</v>
      </c>
      <c r="O320" s="2" t="s">
        <v>213</v>
      </c>
      <c r="Q320" s="2" t="s">
        <v>11</v>
      </c>
      <c r="R320" s="2" t="s">
        <v>306</v>
      </c>
      <c r="T320" s="2" t="s">
        <v>1367</v>
      </c>
      <c r="U320" s="3">
        <v>1</v>
      </c>
      <c r="V320" s="3">
        <v>1</v>
      </c>
      <c r="W320" s="4" t="s">
        <v>4363</v>
      </c>
      <c r="X320" s="4" t="s">
        <v>4363</v>
      </c>
      <c r="Y320" s="4" t="s">
        <v>3883</v>
      </c>
      <c r="Z320" s="4" t="s">
        <v>3883</v>
      </c>
      <c r="AA320" s="3">
        <v>111</v>
      </c>
      <c r="AB320" s="3">
        <v>104</v>
      </c>
      <c r="AC320" s="3">
        <v>729</v>
      </c>
      <c r="AD320" s="3">
        <v>1</v>
      </c>
      <c r="AE320" s="7">
        <v>4</v>
      </c>
      <c r="AF320" s="7">
        <v>10</v>
      </c>
      <c r="AG320" s="7">
        <v>37</v>
      </c>
      <c r="AH320" s="3">
        <v>4</v>
      </c>
      <c r="AI320" s="3">
        <v>15</v>
      </c>
      <c r="AJ320" s="3">
        <v>1</v>
      </c>
      <c r="AK320" s="3">
        <v>5</v>
      </c>
      <c r="AL320" s="3">
        <v>1</v>
      </c>
      <c r="AM320" s="3">
        <v>12</v>
      </c>
      <c r="AN320" s="3">
        <v>0</v>
      </c>
      <c r="AO320" s="3">
        <v>3</v>
      </c>
      <c r="AP320" s="3">
        <v>6</v>
      </c>
      <c r="AQ320" s="3">
        <v>9</v>
      </c>
      <c r="AR320" s="2" t="s">
        <v>5</v>
      </c>
      <c r="AS320" s="2" t="s">
        <v>5</v>
      </c>
      <c r="AU320" s="5" t="str">
        <f>HYPERLINK("https://creighton-primo.hosted.exlibrisgroup.com/primo-explore/search?tab=default_tab&amp;search_scope=EVERYTHING&amp;vid=01CRU&amp;lang=en_US&amp;offset=0&amp;query=any,contains,991004281879702656","Catalog Record")</f>
        <v>Catalog Record</v>
      </c>
      <c r="AV320" s="5" t="str">
        <f>HYPERLINK("http://www.worldcat.org/oclc/2912214","WorldCat Record")</f>
        <v>WorldCat Record</v>
      </c>
      <c r="AW320" s="2" t="s">
        <v>4364</v>
      </c>
      <c r="AX320" s="2" t="s">
        <v>4365</v>
      </c>
      <c r="AY320" s="2" t="s">
        <v>4366</v>
      </c>
      <c r="AZ320" s="2" t="s">
        <v>4366</v>
      </c>
      <c r="BA320" s="2" t="s">
        <v>4367</v>
      </c>
      <c r="BB320" s="2" t="s">
        <v>21</v>
      </c>
      <c r="BD320" s="2" t="s">
        <v>4368</v>
      </c>
      <c r="BE320" s="2" t="s">
        <v>4369</v>
      </c>
      <c r="BF320" s="2" t="s">
        <v>4370</v>
      </c>
    </row>
    <row r="321" spans="1:58" ht="39.75" customHeight="1" x14ac:dyDescent="0.25">
      <c r="A321" s="1"/>
      <c r="B321" s="1" t="s">
        <v>0</v>
      </c>
      <c r="C321" s="1" t="s">
        <v>1</v>
      </c>
      <c r="D321" s="1" t="s">
        <v>4371</v>
      </c>
      <c r="E321" s="1" t="s">
        <v>4372</v>
      </c>
      <c r="F321" s="1" t="s">
        <v>4373</v>
      </c>
      <c r="H321" s="2" t="s">
        <v>5</v>
      </c>
      <c r="I321" s="2" t="s">
        <v>6</v>
      </c>
      <c r="J321" s="2" t="s">
        <v>5</v>
      </c>
      <c r="K321" s="2" t="s">
        <v>5</v>
      </c>
      <c r="L321" s="2" t="s">
        <v>7</v>
      </c>
      <c r="M321" s="1" t="s">
        <v>4374</v>
      </c>
      <c r="N321" s="1" t="s">
        <v>4375</v>
      </c>
      <c r="O321" s="2" t="s">
        <v>107</v>
      </c>
      <c r="Q321" s="2" t="s">
        <v>11</v>
      </c>
      <c r="R321" s="2" t="s">
        <v>76</v>
      </c>
      <c r="T321" s="2" t="s">
        <v>1367</v>
      </c>
      <c r="U321" s="3">
        <v>3</v>
      </c>
      <c r="V321" s="3">
        <v>3</v>
      </c>
      <c r="W321" s="4" t="s">
        <v>4376</v>
      </c>
      <c r="X321" s="4" t="s">
        <v>4376</v>
      </c>
      <c r="Y321" s="4" t="s">
        <v>1578</v>
      </c>
      <c r="Z321" s="4" t="s">
        <v>1578</v>
      </c>
      <c r="AA321" s="3">
        <v>368</v>
      </c>
      <c r="AB321" s="3">
        <v>324</v>
      </c>
      <c r="AC321" s="3">
        <v>325</v>
      </c>
      <c r="AD321" s="3">
        <v>5</v>
      </c>
      <c r="AE321" s="7">
        <v>5</v>
      </c>
      <c r="AF321" s="7">
        <v>23</v>
      </c>
      <c r="AG321" s="7">
        <v>23</v>
      </c>
      <c r="AH321" s="3">
        <v>0</v>
      </c>
      <c r="AI321" s="3">
        <v>0</v>
      </c>
      <c r="AJ321" s="3">
        <v>0</v>
      </c>
      <c r="AK321" s="3">
        <v>0</v>
      </c>
      <c r="AL321" s="3">
        <v>3</v>
      </c>
      <c r="AM321" s="3">
        <v>3</v>
      </c>
      <c r="AN321" s="3">
        <v>3</v>
      </c>
      <c r="AO321" s="3">
        <v>3</v>
      </c>
      <c r="AP321" s="3">
        <v>17</v>
      </c>
      <c r="AQ321" s="3">
        <v>17</v>
      </c>
      <c r="AR321" s="2" t="s">
        <v>5</v>
      </c>
      <c r="AS321" s="2" t="s">
        <v>5</v>
      </c>
      <c r="AU321" s="5" t="str">
        <f>HYPERLINK("https://creighton-primo.hosted.exlibrisgroup.com/primo-explore/search?tab=default_tab&amp;search_scope=EVERYTHING&amp;vid=01CRU&amp;lang=en_US&amp;offset=0&amp;query=any,contains,991000910059702656","Catalog Record")</f>
        <v>Catalog Record</v>
      </c>
      <c r="AV321" s="5" t="str">
        <f>HYPERLINK("http://www.worldcat.org/oclc/159339","WorldCat Record")</f>
        <v>WorldCat Record</v>
      </c>
      <c r="AW321" s="2" t="s">
        <v>4377</v>
      </c>
      <c r="AX321" s="2" t="s">
        <v>4378</v>
      </c>
      <c r="AY321" s="2" t="s">
        <v>4379</v>
      </c>
      <c r="AZ321" s="2" t="s">
        <v>4379</v>
      </c>
      <c r="BA321" s="2" t="s">
        <v>4380</v>
      </c>
      <c r="BB321" s="2" t="s">
        <v>21</v>
      </c>
      <c r="BD321" s="2" t="s">
        <v>4381</v>
      </c>
      <c r="BE321" s="2" t="s">
        <v>4382</v>
      </c>
      <c r="BF321" s="2" t="s">
        <v>4383</v>
      </c>
    </row>
    <row r="322" spans="1:58" ht="39.75" customHeight="1" x14ac:dyDescent="0.25">
      <c r="A322" s="1"/>
      <c r="B322" s="1" t="s">
        <v>0</v>
      </c>
      <c r="C322" s="1" t="s">
        <v>1</v>
      </c>
      <c r="D322" s="1" t="s">
        <v>4384</v>
      </c>
      <c r="E322" s="1" t="s">
        <v>4385</v>
      </c>
      <c r="F322" s="1" t="s">
        <v>4386</v>
      </c>
      <c r="H322" s="2" t="s">
        <v>5</v>
      </c>
      <c r="I322" s="2" t="s">
        <v>6</v>
      </c>
      <c r="J322" s="2" t="s">
        <v>16</v>
      </c>
      <c r="K322" s="2" t="s">
        <v>5</v>
      </c>
      <c r="L322" s="2" t="s">
        <v>7</v>
      </c>
      <c r="M322" s="1" t="s">
        <v>4387</v>
      </c>
      <c r="N322" s="1" t="s">
        <v>4388</v>
      </c>
      <c r="O322" s="2" t="s">
        <v>137</v>
      </c>
      <c r="Q322" s="2" t="s">
        <v>11</v>
      </c>
      <c r="R322" s="2" t="s">
        <v>76</v>
      </c>
      <c r="T322" s="2" t="s">
        <v>1367</v>
      </c>
      <c r="U322" s="3">
        <v>0</v>
      </c>
      <c r="V322" s="3">
        <v>2</v>
      </c>
      <c r="W322" s="4" t="s">
        <v>4389</v>
      </c>
      <c r="X322" s="4" t="s">
        <v>4390</v>
      </c>
      <c r="Y322" s="4" t="s">
        <v>3883</v>
      </c>
      <c r="Z322" s="4" t="s">
        <v>3883</v>
      </c>
      <c r="AA322" s="3">
        <v>634</v>
      </c>
      <c r="AB322" s="3">
        <v>582</v>
      </c>
      <c r="AC322" s="3">
        <v>588</v>
      </c>
      <c r="AD322" s="3">
        <v>4</v>
      </c>
      <c r="AE322" s="7">
        <v>4</v>
      </c>
      <c r="AF322" s="7">
        <v>35</v>
      </c>
      <c r="AG322" s="7">
        <v>35</v>
      </c>
      <c r="AH322" s="3">
        <v>8</v>
      </c>
      <c r="AI322" s="3">
        <v>8</v>
      </c>
      <c r="AJ322" s="3">
        <v>4</v>
      </c>
      <c r="AK322" s="3">
        <v>4</v>
      </c>
      <c r="AL322" s="3">
        <v>10</v>
      </c>
      <c r="AM322" s="3">
        <v>10</v>
      </c>
      <c r="AN322" s="3">
        <v>1</v>
      </c>
      <c r="AO322" s="3">
        <v>1</v>
      </c>
      <c r="AP322" s="3">
        <v>17</v>
      </c>
      <c r="AQ322" s="3">
        <v>17</v>
      </c>
      <c r="AR322" s="2" t="s">
        <v>5</v>
      </c>
      <c r="AS322" s="2" t="s">
        <v>16</v>
      </c>
      <c r="AT322" s="5" t="str">
        <f>HYPERLINK("http://catalog.hathitrust.org/Record/001621464","HathiTrust Record")</f>
        <v>HathiTrust Record</v>
      </c>
      <c r="AU322" s="5" t="str">
        <f>HYPERLINK("https://creighton-primo.hosted.exlibrisgroup.com/primo-explore/search?tab=default_tab&amp;search_scope=EVERYTHING&amp;vid=01CRU&amp;lang=en_US&amp;offset=0&amp;query=any,contains,991001689329702656","Catalog Record")</f>
        <v>Catalog Record</v>
      </c>
      <c r="AV322" s="5" t="str">
        <f>HYPERLINK("http://www.worldcat.org/oclc/983806","WorldCat Record")</f>
        <v>WorldCat Record</v>
      </c>
      <c r="AW322" s="2" t="s">
        <v>4391</v>
      </c>
      <c r="AX322" s="2" t="s">
        <v>4392</v>
      </c>
      <c r="AY322" s="2" t="s">
        <v>4393</v>
      </c>
      <c r="AZ322" s="2" t="s">
        <v>4393</v>
      </c>
      <c r="BA322" s="2" t="s">
        <v>4394</v>
      </c>
      <c r="BB322" s="2" t="s">
        <v>21</v>
      </c>
      <c r="BD322" s="2" t="s">
        <v>4395</v>
      </c>
      <c r="BE322" s="2" t="s">
        <v>4396</v>
      </c>
      <c r="BF322" s="2" t="s">
        <v>4397</v>
      </c>
    </row>
    <row r="323" spans="1:58" ht="39.75" customHeight="1" x14ac:dyDescent="0.25">
      <c r="A323" s="1"/>
      <c r="B323" s="1" t="s">
        <v>0</v>
      </c>
      <c r="C323" s="1" t="s">
        <v>1</v>
      </c>
      <c r="D323" s="1" t="s">
        <v>4398</v>
      </c>
      <c r="E323" s="1" t="s">
        <v>4399</v>
      </c>
      <c r="F323" s="1" t="s">
        <v>4400</v>
      </c>
      <c r="H323" s="2" t="s">
        <v>5</v>
      </c>
      <c r="I323" s="2" t="s">
        <v>6</v>
      </c>
      <c r="J323" s="2" t="s">
        <v>5</v>
      </c>
      <c r="K323" s="2" t="s">
        <v>5</v>
      </c>
      <c r="L323" s="2" t="s">
        <v>7</v>
      </c>
      <c r="M323" s="1" t="s">
        <v>4401</v>
      </c>
      <c r="N323" s="1" t="s">
        <v>4402</v>
      </c>
      <c r="O323" s="2" t="s">
        <v>401</v>
      </c>
      <c r="P323" s="1" t="s">
        <v>1907</v>
      </c>
      <c r="Q323" s="2" t="s">
        <v>11</v>
      </c>
      <c r="R323" s="2" t="s">
        <v>4403</v>
      </c>
      <c r="T323" s="2" t="s">
        <v>1367</v>
      </c>
      <c r="U323" s="3">
        <v>1</v>
      </c>
      <c r="V323" s="3">
        <v>1</v>
      </c>
      <c r="W323" s="4" t="s">
        <v>4404</v>
      </c>
      <c r="X323" s="4" t="s">
        <v>4404</v>
      </c>
      <c r="Y323" s="4" t="s">
        <v>3883</v>
      </c>
      <c r="Z323" s="4" t="s">
        <v>3883</v>
      </c>
      <c r="AA323" s="3">
        <v>769</v>
      </c>
      <c r="AB323" s="3">
        <v>739</v>
      </c>
      <c r="AC323" s="3">
        <v>741</v>
      </c>
      <c r="AD323" s="3">
        <v>8</v>
      </c>
      <c r="AE323" s="7">
        <v>8</v>
      </c>
      <c r="AF323" s="7">
        <v>25</v>
      </c>
      <c r="AG323" s="7">
        <v>25</v>
      </c>
      <c r="AH323" s="3">
        <v>4</v>
      </c>
      <c r="AI323" s="3">
        <v>4</v>
      </c>
      <c r="AJ323" s="3">
        <v>5</v>
      </c>
      <c r="AK323" s="3">
        <v>5</v>
      </c>
      <c r="AL323" s="3">
        <v>5</v>
      </c>
      <c r="AM323" s="3">
        <v>5</v>
      </c>
      <c r="AN323" s="3">
        <v>3</v>
      </c>
      <c r="AO323" s="3">
        <v>3</v>
      </c>
      <c r="AP323" s="3">
        <v>9</v>
      </c>
      <c r="AQ323" s="3">
        <v>9</v>
      </c>
      <c r="AR323" s="2" t="s">
        <v>5</v>
      </c>
      <c r="AS323" s="2" t="s">
        <v>16</v>
      </c>
      <c r="AT323" s="5" t="str">
        <f>HYPERLINK("http://catalog.hathitrust.org/Record/000563055","HathiTrust Record")</f>
        <v>HathiTrust Record</v>
      </c>
      <c r="AU323" s="5" t="str">
        <f>HYPERLINK("https://creighton-primo.hosted.exlibrisgroup.com/primo-explore/search?tab=default_tab&amp;search_scope=EVERYTHING&amp;vid=01CRU&amp;lang=en_US&amp;offset=0&amp;query=any,contains,991002733709702656","Catalog Record")</f>
        <v>Catalog Record</v>
      </c>
      <c r="AV323" s="5" t="str">
        <f>HYPERLINK("http://www.worldcat.org/oclc/418217","WorldCat Record")</f>
        <v>WorldCat Record</v>
      </c>
      <c r="AW323" s="2" t="s">
        <v>4405</v>
      </c>
      <c r="AX323" s="2" t="s">
        <v>4406</v>
      </c>
      <c r="AY323" s="2" t="s">
        <v>4407</v>
      </c>
      <c r="AZ323" s="2" t="s">
        <v>4407</v>
      </c>
      <c r="BA323" s="2" t="s">
        <v>4408</v>
      </c>
      <c r="BB323" s="2" t="s">
        <v>21</v>
      </c>
      <c r="BE323" s="2" t="s">
        <v>4409</v>
      </c>
      <c r="BF323" s="2" t="s">
        <v>4410</v>
      </c>
    </row>
    <row r="324" spans="1:58" ht="39.75" customHeight="1" x14ac:dyDescent="0.25">
      <c r="A324" s="1"/>
      <c r="B324" s="1" t="s">
        <v>0</v>
      </c>
      <c r="C324" s="1" t="s">
        <v>1</v>
      </c>
      <c r="D324" s="1" t="s">
        <v>4411</v>
      </c>
      <c r="E324" s="1" t="s">
        <v>4412</v>
      </c>
      <c r="F324" s="1" t="s">
        <v>4413</v>
      </c>
      <c r="H324" s="2" t="s">
        <v>5</v>
      </c>
      <c r="I324" s="2" t="s">
        <v>6</v>
      </c>
      <c r="J324" s="2" t="s">
        <v>5</v>
      </c>
      <c r="K324" s="2" t="s">
        <v>5</v>
      </c>
      <c r="L324" s="2" t="s">
        <v>7</v>
      </c>
      <c r="M324" s="1" t="s">
        <v>4414</v>
      </c>
      <c r="N324" s="1" t="s">
        <v>4415</v>
      </c>
      <c r="O324" s="2" t="s">
        <v>500</v>
      </c>
      <c r="Q324" s="2" t="s">
        <v>11</v>
      </c>
      <c r="R324" s="2" t="s">
        <v>4416</v>
      </c>
      <c r="S324" s="1" t="s">
        <v>4417</v>
      </c>
      <c r="T324" s="2" t="s">
        <v>1367</v>
      </c>
      <c r="U324" s="3">
        <v>1</v>
      </c>
      <c r="V324" s="3">
        <v>1</v>
      </c>
      <c r="W324" s="4" t="s">
        <v>4418</v>
      </c>
      <c r="X324" s="4" t="s">
        <v>4418</v>
      </c>
      <c r="Y324" s="4" t="s">
        <v>4418</v>
      </c>
      <c r="Z324" s="4" t="s">
        <v>4418</v>
      </c>
      <c r="AA324" s="3">
        <v>234</v>
      </c>
      <c r="AB324" s="3">
        <v>215</v>
      </c>
      <c r="AC324" s="3">
        <v>217</v>
      </c>
      <c r="AD324" s="3">
        <v>2</v>
      </c>
      <c r="AE324" s="7">
        <v>2</v>
      </c>
      <c r="AF324" s="7">
        <v>9</v>
      </c>
      <c r="AG324" s="7">
        <v>9</v>
      </c>
      <c r="AH324" s="3">
        <v>2</v>
      </c>
      <c r="AI324" s="3">
        <v>2</v>
      </c>
      <c r="AJ324" s="3">
        <v>0</v>
      </c>
      <c r="AK324" s="3">
        <v>0</v>
      </c>
      <c r="AL324" s="3">
        <v>3</v>
      </c>
      <c r="AM324" s="3">
        <v>3</v>
      </c>
      <c r="AN324" s="3">
        <v>1</v>
      </c>
      <c r="AO324" s="3">
        <v>1</v>
      </c>
      <c r="AP324" s="3">
        <v>4</v>
      </c>
      <c r="AQ324" s="3">
        <v>4</v>
      </c>
      <c r="AR324" s="2" t="s">
        <v>5</v>
      </c>
      <c r="AS324" s="2" t="s">
        <v>16</v>
      </c>
      <c r="AT324" s="5" t="str">
        <f>HYPERLINK("http://catalog.hathitrust.org/Record/000179678","HathiTrust Record")</f>
        <v>HathiTrust Record</v>
      </c>
      <c r="AU324" s="5" t="str">
        <f>HYPERLINK("https://creighton-primo.hosted.exlibrisgroup.com/primo-explore/search?tab=default_tab&amp;search_scope=EVERYTHING&amp;vid=01CRU&amp;lang=en_US&amp;offset=0&amp;query=any,contains,991004056149702656","Catalog Record")</f>
        <v>Catalog Record</v>
      </c>
      <c r="AV324" s="5" t="str">
        <f>HYPERLINK("http://www.worldcat.org/oclc/4114748","WorldCat Record")</f>
        <v>WorldCat Record</v>
      </c>
      <c r="AW324" s="2" t="s">
        <v>4419</v>
      </c>
      <c r="AX324" s="2" t="s">
        <v>4420</v>
      </c>
      <c r="AY324" s="2" t="s">
        <v>4421</v>
      </c>
      <c r="AZ324" s="2" t="s">
        <v>4421</v>
      </c>
      <c r="BA324" s="2" t="s">
        <v>4422</v>
      </c>
      <c r="BB324" s="2" t="s">
        <v>21</v>
      </c>
      <c r="BD324" s="2" t="s">
        <v>4423</v>
      </c>
      <c r="BE324" s="2" t="s">
        <v>4424</v>
      </c>
      <c r="BF324" s="2" t="s">
        <v>4425</v>
      </c>
    </row>
    <row r="325" spans="1:58" ht="39.75" customHeight="1" x14ac:dyDescent="0.25">
      <c r="A325" s="1"/>
      <c r="B325" s="1" t="s">
        <v>0</v>
      </c>
      <c r="C325" s="1" t="s">
        <v>1</v>
      </c>
      <c r="D325" s="1" t="s">
        <v>4426</v>
      </c>
      <c r="E325" s="1" t="s">
        <v>4427</v>
      </c>
      <c r="F325" s="1" t="s">
        <v>4428</v>
      </c>
      <c r="H325" s="2" t="s">
        <v>5</v>
      </c>
      <c r="I325" s="2" t="s">
        <v>6</v>
      </c>
      <c r="J325" s="2" t="s">
        <v>16</v>
      </c>
      <c r="K325" s="2" t="s">
        <v>5</v>
      </c>
      <c r="L325" s="2" t="s">
        <v>7</v>
      </c>
      <c r="M325" s="1" t="s">
        <v>4429</v>
      </c>
      <c r="N325" s="1" t="s">
        <v>4430</v>
      </c>
      <c r="O325" s="2" t="s">
        <v>169</v>
      </c>
      <c r="Q325" s="2" t="s">
        <v>11</v>
      </c>
      <c r="R325" s="2" t="s">
        <v>3107</v>
      </c>
      <c r="S325" s="1" t="s">
        <v>4431</v>
      </c>
      <c r="T325" s="2" t="s">
        <v>1367</v>
      </c>
      <c r="U325" s="3">
        <v>2</v>
      </c>
      <c r="V325" s="3">
        <v>2</v>
      </c>
      <c r="W325" s="4" t="s">
        <v>4432</v>
      </c>
      <c r="X325" s="4" t="s">
        <v>4432</v>
      </c>
      <c r="Y325" s="4" t="s">
        <v>4433</v>
      </c>
      <c r="Z325" s="4" t="s">
        <v>4433</v>
      </c>
      <c r="AA325" s="3">
        <v>631</v>
      </c>
      <c r="AB325" s="3">
        <v>568</v>
      </c>
      <c r="AC325" s="3">
        <v>570</v>
      </c>
      <c r="AD325" s="3">
        <v>6</v>
      </c>
      <c r="AE325" s="7">
        <v>6</v>
      </c>
      <c r="AF325" s="7">
        <v>35</v>
      </c>
      <c r="AG325" s="7">
        <v>35</v>
      </c>
      <c r="AH325" s="3">
        <v>3</v>
      </c>
      <c r="AI325" s="3">
        <v>3</v>
      </c>
      <c r="AJ325" s="3">
        <v>5</v>
      </c>
      <c r="AK325" s="3">
        <v>5</v>
      </c>
      <c r="AL325" s="3">
        <v>9</v>
      </c>
      <c r="AM325" s="3">
        <v>9</v>
      </c>
      <c r="AN325" s="3">
        <v>3</v>
      </c>
      <c r="AO325" s="3">
        <v>3</v>
      </c>
      <c r="AP325" s="3">
        <v>19</v>
      </c>
      <c r="AQ325" s="3">
        <v>19</v>
      </c>
      <c r="AR325" s="2" t="s">
        <v>5</v>
      </c>
      <c r="AS325" s="2" t="s">
        <v>16</v>
      </c>
      <c r="AT325" s="5" t="str">
        <f>HYPERLINK("http://catalog.hathitrust.org/Record/002481877","HathiTrust Record")</f>
        <v>HathiTrust Record</v>
      </c>
      <c r="AU325" s="5" t="str">
        <f>HYPERLINK("https://creighton-primo.hosted.exlibrisgroup.com/primo-explore/search?tab=default_tab&amp;search_scope=EVERYTHING&amp;vid=01CRU&amp;lang=en_US&amp;offset=0&amp;query=any,contains,991001647299702656","Catalog Record")</f>
        <v>Catalog Record</v>
      </c>
      <c r="AV325" s="5" t="str">
        <f>HYPERLINK("http://www.worldcat.org/oclc/22733145","WorldCat Record")</f>
        <v>WorldCat Record</v>
      </c>
      <c r="AW325" s="2" t="s">
        <v>4434</v>
      </c>
      <c r="AX325" s="2" t="s">
        <v>4435</v>
      </c>
      <c r="AY325" s="2" t="s">
        <v>4436</v>
      </c>
      <c r="AZ325" s="2" t="s">
        <v>4436</v>
      </c>
      <c r="BA325" s="2" t="s">
        <v>4437</v>
      </c>
      <c r="BB325" s="2" t="s">
        <v>21</v>
      </c>
      <c r="BD325" s="2" t="s">
        <v>4438</v>
      </c>
      <c r="BE325" s="2" t="s">
        <v>4439</v>
      </c>
      <c r="BF325" s="2" t="s">
        <v>4440</v>
      </c>
    </row>
    <row r="326" spans="1:58" ht="39.75" customHeight="1" x14ac:dyDescent="0.25">
      <c r="A326" s="1"/>
      <c r="B326" s="1" t="s">
        <v>0</v>
      </c>
      <c r="C326" s="1" t="s">
        <v>1</v>
      </c>
      <c r="D326" s="1" t="s">
        <v>4441</v>
      </c>
      <c r="E326" s="1" t="s">
        <v>4442</v>
      </c>
      <c r="F326" s="1" t="s">
        <v>4443</v>
      </c>
      <c r="H326" s="2" t="s">
        <v>5</v>
      </c>
      <c r="I326" s="2" t="s">
        <v>6</v>
      </c>
      <c r="J326" s="2" t="s">
        <v>5</v>
      </c>
      <c r="K326" s="2" t="s">
        <v>16</v>
      </c>
      <c r="L326" s="2" t="s">
        <v>7</v>
      </c>
      <c r="M326" s="1" t="s">
        <v>4444</v>
      </c>
      <c r="N326" s="1" t="s">
        <v>4445</v>
      </c>
      <c r="O326" s="2" t="s">
        <v>4446</v>
      </c>
      <c r="Q326" s="2" t="s">
        <v>11</v>
      </c>
      <c r="R326" s="2" t="s">
        <v>4403</v>
      </c>
      <c r="T326" s="2" t="s">
        <v>1367</v>
      </c>
      <c r="U326" s="3">
        <v>1</v>
      </c>
      <c r="V326" s="3">
        <v>1</v>
      </c>
      <c r="W326" s="4" t="s">
        <v>4447</v>
      </c>
      <c r="X326" s="4" t="s">
        <v>4447</v>
      </c>
      <c r="Y326" s="4" t="s">
        <v>4447</v>
      </c>
      <c r="Z326" s="4" t="s">
        <v>4447</v>
      </c>
      <c r="AA326" s="3">
        <v>121</v>
      </c>
      <c r="AB326" s="3">
        <v>117</v>
      </c>
      <c r="AC326" s="3">
        <v>369</v>
      </c>
      <c r="AD326" s="3">
        <v>1</v>
      </c>
      <c r="AE326" s="7">
        <v>3</v>
      </c>
      <c r="AF326" s="7">
        <v>4</v>
      </c>
      <c r="AG326" s="7">
        <v>18</v>
      </c>
      <c r="AH326" s="3">
        <v>1</v>
      </c>
      <c r="AI326" s="3">
        <v>1</v>
      </c>
      <c r="AJ326" s="3">
        <v>0</v>
      </c>
      <c r="AK326" s="3">
        <v>3</v>
      </c>
      <c r="AL326" s="3">
        <v>0</v>
      </c>
      <c r="AM326" s="3">
        <v>1</v>
      </c>
      <c r="AN326" s="3">
        <v>0</v>
      </c>
      <c r="AO326" s="3">
        <v>0</v>
      </c>
      <c r="AP326" s="3">
        <v>3</v>
      </c>
      <c r="AQ326" s="3">
        <v>14</v>
      </c>
      <c r="AR326" s="2" t="s">
        <v>5</v>
      </c>
      <c r="AS326" s="2" t="s">
        <v>5</v>
      </c>
      <c r="AU326" s="5" t="str">
        <f>HYPERLINK("https://creighton-primo.hosted.exlibrisgroup.com/primo-explore/search?tab=default_tab&amp;search_scope=EVERYTHING&amp;vid=01CRU&amp;lang=en_US&amp;offset=0&amp;query=any,contains,991004070039702656","Catalog Record")</f>
        <v>Catalog Record</v>
      </c>
      <c r="AV326" s="5" t="str">
        <f>HYPERLINK("http://www.worldcat.org/oclc/2098047","WorldCat Record")</f>
        <v>WorldCat Record</v>
      </c>
      <c r="AW326" s="2" t="s">
        <v>4448</v>
      </c>
      <c r="AX326" s="2" t="s">
        <v>4449</v>
      </c>
      <c r="AY326" s="2" t="s">
        <v>4450</v>
      </c>
      <c r="AZ326" s="2" t="s">
        <v>4450</v>
      </c>
      <c r="BA326" s="2" t="s">
        <v>4451</v>
      </c>
      <c r="BB326" s="2" t="s">
        <v>21</v>
      </c>
      <c r="BE326" s="2" t="s">
        <v>4452</v>
      </c>
      <c r="BF326" s="2" t="s">
        <v>4453</v>
      </c>
    </row>
    <row r="327" spans="1:58" ht="39.75" customHeight="1" x14ac:dyDescent="0.25">
      <c r="A327" s="1"/>
      <c r="B327" s="1" t="s">
        <v>0</v>
      </c>
      <c r="C327" s="1" t="s">
        <v>1</v>
      </c>
      <c r="D327" s="1" t="s">
        <v>4454</v>
      </c>
      <c r="E327" s="1" t="s">
        <v>4455</v>
      </c>
      <c r="F327" s="1" t="s">
        <v>4456</v>
      </c>
      <c r="H327" s="2" t="s">
        <v>5</v>
      </c>
      <c r="I327" s="2" t="s">
        <v>6</v>
      </c>
      <c r="J327" s="2" t="s">
        <v>5</v>
      </c>
      <c r="K327" s="2" t="s">
        <v>5</v>
      </c>
      <c r="L327" s="2" t="s">
        <v>7</v>
      </c>
      <c r="M327" s="1" t="s">
        <v>4457</v>
      </c>
      <c r="N327" s="1" t="s">
        <v>4458</v>
      </c>
      <c r="O327" s="2" t="s">
        <v>387</v>
      </c>
      <c r="P327" s="1" t="s">
        <v>229</v>
      </c>
      <c r="Q327" s="2" t="s">
        <v>11</v>
      </c>
      <c r="R327" s="2" t="s">
        <v>306</v>
      </c>
      <c r="T327" s="2" t="s">
        <v>1367</v>
      </c>
      <c r="U327" s="3">
        <v>9</v>
      </c>
      <c r="V327" s="3">
        <v>9</v>
      </c>
      <c r="W327" s="4" t="s">
        <v>4459</v>
      </c>
      <c r="X327" s="4" t="s">
        <v>4459</v>
      </c>
      <c r="Y327" s="4" t="s">
        <v>4460</v>
      </c>
      <c r="Z327" s="4" t="s">
        <v>4460</v>
      </c>
      <c r="AA327" s="3">
        <v>732</v>
      </c>
      <c r="AB327" s="3">
        <v>691</v>
      </c>
      <c r="AC327" s="3">
        <v>722</v>
      </c>
      <c r="AD327" s="3">
        <v>7</v>
      </c>
      <c r="AE327" s="7">
        <v>7</v>
      </c>
      <c r="AF327" s="7">
        <v>47</v>
      </c>
      <c r="AG327" s="7">
        <v>48</v>
      </c>
      <c r="AH327" s="3">
        <v>12</v>
      </c>
      <c r="AI327" s="3">
        <v>12</v>
      </c>
      <c r="AJ327" s="3">
        <v>5</v>
      </c>
      <c r="AK327" s="3">
        <v>5</v>
      </c>
      <c r="AL327" s="3">
        <v>15</v>
      </c>
      <c r="AM327" s="3">
        <v>15</v>
      </c>
      <c r="AN327" s="3">
        <v>5</v>
      </c>
      <c r="AO327" s="3">
        <v>5</v>
      </c>
      <c r="AP327" s="3">
        <v>18</v>
      </c>
      <c r="AQ327" s="3">
        <v>19</v>
      </c>
      <c r="AR327" s="2" t="s">
        <v>5</v>
      </c>
      <c r="AS327" s="2" t="s">
        <v>5</v>
      </c>
      <c r="AU327" s="5" t="str">
        <f>HYPERLINK("https://creighton-primo.hosted.exlibrisgroup.com/primo-explore/search?tab=default_tab&amp;search_scope=EVERYTHING&amp;vid=01CRU&amp;lang=en_US&amp;offset=0&amp;query=any,contains,991000348299702656","Catalog Record")</f>
        <v>Catalog Record</v>
      </c>
      <c r="AV327" s="5" t="str">
        <f>HYPERLINK("http://www.worldcat.org/oclc/10299328","WorldCat Record")</f>
        <v>WorldCat Record</v>
      </c>
      <c r="AW327" s="2" t="s">
        <v>4461</v>
      </c>
      <c r="AX327" s="2" t="s">
        <v>4462</v>
      </c>
      <c r="AY327" s="2" t="s">
        <v>4463</v>
      </c>
      <c r="AZ327" s="2" t="s">
        <v>4463</v>
      </c>
      <c r="BA327" s="2" t="s">
        <v>4464</v>
      </c>
      <c r="BB327" s="2" t="s">
        <v>21</v>
      </c>
      <c r="BD327" s="2" t="s">
        <v>4465</v>
      </c>
      <c r="BE327" s="2" t="s">
        <v>4466</v>
      </c>
      <c r="BF327" s="2" t="s">
        <v>4467</v>
      </c>
    </row>
    <row r="328" spans="1:58" ht="39.75" customHeight="1" x14ac:dyDescent="0.25">
      <c r="A328" s="1"/>
      <c r="B328" s="1" t="s">
        <v>0</v>
      </c>
      <c r="C328" s="1" t="s">
        <v>1</v>
      </c>
      <c r="D328" s="1" t="s">
        <v>4468</v>
      </c>
      <c r="E328" s="1" t="s">
        <v>4469</v>
      </c>
      <c r="F328" s="1" t="s">
        <v>4470</v>
      </c>
      <c r="H328" s="2" t="s">
        <v>5</v>
      </c>
      <c r="I328" s="2" t="s">
        <v>6</v>
      </c>
      <c r="J328" s="2" t="s">
        <v>5</v>
      </c>
      <c r="K328" s="2" t="s">
        <v>5</v>
      </c>
      <c r="L328" s="2" t="s">
        <v>7</v>
      </c>
      <c r="M328" s="1" t="s">
        <v>4471</v>
      </c>
      <c r="N328" s="1" t="s">
        <v>4472</v>
      </c>
      <c r="O328" s="2" t="s">
        <v>91</v>
      </c>
      <c r="Q328" s="2" t="s">
        <v>11</v>
      </c>
      <c r="R328" s="2" t="s">
        <v>76</v>
      </c>
      <c r="T328" s="2" t="s">
        <v>1367</v>
      </c>
      <c r="U328" s="3">
        <v>0</v>
      </c>
      <c r="V328" s="3">
        <v>0</v>
      </c>
      <c r="W328" s="4" t="s">
        <v>4473</v>
      </c>
      <c r="X328" s="4" t="s">
        <v>4473</v>
      </c>
      <c r="Y328" s="4" t="s">
        <v>4474</v>
      </c>
      <c r="Z328" s="4" t="s">
        <v>4474</v>
      </c>
      <c r="AA328" s="3">
        <v>326</v>
      </c>
      <c r="AB328" s="3">
        <v>315</v>
      </c>
      <c r="AC328" s="3">
        <v>319</v>
      </c>
      <c r="AD328" s="3">
        <v>2</v>
      </c>
      <c r="AE328" s="7">
        <v>2</v>
      </c>
      <c r="AF328" s="7">
        <v>24</v>
      </c>
      <c r="AG328" s="7">
        <v>25</v>
      </c>
      <c r="AH328" s="3">
        <v>5</v>
      </c>
      <c r="AI328" s="3">
        <v>6</v>
      </c>
      <c r="AJ328" s="3">
        <v>3</v>
      </c>
      <c r="AK328" s="3">
        <v>3</v>
      </c>
      <c r="AL328" s="3">
        <v>7</v>
      </c>
      <c r="AM328" s="3">
        <v>7</v>
      </c>
      <c r="AN328" s="3">
        <v>1</v>
      </c>
      <c r="AO328" s="3">
        <v>1</v>
      </c>
      <c r="AP328" s="3">
        <v>13</v>
      </c>
      <c r="AQ328" s="3">
        <v>13</v>
      </c>
      <c r="AR328" s="2" t="s">
        <v>5</v>
      </c>
      <c r="AS328" s="2" t="s">
        <v>5</v>
      </c>
      <c r="AU328" s="5" t="str">
        <f>HYPERLINK("https://creighton-primo.hosted.exlibrisgroup.com/primo-explore/search?tab=default_tab&amp;search_scope=EVERYTHING&amp;vid=01CRU&amp;lang=en_US&amp;offset=0&amp;query=any,contains,991001911529702656","Catalog Record")</f>
        <v>Catalog Record</v>
      </c>
      <c r="AV328" s="5" t="str">
        <f>HYPERLINK("http://www.worldcat.org/oclc/24142770","WorldCat Record")</f>
        <v>WorldCat Record</v>
      </c>
      <c r="AW328" s="2" t="s">
        <v>4475</v>
      </c>
      <c r="AX328" s="2" t="s">
        <v>4476</v>
      </c>
      <c r="AY328" s="2" t="s">
        <v>4477</v>
      </c>
      <c r="AZ328" s="2" t="s">
        <v>4477</v>
      </c>
      <c r="BA328" s="2" t="s">
        <v>4478</v>
      </c>
      <c r="BB328" s="2" t="s">
        <v>21</v>
      </c>
      <c r="BD328" s="2" t="s">
        <v>4479</v>
      </c>
      <c r="BE328" s="2" t="s">
        <v>4480</v>
      </c>
      <c r="BF328" s="2" t="s">
        <v>4481</v>
      </c>
    </row>
    <row r="329" spans="1:58" ht="39.75" customHeight="1" x14ac:dyDescent="0.25">
      <c r="A329" s="1"/>
      <c r="B329" s="1" t="s">
        <v>0</v>
      </c>
      <c r="C329" s="1" t="s">
        <v>1</v>
      </c>
      <c r="D329" s="1" t="s">
        <v>4482</v>
      </c>
      <c r="E329" s="1" t="s">
        <v>4483</v>
      </c>
      <c r="F329" s="1" t="s">
        <v>4484</v>
      </c>
      <c r="H329" s="2" t="s">
        <v>5</v>
      </c>
      <c r="I329" s="2" t="s">
        <v>6</v>
      </c>
      <c r="J329" s="2" t="s">
        <v>5</v>
      </c>
      <c r="K329" s="2" t="s">
        <v>5</v>
      </c>
      <c r="L329" s="2" t="s">
        <v>7</v>
      </c>
      <c r="M329" s="1" t="s">
        <v>4485</v>
      </c>
      <c r="N329" s="1" t="s">
        <v>4486</v>
      </c>
      <c r="O329" s="2" t="s">
        <v>1469</v>
      </c>
      <c r="Q329" s="2" t="s">
        <v>11</v>
      </c>
      <c r="R329" s="2" t="s">
        <v>76</v>
      </c>
      <c r="T329" s="2" t="s">
        <v>1367</v>
      </c>
      <c r="U329" s="3">
        <v>1</v>
      </c>
      <c r="V329" s="3">
        <v>1</v>
      </c>
      <c r="W329" s="4" t="s">
        <v>4487</v>
      </c>
      <c r="X329" s="4" t="s">
        <v>4487</v>
      </c>
      <c r="Y329" s="4" t="s">
        <v>4488</v>
      </c>
      <c r="Z329" s="4" t="s">
        <v>4488</v>
      </c>
      <c r="AA329" s="3">
        <v>980</v>
      </c>
      <c r="AB329" s="3">
        <v>919</v>
      </c>
      <c r="AC329" s="3">
        <v>932</v>
      </c>
      <c r="AD329" s="3">
        <v>12</v>
      </c>
      <c r="AE329" s="7">
        <v>12</v>
      </c>
      <c r="AF329" s="7">
        <v>60</v>
      </c>
      <c r="AG329" s="7">
        <v>61</v>
      </c>
      <c r="AH329" s="3">
        <v>20</v>
      </c>
      <c r="AI329" s="3">
        <v>20</v>
      </c>
      <c r="AJ329" s="3">
        <v>6</v>
      </c>
      <c r="AK329" s="3">
        <v>7</v>
      </c>
      <c r="AL329" s="3">
        <v>20</v>
      </c>
      <c r="AM329" s="3">
        <v>20</v>
      </c>
      <c r="AN329" s="3">
        <v>8</v>
      </c>
      <c r="AO329" s="3">
        <v>8</v>
      </c>
      <c r="AP329" s="3">
        <v>17</v>
      </c>
      <c r="AQ329" s="3">
        <v>17</v>
      </c>
      <c r="AR329" s="2" t="s">
        <v>5</v>
      </c>
      <c r="AS329" s="2" t="s">
        <v>16</v>
      </c>
      <c r="AT329" s="5" t="str">
        <f>HYPERLINK("http://catalog.hathitrust.org/Record/001142679","HathiTrust Record")</f>
        <v>HathiTrust Record</v>
      </c>
      <c r="AU329" s="5" t="str">
        <f>HYPERLINK("https://creighton-primo.hosted.exlibrisgroup.com/primo-explore/search?tab=default_tab&amp;search_scope=EVERYTHING&amp;vid=01CRU&amp;lang=en_US&amp;offset=0&amp;query=any,contains,991002871639702656","Catalog Record")</f>
        <v>Catalog Record</v>
      </c>
      <c r="AV329" s="5" t="str">
        <f>HYPERLINK("http://www.worldcat.org/oclc/499568","WorldCat Record")</f>
        <v>WorldCat Record</v>
      </c>
      <c r="AW329" s="2" t="s">
        <v>4489</v>
      </c>
      <c r="AX329" s="2" t="s">
        <v>4490</v>
      </c>
      <c r="AY329" s="2" t="s">
        <v>4491</v>
      </c>
      <c r="AZ329" s="2" t="s">
        <v>4491</v>
      </c>
      <c r="BA329" s="2" t="s">
        <v>4492</v>
      </c>
      <c r="BB329" s="2" t="s">
        <v>21</v>
      </c>
      <c r="BE329" s="2" t="s">
        <v>4493</v>
      </c>
      <c r="BF329" s="2" t="s">
        <v>4494</v>
      </c>
    </row>
    <row r="330" spans="1:58" ht="39.75" customHeight="1" x14ac:dyDescent="0.25">
      <c r="A330" s="1"/>
      <c r="B330" s="1" t="s">
        <v>0</v>
      </c>
      <c r="C330" s="1" t="s">
        <v>1</v>
      </c>
      <c r="D330" s="1" t="s">
        <v>4495</v>
      </c>
      <c r="E330" s="1" t="s">
        <v>4496</v>
      </c>
      <c r="F330" s="1" t="s">
        <v>4497</v>
      </c>
      <c r="H330" s="2" t="s">
        <v>5</v>
      </c>
      <c r="I330" s="2" t="s">
        <v>6</v>
      </c>
      <c r="J330" s="2" t="s">
        <v>16</v>
      </c>
      <c r="K330" s="2" t="s">
        <v>5</v>
      </c>
      <c r="L330" s="2" t="s">
        <v>7</v>
      </c>
      <c r="M330" s="1" t="s">
        <v>4498</v>
      </c>
      <c r="N330" s="1" t="s">
        <v>4499</v>
      </c>
      <c r="O330" s="2" t="s">
        <v>228</v>
      </c>
      <c r="P330" s="1" t="s">
        <v>229</v>
      </c>
      <c r="Q330" s="2" t="s">
        <v>11</v>
      </c>
      <c r="R330" s="2" t="s">
        <v>76</v>
      </c>
      <c r="T330" s="2" t="s">
        <v>1367</v>
      </c>
      <c r="U330" s="3">
        <v>8</v>
      </c>
      <c r="V330" s="3">
        <v>8</v>
      </c>
      <c r="W330" s="4" t="s">
        <v>4500</v>
      </c>
      <c r="X330" s="4" t="s">
        <v>4500</v>
      </c>
      <c r="Y330" s="4" t="s">
        <v>4501</v>
      </c>
      <c r="Z330" s="4" t="s">
        <v>4502</v>
      </c>
      <c r="AA330" s="3">
        <v>946</v>
      </c>
      <c r="AB330" s="3">
        <v>886</v>
      </c>
      <c r="AC330" s="3">
        <v>971</v>
      </c>
      <c r="AD330" s="3">
        <v>6</v>
      </c>
      <c r="AE330" s="7">
        <v>7</v>
      </c>
      <c r="AF330" s="7">
        <v>46</v>
      </c>
      <c r="AG330" s="7">
        <v>50</v>
      </c>
      <c r="AH330" s="3">
        <v>10</v>
      </c>
      <c r="AI330" s="3">
        <v>12</v>
      </c>
      <c r="AJ330" s="3">
        <v>6</v>
      </c>
      <c r="AK330" s="3">
        <v>6</v>
      </c>
      <c r="AL330" s="3">
        <v>13</v>
      </c>
      <c r="AM330" s="3">
        <v>13</v>
      </c>
      <c r="AN330" s="3">
        <v>2</v>
      </c>
      <c r="AO330" s="3">
        <v>3</v>
      </c>
      <c r="AP330" s="3">
        <v>21</v>
      </c>
      <c r="AQ330" s="3">
        <v>22</v>
      </c>
      <c r="AR330" s="2" t="s">
        <v>5</v>
      </c>
      <c r="AS330" s="2" t="s">
        <v>16</v>
      </c>
      <c r="AT330" s="5" t="str">
        <f>HYPERLINK("http://catalog.hathitrust.org/Record/001547413","HathiTrust Record")</f>
        <v>HathiTrust Record</v>
      </c>
      <c r="AU330" s="5" t="str">
        <f>HYPERLINK("https://creighton-primo.hosted.exlibrisgroup.com/primo-explore/search?tab=default_tab&amp;search_scope=EVERYTHING&amp;vid=01CRU&amp;lang=en_US&amp;offset=0&amp;query=any,contains,991001641069702656","Catalog Record")</f>
        <v>Catalog Record</v>
      </c>
      <c r="AV330" s="5" t="str">
        <f>HYPERLINK("http://www.worldcat.org/oclc/19456811","WorldCat Record")</f>
        <v>WorldCat Record</v>
      </c>
      <c r="AW330" s="2" t="s">
        <v>4503</v>
      </c>
      <c r="AX330" s="2" t="s">
        <v>4504</v>
      </c>
      <c r="AY330" s="2" t="s">
        <v>4505</v>
      </c>
      <c r="AZ330" s="2" t="s">
        <v>4505</v>
      </c>
      <c r="BA330" s="2" t="s">
        <v>4506</v>
      </c>
      <c r="BB330" s="2" t="s">
        <v>21</v>
      </c>
      <c r="BD330" s="2" t="s">
        <v>4507</v>
      </c>
      <c r="BE330" s="2" t="s">
        <v>4508</v>
      </c>
      <c r="BF330" s="2" t="s">
        <v>4509</v>
      </c>
    </row>
    <row r="331" spans="1:58" ht="39.75" customHeight="1" x14ac:dyDescent="0.25">
      <c r="A331" s="1"/>
      <c r="B331" s="1" t="s">
        <v>0</v>
      </c>
      <c r="C331" s="1" t="s">
        <v>1</v>
      </c>
      <c r="D331" s="1" t="s">
        <v>4510</v>
      </c>
      <c r="E331" s="1" t="s">
        <v>4511</v>
      </c>
      <c r="F331" s="1" t="s">
        <v>4512</v>
      </c>
      <c r="H331" s="2" t="s">
        <v>5</v>
      </c>
      <c r="I331" s="2" t="s">
        <v>6</v>
      </c>
      <c r="J331" s="2" t="s">
        <v>5</v>
      </c>
      <c r="K331" s="2" t="s">
        <v>5</v>
      </c>
      <c r="L331" s="2" t="s">
        <v>7</v>
      </c>
      <c r="M331" s="1" t="s">
        <v>4513</v>
      </c>
      <c r="N331" s="1" t="s">
        <v>4514</v>
      </c>
      <c r="O331" s="2" t="s">
        <v>372</v>
      </c>
      <c r="Q331" s="2" t="s">
        <v>11</v>
      </c>
      <c r="R331" s="2" t="s">
        <v>153</v>
      </c>
      <c r="T331" s="2" t="s">
        <v>1367</v>
      </c>
      <c r="U331" s="3">
        <v>5</v>
      </c>
      <c r="V331" s="3">
        <v>5</v>
      </c>
      <c r="W331" s="4" t="s">
        <v>4515</v>
      </c>
      <c r="X331" s="4" t="s">
        <v>4515</v>
      </c>
      <c r="Y331" s="4" t="s">
        <v>1747</v>
      </c>
      <c r="Z331" s="4" t="s">
        <v>1747</v>
      </c>
      <c r="AA331" s="3">
        <v>331</v>
      </c>
      <c r="AB331" s="3">
        <v>299</v>
      </c>
      <c r="AC331" s="3">
        <v>305</v>
      </c>
      <c r="AD331" s="3">
        <v>2</v>
      </c>
      <c r="AE331" s="7">
        <v>2</v>
      </c>
      <c r="AF331" s="7">
        <v>21</v>
      </c>
      <c r="AG331" s="7">
        <v>21</v>
      </c>
      <c r="AH331" s="3">
        <v>5</v>
      </c>
      <c r="AI331" s="3">
        <v>5</v>
      </c>
      <c r="AJ331" s="3">
        <v>5</v>
      </c>
      <c r="AK331" s="3">
        <v>5</v>
      </c>
      <c r="AL331" s="3">
        <v>5</v>
      </c>
      <c r="AM331" s="3">
        <v>5</v>
      </c>
      <c r="AN331" s="3">
        <v>1</v>
      </c>
      <c r="AO331" s="3">
        <v>1</v>
      </c>
      <c r="AP331" s="3">
        <v>9</v>
      </c>
      <c r="AQ331" s="3">
        <v>9</v>
      </c>
      <c r="AR331" s="2" t="s">
        <v>5</v>
      </c>
      <c r="AS331" s="2" t="s">
        <v>16</v>
      </c>
      <c r="AT331" s="5" t="str">
        <f>HYPERLINK("http://catalog.hathitrust.org/Record/002801721","HathiTrust Record")</f>
        <v>HathiTrust Record</v>
      </c>
      <c r="AU331" s="5" t="str">
        <f>HYPERLINK("https://creighton-primo.hosted.exlibrisgroup.com/primo-explore/search?tab=default_tab&amp;search_scope=EVERYTHING&amp;vid=01CRU&amp;lang=en_US&amp;offset=0&amp;query=any,contains,991002180319702656","Catalog Record")</f>
        <v>Catalog Record</v>
      </c>
      <c r="AV331" s="5" t="str">
        <f>HYPERLINK("http://www.worldcat.org/oclc/28066619","WorldCat Record")</f>
        <v>WorldCat Record</v>
      </c>
      <c r="AW331" s="2" t="s">
        <v>4516</v>
      </c>
      <c r="AX331" s="2" t="s">
        <v>4517</v>
      </c>
      <c r="AY331" s="2" t="s">
        <v>4518</v>
      </c>
      <c r="AZ331" s="2" t="s">
        <v>4518</v>
      </c>
      <c r="BA331" s="2" t="s">
        <v>4519</v>
      </c>
      <c r="BB331" s="2" t="s">
        <v>21</v>
      </c>
      <c r="BD331" s="2" t="s">
        <v>4520</v>
      </c>
      <c r="BE331" s="2" t="s">
        <v>4521</v>
      </c>
      <c r="BF331" s="2" t="s">
        <v>4522</v>
      </c>
    </row>
    <row r="332" spans="1:58" ht="39.75" customHeight="1" x14ac:dyDescent="0.25">
      <c r="A332" s="1"/>
      <c r="B332" s="1" t="s">
        <v>0</v>
      </c>
      <c r="C332" s="1" t="s">
        <v>1</v>
      </c>
      <c r="D332" s="1" t="s">
        <v>4523</v>
      </c>
      <c r="E332" s="1" t="s">
        <v>4524</v>
      </c>
      <c r="F332" s="1" t="s">
        <v>4525</v>
      </c>
      <c r="H332" s="2" t="s">
        <v>5</v>
      </c>
      <c r="I332" s="2" t="s">
        <v>6</v>
      </c>
      <c r="J332" s="2" t="s">
        <v>16</v>
      </c>
      <c r="K332" s="2" t="s">
        <v>5</v>
      </c>
      <c r="L332" s="2" t="s">
        <v>7</v>
      </c>
      <c r="M332" s="1" t="s">
        <v>4526</v>
      </c>
      <c r="N332" s="1" t="s">
        <v>4527</v>
      </c>
      <c r="O332" s="2" t="s">
        <v>401</v>
      </c>
      <c r="Q332" s="2" t="s">
        <v>11</v>
      </c>
      <c r="R332" s="2" t="s">
        <v>501</v>
      </c>
      <c r="T332" s="2" t="s">
        <v>1367</v>
      </c>
      <c r="U332" s="3">
        <v>1</v>
      </c>
      <c r="V332" s="3">
        <v>1</v>
      </c>
      <c r="W332" s="4" t="s">
        <v>4528</v>
      </c>
      <c r="X332" s="4" t="s">
        <v>4528</v>
      </c>
      <c r="Y332" s="4" t="s">
        <v>4488</v>
      </c>
      <c r="Z332" s="4" t="s">
        <v>3618</v>
      </c>
      <c r="AA332" s="3">
        <v>796</v>
      </c>
      <c r="AB332" s="3">
        <v>701</v>
      </c>
      <c r="AC332" s="3">
        <v>827</v>
      </c>
      <c r="AD332" s="3">
        <v>7</v>
      </c>
      <c r="AE332" s="7">
        <v>7</v>
      </c>
      <c r="AF332" s="7">
        <v>54</v>
      </c>
      <c r="AG332" s="7">
        <v>58</v>
      </c>
      <c r="AH332" s="3">
        <v>14</v>
      </c>
      <c r="AI332" s="3">
        <v>16</v>
      </c>
      <c r="AJ332" s="3">
        <v>8</v>
      </c>
      <c r="AK332" s="3">
        <v>10</v>
      </c>
      <c r="AL332" s="3">
        <v>18</v>
      </c>
      <c r="AM332" s="3">
        <v>20</v>
      </c>
      <c r="AN332" s="3">
        <v>4</v>
      </c>
      <c r="AO332" s="3">
        <v>4</v>
      </c>
      <c r="AP332" s="3">
        <v>18</v>
      </c>
      <c r="AQ332" s="3">
        <v>18</v>
      </c>
      <c r="AR332" s="2" t="s">
        <v>5</v>
      </c>
      <c r="AS332" s="2" t="s">
        <v>5</v>
      </c>
      <c r="AU332" s="5" t="str">
        <f>HYPERLINK("https://creighton-primo.hosted.exlibrisgroup.com/primo-explore/search?tab=default_tab&amp;search_scope=EVERYTHING&amp;vid=01CRU&amp;lang=en_US&amp;offset=0&amp;query=any,contains,991001778489702656","Catalog Record")</f>
        <v>Catalog Record</v>
      </c>
      <c r="AV332" s="5" t="str">
        <f>HYPERLINK("http://www.worldcat.org/oclc/169927","WorldCat Record")</f>
        <v>WorldCat Record</v>
      </c>
      <c r="AW332" s="2" t="s">
        <v>4529</v>
      </c>
      <c r="AX332" s="2" t="s">
        <v>4530</v>
      </c>
      <c r="AY332" s="2" t="s">
        <v>4531</v>
      </c>
      <c r="AZ332" s="2" t="s">
        <v>4531</v>
      </c>
      <c r="BA332" s="2" t="s">
        <v>4532</v>
      </c>
      <c r="BB332" s="2" t="s">
        <v>21</v>
      </c>
      <c r="BE332" s="2" t="s">
        <v>4533</v>
      </c>
      <c r="BF332" s="2" t="s">
        <v>4534</v>
      </c>
    </row>
    <row r="333" spans="1:58" ht="39.75" customHeight="1" x14ac:dyDescent="0.25">
      <c r="A333" s="1"/>
      <c r="B333" s="1" t="s">
        <v>0</v>
      </c>
      <c r="C333" s="1" t="s">
        <v>1</v>
      </c>
      <c r="D333" s="1" t="s">
        <v>4535</v>
      </c>
      <c r="E333" s="1" t="s">
        <v>4536</v>
      </c>
      <c r="F333" s="1" t="s">
        <v>4537</v>
      </c>
      <c r="H333" s="2" t="s">
        <v>5</v>
      </c>
      <c r="I333" s="2" t="s">
        <v>6</v>
      </c>
      <c r="J333" s="2" t="s">
        <v>16</v>
      </c>
      <c r="K333" s="2" t="s">
        <v>5</v>
      </c>
      <c r="L333" s="2" t="s">
        <v>7</v>
      </c>
      <c r="M333" s="1" t="s">
        <v>2017</v>
      </c>
      <c r="N333" s="1" t="s">
        <v>4538</v>
      </c>
      <c r="O333" s="2" t="s">
        <v>500</v>
      </c>
      <c r="Q333" s="2" t="s">
        <v>11</v>
      </c>
      <c r="R333" s="2" t="s">
        <v>306</v>
      </c>
      <c r="S333" s="1" t="s">
        <v>4539</v>
      </c>
      <c r="T333" s="2" t="s">
        <v>1367</v>
      </c>
      <c r="U333" s="3">
        <v>4</v>
      </c>
      <c r="V333" s="3">
        <v>6</v>
      </c>
      <c r="W333" s="4" t="s">
        <v>4540</v>
      </c>
      <c r="X333" s="4" t="s">
        <v>4540</v>
      </c>
      <c r="Y333" s="4" t="s">
        <v>4541</v>
      </c>
      <c r="Z333" s="4" t="s">
        <v>4541</v>
      </c>
      <c r="AA333" s="3">
        <v>707</v>
      </c>
      <c r="AB333" s="3">
        <v>621</v>
      </c>
      <c r="AC333" s="3">
        <v>635</v>
      </c>
      <c r="AD333" s="3">
        <v>7</v>
      </c>
      <c r="AE333" s="7">
        <v>7</v>
      </c>
      <c r="AF333" s="7">
        <v>47</v>
      </c>
      <c r="AG333" s="7">
        <v>47</v>
      </c>
      <c r="AH333" s="3">
        <v>8</v>
      </c>
      <c r="AI333" s="3">
        <v>8</v>
      </c>
      <c r="AJ333" s="3">
        <v>8</v>
      </c>
      <c r="AK333" s="3">
        <v>8</v>
      </c>
      <c r="AL333" s="3">
        <v>10</v>
      </c>
      <c r="AM333" s="3">
        <v>10</v>
      </c>
      <c r="AN333" s="3">
        <v>5</v>
      </c>
      <c r="AO333" s="3">
        <v>5</v>
      </c>
      <c r="AP333" s="3">
        <v>22</v>
      </c>
      <c r="AQ333" s="3">
        <v>22</v>
      </c>
      <c r="AR333" s="2" t="s">
        <v>5</v>
      </c>
      <c r="AS333" s="2" t="s">
        <v>16</v>
      </c>
      <c r="AT333" s="5" t="str">
        <f>HYPERLINK("http://catalog.hathitrust.org/Record/000092458","HathiTrust Record")</f>
        <v>HathiTrust Record</v>
      </c>
      <c r="AU333" s="5" t="str">
        <f>HYPERLINK("https://creighton-primo.hosted.exlibrisgroup.com/primo-explore/search?tab=default_tab&amp;search_scope=EVERYTHING&amp;vid=01CRU&amp;lang=en_US&amp;offset=0&amp;query=any,contains,991001786139702656","Catalog Record")</f>
        <v>Catalog Record</v>
      </c>
      <c r="AV333" s="5" t="str">
        <f>HYPERLINK("http://www.worldcat.org/oclc/3631303","WorldCat Record")</f>
        <v>WorldCat Record</v>
      </c>
      <c r="AW333" s="2" t="s">
        <v>4542</v>
      </c>
      <c r="AX333" s="2" t="s">
        <v>4543</v>
      </c>
      <c r="AY333" s="2" t="s">
        <v>4544</v>
      </c>
      <c r="AZ333" s="2" t="s">
        <v>4544</v>
      </c>
      <c r="BA333" s="2" t="s">
        <v>4545</v>
      </c>
      <c r="BB333" s="2" t="s">
        <v>21</v>
      </c>
      <c r="BD333" s="2" t="s">
        <v>4546</v>
      </c>
      <c r="BE333" s="2" t="s">
        <v>4547</v>
      </c>
      <c r="BF333" s="2" t="s">
        <v>4548</v>
      </c>
    </row>
    <row r="334" spans="1:58" ht="39.75" customHeight="1" x14ac:dyDescent="0.25">
      <c r="A334" s="1"/>
      <c r="B334" s="1" t="s">
        <v>0</v>
      </c>
      <c r="C334" s="1" t="s">
        <v>1</v>
      </c>
      <c r="D334" s="1" t="s">
        <v>4549</v>
      </c>
      <c r="E334" s="1" t="s">
        <v>4550</v>
      </c>
      <c r="F334" s="1" t="s">
        <v>4551</v>
      </c>
      <c r="H334" s="2" t="s">
        <v>5</v>
      </c>
      <c r="I334" s="2" t="s">
        <v>6</v>
      </c>
      <c r="J334" s="2" t="s">
        <v>16</v>
      </c>
      <c r="K334" s="2" t="s">
        <v>5</v>
      </c>
      <c r="L334" s="2" t="s">
        <v>7</v>
      </c>
      <c r="M334" s="1" t="s">
        <v>4552</v>
      </c>
      <c r="N334" s="1" t="s">
        <v>4553</v>
      </c>
      <c r="O334" s="2" t="s">
        <v>169</v>
      </c>
      <c r="Q334" s="2" t="s">
        <v>11</v>
      </c>
      <c r="R334" s="2" t="s">
        <v>244</v>
      </c>
      <c r="T334" s="2" t="s">
        <v>1367</v>
      </c>
      <c r="U334" s="3">
        <v>3</v>
      </c>
      <c r="V334" s="3">
        <v>5</v>
      </c>
      <c r="W334" s="4" t="s">
        <v>4528</v>
      </c>
      <c r="X334" s="4" t="s">
        <v>4528</v>
      </c>
      <c r="Y334" s="4" t="s">
        <v>4554</v>
      </c>
      <c r="Z334" s="4" t="s">
        <v>4554</v>
      </c>
      <c r="AA334" s="3">
        <v>697</v>
      </c>
      <c r="AB334" s="3">
        <v>633</v>
      </c>
      <c r="AC334" s="3">
        <v>681</v>
      </c>
      <c r="AD334" s="3">
        <v>5</v>
      </c>
      <c r="AE334" s="7">
        <v>5</v>
      </c>
      <c r="AF334" s="7">
        <v>49</v>
      </c>
      <c r="AG334" s="7">
        <v>50</v>
      </c>
      <c r="AH334" s="3">
        <v>15</v>
      </c>
      <c r="AI334" s="3">
        <v>15</v>
      </c>
      <c r="AJ334" s="3">
        <v>5</v>
      </c>
      <c r="AK334" s="3">
        <v>6</v>
      </c>
      <c r="AL334" s="3">
        <v>13</v>
      </c>
      <c r="AM334" s="3">
        <v>13</v>
      </c>
      <c r="AN334" s="3">
        <v>2</v>
      </c>
      <c r="AO334" s="3">
        <v>2</v>
      </c>
      <c r="AP334" s="3">
        <v>23</v>
      </c>
      <c r="AQ334" s="3">
        <v>23</v>
      </c>
      <c r="AR334" s="2" t="s">
        <v>5</v>
      </c>
      <c r="AS334" s="2" t="s">
        <v>16</v>
      </c>
      <c r="AT334" s="5" t="str">
        <f>HYPERLINK("http://catalog.hathitrust.org/Record/002508703","HathiTrust Record")</f>
        <v>HathiTrust Record</v>
      </c>
      <c r="AU334" s="5" t="str">
        <f>HYPERLINK("https://creighton-primo.hosted.exlibrisgroup.com/primo-explore/search?tab=default_tab&amp;search_scope=EVERYTHING&amp;vid=01CRU&amp;lang=en_US&amp;offset=0&amp;query=any,contains,991001648799702656","Catalog Record")</f>
        <v>Catalog Record</v>
      </c>
      <c r="AV334" s="5" t="str">
        <f>HYPERLINK("http://www.worldcat.org/oclc/23693311","WorldCat Record")</f>
        <v>WorldCat Record</v>
      </c>
      <c r="AW334" s="2" t="s">
        <v>4555</v>
      </c>
      <c r="AX334" s="2" t="s">
        <v>4556</v>
      </c>
      <c r="AY334" s="2" t="s">
        <v>4557</v>
      </c>
      <c r="AZ334" s="2" t="s">
        <v>4557</v>
      </c>
      <c r="BA334" s="2" t="s">
        <v>4558</v>
      </c>
      <c r="BB334" s="2" t="s">
        <v>21</v>
      </c>
      <c r="BD334" s="2" t="s">
        <v>4559</v>
      </c>
      <c r="BE334" s="2" t="s">
        <v>4560</v>
      </c>
      <c r="BF334" s="2" t="s">
        <v>4561</v>
      </c>
    </row>
    <row r="335" spans="1:58" ht="39.75" customHeight="1" x14ac:dyDescent="0.25">
      <c r="A335" s="1"/>
      <c r="B335" s="1" t="s">
        <v>0</v>
      </c>
      <c r="C335" s="1" t="s">
        <v>1</v>
      </c>
      <c r="D335" s="1" t="s">
        <v>4562</v>
      </c>
      <c r="E335" s="1" t="s">
        <v>4563</v>
      </c>
      <c r="F335" s="1" t="s">
        <v>4564</v>
      </c>
      <c r="H335" s="2" t="s">
        <v>5</v>
      </c>
      <c r="I335" s="2" t="s">
        <v>6</v>
      </c>
      <c r="J335" s="2" t="s">
        <v>16</v>
      </c>
      <c r="K335" s="2" t="s">
        <v>5</v>
      </c>
      <c r="L335" s="2" t="s">
        <v>7</v>
      </c>
      <c r="M335" s="1" t="s">
        <v>4565</v>
      </c>
      <c r="N335" s="1" t="s">
        <v>4566</v>
      </c>
      <c r="O335" s="2" t="s">
        <v>29</v>
      </c>
      <c r="Q335" s="2" t="s">
        <v>11</v>
      </c>
      <c r="R335" s="2" t="s">
        <v>501</v>
      </c>
      <c r="T335" s="2" t="s">
        <v>1367</v>
      </c>
      <c r="U335" s="3">
        <v>4</v>
      </c>
      <c r="V335" s="3">
        <v>6</v>
      </c>
      <c r="W335" s="4" t="s">
        <v>4567</v>
      </c>
      <c r="X335" s="4" t="s">
        <v>4568</v>
      </c>
      <c r="Y335" s="4" t="s">
        <v>4541</v>
      </c>
      <c r="Z335" s="4" t="s">
        <v>4541</v>
      </c>
      <c r="AA335" s="3">
        <v>615</v>
      </c>
      <c r="AB335" s="3">
        <v>565</v>
      </c>
      <c r="AC335" s="3">
        <v>581</v>
      </c>
      <c r="AD335" s="3">
        <v>4</v>
      </c>
      <c r="AE335" s="7">
        <v>4</v>
      </c>
      <c r="AF335" s="7">
        <v>40</v>
      </c>
      <c r="AG335" s="7">
        <v>41</v>
      </c>
      <c r="AH335" s="3">
        <v>6</v>
      </c>
      <c r="AI335" s="3">
        <v>6</v>
      </c>
      <c r="AJ335" s="3">
        <v>6</v>
      </c>
      <c r="AK335" s="3">
        <v>6</v>
      </c>
      <c r="AL335" s="3">
        <v>11</v>
      </c>
      <c r="AM335" s="3">
        <v>11</v>
      </c>
      <c r="AN335" s="3">
        <v>2</v>
      </c>
      <c r="AO335" s="3">
        <v>2</v>
      </c>
      <c r="AP335" s="3">
        <v>21</v>
      </c>
      <c r="AQ335" s="3">
        <v>22</v>
      </c>
      <c r="AR335" s="2" t="s">
        <v>5</v>
      </c>
      <c r="AS335" s="2" t="s">
        <v>5</v>
      </c>
      <c r="AU335" s="5" t="str">
        <f>HYPERLINK("https://creighton-primo.hosted.exlibrisgroup.com/primo-explore/search?tab=default_tab&amp;search_scope=EVERYTHING&amp;vid=01CRU&amp;lang=en_US&amp;offset=0&amp;query=any,contains,991001812249702656","Catalog Record")</f>
        <v>Catalog Record</v>
      </c>
      <c r="AV335" s="5" t="str">
        <f>HYPERLINK("http://www.worldcat.org/oclc/5751474","WorldCat Record")</f>
        <v>WorldCat Record</v>
      </c>
      <c r="AW335" s="2" t="s">
        <v>4569</v>
      </c>
      <c r="AX335" s="2" t="s">
        <v>4570</v>
      </c>
      <c r="AY335" s="2" t="s">
        <v>4571</v>
      </c>
      <c r="AZ335" s="2" t="s">
        <v>4571</v>
      </c>
      <c r="BA335" s="2" t="s">
        <v>4572</v>
      </c>
      <c r="BB335" s="2" t="s">
        <v>21</v>
      </c>
      <c r="BD335" s="2" t="s">
        <v>4573</v>
      </c>
      <c r="BE335" s="2" t="s">
        <v>4574</v>
      </c>
      <c r="BF335" s="2" t="s">
        <v>4575</v>
      </c>
    </row>
    <row r="336" spans="1:58" ht="39.75" customHeight="1" x14ac:dyDescent="0.25">
      <c r="A336" s="1"/>
      <c r="B336" s="1" t="s">
        <v>0</v>
      </c>
      <c r="C336" s="1" t="s">
        <v>1</v>
      </c>
      <c r="D336" s="1" t="s">
        <v>4576</v>
      </c>
      <c r="E336" s="1" t="s">
        <v>4577</v>
      </c>
      <c r="F336" s="1" t="s">
        <v>4578</v>
      </c>
      <c r="H336" s="2" t="s">
        <v>5</v>
      </c>
      <c r="I336" s="2" t="s">
        <v>6</v>
      </c>
      <c r="J336" s="2" t="s">
        <v>16</v>
      </c>
      <c r="K336" s="2" t="s">
        <v>5</v>
      </c>
      <c r="L336" s="2" t="s">
        <v>7</v>
      </c>
      <c r="M336" s="1" t="s">
        <v>4579</v>
      </c>
      <c r="N336" s="1" t="s">
        <v>4580</v>
      </c>
      <c r="O336" s="2" t="s">
        <v>45</v>
      </c>
      <c r="P336" s="1" t="s">
        <v>229</v>
      </c>
      <c r="Q336" s="2" t="s">
        <v>11</v>
      </c>
      <c r="R336" s="2" t="s">
        <v>76</v>
      </c>
      <c r="T336" s="2" t="s">
        <v>1367</v>
      </c>
      <c r="U336" s="3">
        <v>5</v>
      </c>
      <c r="V336" s="3">
        <v>9</v>
      </c>
      <c r="W336" s="4" t="s">
        <v>4581</v>
      </c>
      <c r="X336" s="4" t="s">
        <v>4581</v>
      </c>
      <c r="Y336" s="4" t="s">
        <v>4582</v>
      </c>
      <c r="Z336" s="4" t="s">
        <v>4582</v>
      </c>
      <c r="AA336" s="3">
        <v>1118</v>
      </c>
      <c r="AB336" s="3">
        <v>1054</v>
      </c>
      <c r="AC336" s="3">
        <v>1132</v>
      </c>
      <c r="AD336" s="3">
        <v>8</v>
      </c>
      <c r="AE336" s="7">
        <v>8</v>
      </c>
      <c r="AF336" s="7">
        <v>49</v>
      </c>
      <c r="AG336" s="7">
        <v>49</v>
      </c>
      <c r="AH336" s="3">
        <v>10</v>
      </c>
      <c r="AI336" s="3">
        <v>10</v>
      </c>
      <c r="AJ336" s="3">
        <v>5</v>
      </c>
      <c r="AK336" s="3">
        <v>5</v>
      </c>
      <c r="AL336" s="3">
        <v>14</v>
      </c>
      <c r="AM336" s="3">
        <v>14</v>
      </c>
      <c r="AN336" s="3">
        <v>3</v>
      </c>
      <c r="AO336" s="3">
        <v>3</v>
      </c>
      <c r="AP336" s="3">
        <v>23</v>
      </c>
      <c r="AQ336" s="3">
        <v>23</v>
      </c>
      <c r="AR336" s="2" t="s">
        <v>5</v>
      </c>
      <c r="AS336" s="2" t="s">
        <v>16</v>
      </c>
      <c r="AT336" s="5" t="str">
        <f>HYPERLINK("http://catalog.hathitrust.org/Record/000652141","HathiTrust Record")</f>
        <v>HathiTrust Record</v>
      </c>
      <c r="AU336" s="5" t="str">
        <f>HYPERLINK("https://creighton-primo.hosted.exlibrisgroup.com/primo-explore/search?tab=default_tab&amp;search_scope=EVERYTHING&amp;vid=01CRU&amp;lang=en_US&amp;offset=0&amp;query=any,contains,991001629979702656","Catalog Record")</f>
        <v>Catalog Record</v>
      </c>
      <c r="AV336" s="5" t="str">
        <f>HYPERLINK("http://www.worldcat.org/oclc/11842466","WorldCat Record")</f>
        <v>WorldCat Record</v>
      </c>
      <c r="AW336" s="2" t="s">
        <v>4583</v>
      </c>
      <c r="AX336" s="2" t="s">
        <v>4584</v>
      </c>
      <c r="AY336" s="2" t="s">
        <v>4585</v>
      </c>
      <c r="AZ336" s="2" t="s">
        <v>4585</v>
      </c>
      <c r="BA336" s="2" t="s">
        <v>4586</v>
      </c>
      <c r="BB336" s="2" t="s">
        <v>21</v>
      </c>
      <c r="BD336" s="2" t="s">
        <v>4587</v>
      </c>
      <c r="BE336" s="2" t="s">
        <v>4588</v>
      </c>
      <c r="BF336" s="2" t="s">
        <v>4589</v>
      </c>
    </row>
    <row r="337" spans="1:58" ht="39.75" customHeight="1" x14ac:dyDescent="0.25">
      <c r="A337" s="1"/>
      <c r="B337" s="1" t="s">
        <v>0</v>
      </c>
      <c r="C337" s="1" t="s">
        <v>1</v>
      </c>
      <c r="D337" s="1" t="s">
        <v>4590</v>
      </c>
      <c r="E337" s="1" t="s">
        <v>4591</v>
      </c>
      <c r="F337" s="1" t="s">
        <v>4592</v>
      </c>
      <c r="H337" s="2" t="s">
        <v>5</v>
      </c>
      <c r="I337" s="2" t="s">
        <v>6</v>
      </c>
      <c r="J337" s="2" t="s">
        <v>5</v>
      </c>
      <c r="K337" s="2" t="s">
        <v>16</v>
      </c>
      <c r="L337" s="2" t="s">
        <v>7</v>
      </c>
      <c r="M337" s="1" t="s">
        <v>4593</v>
      </c>
      <c r="N337" s="1" t="s">
        <v>4594</v>
      </c>
      <c r="O337" s="2" t="s">
        <v>500</v>
      </c>
      <c r="Q337" s="2" t="s">
        <v>11</v>
      </c>
      <c r="R337" s="2" t="s">
        <v>76</v>
      </c>
      <c r="T337" s="2" t="s">
        <v>1367</v>
      </c>
      <c r="U337" s="3">
        <v>2</v>
      </c>
      <c r="V337" s="3">
        <v>2</v>
      </c>
      <c r="W337" s="4" t="s">
        <v>4595</v>
      </c>
      <c r="X337" s="4" t="s">
        <v>4595</v>
      </c>
      <c r="Y337" s="4" t="s">
        <v>2126</v>
      </c>
      <c r="Z337" s="4" t="s">
        <v>2126</v>
      </c>
      <c r="AA337" s="3">
        <v>497</v>
      </c>
      <c r="AB337" s="3">
        <v>463</v>
      </c>
      <c r="AC337" s="3">
        <v>779</v>
      </c>
      <c r="AD337" s="3">
        <v>5</v>
      </c>
      <c r="AE337" s="7">
        <v>10</v>
      </c>
      <c r="AF337" s="7">
        <v>31</v>
      </c>
      <c r="AG337" s="7">
        <v>49</v>
      </c>
      <c r="AH337" s="3">
        <v>4</v>
      </c>
      <c r="AI337" s="3">
        <v>8</v>
      </c>
      <c r="AJ337" s="3">
        <v>2</v>
      </c>
      <c r="AK337" s="3">
        <v>3</v>
      </c>
      <c r="AL337" s="3">
        <v>9</v>
      </c>
      <c r="AM337" s="3">
        <v>13</v>
      </c>
      <c r="AN337" s="3">
        <v>4</v>
      </c>
      <c r="AO337" s="3">
        <v>7</v>
      </c>
      <c r="AP337" s="3">
        <v>13</v>
      </c>
      <c r="AQ337" s="3">
        <v>21</v>
      </c>
      <c r="AR337" s="2" t="s">
        <v>5</v>
      </c>
      <c r="AS337" s="2" t="s">
        <v>5</v>
      </c>
      <c r="AU337" s="5" t="str">
        <f>HYPERLINK("https://creighton-primo.hosted.exlibrisgroup.com/primo-explore/search?tab=default_tab&amp;search_scope=EVERYTHING&amp;vid=01CRU&amp;lang=en_US&amp;offset=0&amp;query=any,contains,991004412059702656","Catalog Record")</f>
        <v>Catalog Record</v>
      </c>
      <c r="AV337" s="5" t="str">
        <f>HYPERLINK("http://www.worldcat.org/oclc/3345960","WorldCat Record")</f>
        <v>WorldCat Record</v>
      </c>
      <c r="AW337" s="2" t="s">
        <v>4596</v>
      </c>
      <c r="AX337" s="2" t="s">
        <v>4597</v>
      </c>
      <c r="AY337" s="2" t="s">
        <v>4598</v>
      </c>
      <c r="AZ337" s="2" t="s">
        <v>4598</v>
      </c>
      <c r="BA337" s="2" t="s">
        <v>4599</v>
      </c>
      <c r="BB337" s="2" t="s">
        <v>21</v>
      </c>
      <c r="BD337" s="2" t="s">
        <v>4600</v>
      </c>
      <c r="BE337" s="2" t="s">
        <v>4601</v>
      </c>
      <c r="BF337" s="2" t="s">
        <v>4602</v>
      </c>
    </row>
    <row r="338" spans="1:58" ht="39.75" customHeight="1" x14ac:dyDescent="0.25">
      <c r="A338" s="1"/>
      <c r="B338" s="1" t="s">
        <v>0</v>
      </c>
      <c r="C338" s="1" t="s">
        <v>1</v>
      </c>
      <c r="D338" s="1" t="s">
        <v>4603</v>
      </c>
      <c r="E338" s="1" t="s">
        <v>4604</v>
      </c>
      <c r="F338" s="1" t="s">
        <v>4605</v>
      </c>
      <c r="H338" s="2" t="s">
        <v>5</v>
      </c>
      <c r="I338" s="2" t="s">
        <v>6</v>
      </c>
      <c r="J338" s="2" t="s">
        <v>5</v>
      </c>
      <c r="K338" s="2" t="s">
        <v>5</v>
      </c>
      <c r="L338" s="2" t="s">
        <v>7</v>
      </c>
      <c r="M338" s="1" t="s">
        <v>4606</v>
      </c>
      <c r="N338" s="1" t="s">
        <v>4607</v>
      </c>
      <c r="O338" s="2" t="s">
        <v>259</v>
      </c>
      <c r="Q338" s="2" t="s">
        <v>11</v>
      </c>
      <c r="R338" s="2" t="s">
        <v>46</v>
      </c>
      <c r="S338" s="1" t="s">
        <v>4608</v>
      </c>
      <c r="T338" s="2" t="s">
        <v>1367</v>
      </c>
      <c r="U338" s="3">
        <v>4</v>
      </c>
      <c r="V338" s="3">
        <v>4</v>
      </c>
      <c r="W338" s="4" t="s">
        <v>4609</v>
      </c>
      <c r="X338" s="4" t="s">
        <v>4609</v>
      </c>
      <c r="Y338" s="4" t="s">
        <v>4541</v>
      </c>
      <c r="Z338" s="4" t="s">
        <v>4541</v>
      </c>
      <c r="AA338" s="3">
        <v>956</v>
      </c>
      <c r="AB338" s="3">
        <v>864</v>
      </c>
      <c r="AC338" s="3">
        <v>874</v>
      </c>
      <c r="AD338" s="3">
        <v>4</v>
      </c>
      <c r="AE338" s="7">
        <v>4</v>
      </c>
      <c r="AF338" s="7">
        <v>48</v>
      </c>
      <c r="AG338" s="7">
        <v>48</v>
      </c>
      <c r="AH338" s="3">
        <v>17</v>
      </c>
      <c r="AI338" s="3">
        <v>17</v>
      </c>
      <c r="AJ338" s="3">
        <v>6</v>
      </c>
      <c r="AK338" s="3">
        <v>6</v>
      </c>
      <c r="AL338" s="3">
        <v>15</v>
      </c>
      <c r="AM338" s="3">
        <v>15</v>
      </c>
      <c r="AN338" s="3">
        <v>3</v>
      </c>
      <c r="AO338" s="3">
        <v>3</v>
      </c>
      <c r="AP338" s="3">
        <v>16</v>
      </c>
      <c r="AQ338" s="3">
        <v>16</v>
      </c>
      <c r="AR338" s="2" t="s">
        <v>5</v>
      </c>
      <c r="AS338" s="2" t="s">
        <v>16</v>
      </c>
      <c r="AT338" s="5" t="str">
        <f>HYPERLINK("http://catalog.hathitrust.org/Record/000905988","HathiTrust Record")</f>
        <v>HathiTrust Record</v>
      </c>
      <c r="AU338" s="5" t="str">
        <f>HYPERLINK("https://creighton-primo.hosted.exlibrisgroup.com/primo-explore/search?tab=default_tab&amp;search_scope=EVERYTHING&amp;vid=01CRU&amp;lang=en_US&amp;offset=0&amp;query=any,contains,991001173019702656","Catalog Record")</f>
        <v>Catalog Record</v>
      </c>
      <c r="AV338" s="5" t="str">
        <f>HYPERLINK("http://www.worldcat.org/oclc/16982371","WorldCat Record")</f>
        <v>WorldCat Record</v>
      </c>
      <c r="AW338" s="2" t="s">
        <v>4610</v>
      </c>
      <c r="AX338" s="2" t="s">
        <v>4611</v>
      </c>
      <c r="AY338" s="2" t="s">
        <v>4612</v>
      </c>
      <c r="AZ338" s="2" t="s">
        <v>4612</v>
      </c>
      <c r="BA338" s="2" t="s">
        <v>4613</v>
      </c>
      <c r="BB338" s="2" t="s">
        <v>21</v>
      </c>
      <c r="BD338" s="2" t="s">
        <v>4614</v>
      </c>
      <c r="BE338" s="2" t="s">
        <v>4615</v>
      </c>
      <c r="BF338" s="2" t="s">
        <v>4616</v>
      </c>
    </row>
    <row r="339" spans="1:58" ht="39.75" customHeight="1" x14ac:dyDescent="0.25">
      <c r="A339" s="1"/>
      <c r="B339" s="1" t="s">
        <v>0</v>
      </c>
      <c r="C339" s="1" t="s">
        <v>1</v>
      </c>
      <c r="D339" s="1" t="s">
        <v>4617</v>
      </c>
      <c r="E339" s="1" t="s">
        <v>4618</v>
      </c>
      <c r="F339" s="1" t="s">
        <v>4619</v>
      </c>
      <c r="H339" s="2" t="s">
        <v>5</v>
      </c>
      <c r="I339" s="2" t="s">
        <v>6</v>
      </c>
      <c r="J339" s="2" t="s">
        <v>16</v>
      </c>
      <c r="K339" s="2" t="s">
        <v>5</v>
      </c>
      <c r="L339" s="2" t="s">
        <v>7</v>
      </c>
      <c r="M339" s="1" t="s">
        <v>4620</v>
      </c>
      <c r="N339" s="1" t="s">
        <v>4621</v>
      </c>
      <c r="O339" s="2" t="s">
        <v>291</v>
      </c>
      <c r="Q339" s="2" t="s">
        <v>11</v>
      </c>
      <c r="R339" s="2" t="s">
        <v>501</v>
      </c>
      <c r="T339" s="2" t="s">
        <v>1367</v>
      </c>
      <c r="U339" s="3">
        <v>2</v>
      </c>
      <c r="V339" s="3">
        <v>3</v>
      </c>
      <c r="X339" s="4" t="s">
        <v>4622</v>
      </c>
      <c r="Y339" s="4" t="s">
        <v>4623</v>
      </c>
      <c r="Z339" s="4" t="s">
        <v>4623</v>
      </c>
      <c r="AA339" s="3">
        <v>821</v>
      </c>
      <c r="AB339" s="3">
        <v>778</v>
      </c>
      <c r="AC339" s="3">
        <v>790</v>
      </c>
      <c r="AD339" s="3">
        <v>5</v>
      </c>
      <c r="AE339" s="7">
        <v>5</v>
      </c>
      <c r="AF339" s="7">
        <v>48</v>
      </c>
      <c r="AG339" s="7">
        <v>48</v>
      </c>
      <c r="AH339" s="3">
        <v>17</v>
      </c>
      <c r="AI339" s="3">
        <v>17</v>
      </c>
      <c r="AJ339" s="3">
        <v>6</v>
      </c>
      <c r="AK339" s="3">
        <v>6</v>
      </c>
      <c r="AL339" s="3">
        <v>16</v>
      </c>
      <c r="AM339" s="3">
        <v>16</v>
      </c>
      <c r="AN339" s="3">
        <v>3</v>
      </c>
      <c r="AO339" s="3">
        <v>3</v>
      </c>
      <c r="AP339" s="3">
        <v>16</v>
      </c>
      <c r="AQ339" s="3">
        <v>16</v>
      </c>
      <c r="AR339" s="2" t="s">
        <v>5</v>
      </c>
      <c r="AS339" s="2" t="s">
        <v>5</v>
      </c>
      <c r="AU339" s="5" t="str">
        <f>HYPERLINK("https://creighton-primo.hosted.exlibrisgroup.com/primo-explore/search?tab=default_tab&amp;search_scope=EVERYTHING&amp;vid=01CRU&amp;lang=en_US&amp;offset=0&amp;query=any,contains,991001679719702656","Catalog Record")</f>
        <v>Catalog Record</v>
      </c>
      <c r="AV339" s="5" t="str">
        <f>HYPERLINK("http://www.worldcat.org/oclc/41090868","WorldCat Record")</f>
        <v>WorldCat Record</v>
      </c>
      <c r="AW339" s="2" t="s">
        <v>4624</v>
      </c>
      <c r="AX339" s="2" t="s">
        <v>4625</v>
      </c>
      <c r="AY339" s="2" t="s">
        <v>4626</v>
      </c>
      <c r="AZ339" s="2" t="s">
        <v>4626</v>
      </c>
      <c r="BA339" s="2" t="s">
        <v>4627</v>
      </c>
      <c r="BB339" s="2" t="s">
        <v>21</v>
      </c>
      <c r="BD339" s="2" t="s">
        <v>4628</v>
      </c>
      <c r="BE339" s="2" t="s">
        <v>4629</v>
      </c>
      <c r="BF339" s="2" t="s">
        <v>4630</v>
      </c>
    </row>
    <row r="340" spans="1:58" ht="39.75" customHeight="1" x14ac:dyDescent="0.25">
      <c r="A340" s="1"/>
      <c r="B340" s="1" t="s">
        <v>0</v>
      </c>
      <c r="C340" s="1" t="s">
        <v>1</v>
      </c>
      <c r="D340" s="1" t="s">
        <v>4631</v>
      </c>
      <c r="E340" s="1" t="s">
        <v>4632</v>
      </c>
      <c r="F340" s="1" t="s">
        <v>4633</v>
      </c>
      <c r="H340" s="2" t="s">
        <v>5</v>
      </c>
      <c r="I340" s="2" t="s">
        <v>6</v>
      </c>
      <c r="J340" s="2" t="s">
        <v>16</v>
      </c>
      <c r="K340" s="2" t="s">
        <v>5</v>
      </c>
      <c r="L340" s="2" t="s">
        <v>7</v>
      </c>
      <c r="N340" s="1" t="s">
        <v>4634</v>
      </c>
      <c r="O340" s="2" t="s">
        <v>1745</v>
      </c>
      <c r="Q340" s="2" t="s">
        <v>11</v>
      </c>
      <c r="R340" s="2" t="s">
        <v>1977</v>
      </c>
      <c r="S340" s="1" t="s">
        <v>4635</v>
      </c>
      <c r="T340" s="2" t="s">
        <v>1367</v>
      </c>
      <c r="U340" s="3">
        <v>6</v>
      </c>
      <c r="V340" s="3">
        <v>7</v>
      </c>
      <c r="W340" s="4" t="s">
        <v>4636</v>
      </c>
      <c r="X340" s="4" t="s">
        <v>4637</v>
      </c>
      <c r="Y340" s="4" t="s">
        <v>4638</v>
      </c>
      <c r="Z340" s="4" t="s">
        <v>4639</v>
      </c>
      <c r="AA340" s="3">
        <v>689</v>
      </c>
      <c r="AB340" s="3">
        <v>638</v>
      </c>
      <c r="AC340" s="3">
        <v>659</v>
      </c>
      <c r="AD340" s="3">
        <v>7</v>
      </c>
      <c r="AE340" s="7">
        <v>7</v>
      </c>
      <c r="AF340" s="7">
        <v>54</v>
      </c>
      <c r="AG340" s="7">
        <v>54</v>
      </c>
      <c r="AH340" s="3">
        <v>17</v>
      </c>
      <c r="AI340" s="3">
        <v>17</v>
      </c>
      <c r="AJ340" s="3">
        <v>7</v>
      </c>
      <c r="AK340" s="3">
        <v>7</v>
      </c>
      <c r="AL340" s="3">
        <v>12</v>
      </c>
      <c r="AM340" s="3">
        <v>12</v>
      </c>
      <c r="AN340" s="3">
        <v>5</v>
      </c>
      <c r="AO340" s="3">
        <v>5</v>
      </c>
      <c r="AP340" s="3">
        <v>21</v>
      </c>
      <c r="AQ340" s="3">
        <v>21</v>
      </c>
      <c r="AR340" s="2" t="s">
        <v>5</v>
      </c>
      <c r="AS340" s="2" t="s">
        <v>5</v>
      </c>
      <c r="AU340" s="5" t="str">
        <f>HYPERLINK("https://creighton-primo.hosted.exlibrisgroup.com/primo-explore/search?tab=default_tab&amp;search_scope=EVERYTHING&amp;vid=01CRU&amp;lang=en_US&amp;offset=0&amp;query=any,contains,991001657529702656","Catalog Record")</f>
        <v>Catalog Record</v>
      </c>
      <c r="AV340" s="5" t="str">
        <f>HYPERLINK("http://www.worldcat.org/oclc/27726414","WorldCat Record")</f>
        <v>WorldCat Record</v>
      </c>
      <c r="AW340" s="2" t="s">
        <v>4640</v>
      </c>
      <c r="AX340" s="2" t="s">
        <v>4641</v>
      </c>
      <c r="AY340" s="2" t="s">
        <v>4642</v>
      </c>
      <c r="AZ340" s="2" t="s">
        <v>4642</v>
      </c>
      <c r="BA340" s="2" t="s">
        <v>4643</v>
      </c>
      <c r="BB340" s="2" t="s">
        <v>21</v>
      </c>
      <c r="BD340" s="2" t="s">
        <v>4644</v>
      </c>
      <c r="BE340" s="2" t="s">
        <v>4645</v>
      </c>
      <c r="BF340" s="2" t="s">
        <v>4646</v>
      </c>
    </row>
    <row r="341" spans="1:58" ht="39.75" customHeight="1" x14ac:dyDescent="0.25">
      <c r="A341" s="1"/>
      <c r="B341" s="1" t="s">
        <v>0</v>
      </c>
      <c r="C341" s="1" t="s">
        <v>1</v>
      </c>
      <c r="D341" s="1" t="s">
        <v>4647</v>
      </c>
      <c r="E341" s="1" t="s">
        <v>4648</v>
      </c>
      <c r="F341" s="1" t="s">
        <v>4649</v>
      </c>
      <c r="H341" s="2" t="s">
        <v>5</v>
      </c>
      <c r="I341" s="2" t="s">
        <v>6</v>
      </c>
      <c r="J341" s="2" t="s">
        <v>5</v>
      </c>
      <c r="K341" s="2" t="s">
        <v>5</v>
      </c>
      <c r="L341" s="2" t="s">
        <v>7</v>
      </c>
      <c r="M341" s="1" t="s">
        <v>4485</v>
      </c>
      <c r="N341" s="1" t="s">
        <v>4650</v>
      </c>
      <c r="O341" s="2" t="s">
        <v>387</v>
      </c>
      <c r="P341" s="1" t="s">
        <v>229</v>
      </c>
      <c r="Q341" s="2" t="s">
        <v>11</v>
      </c>
      <c r="R341" s="2" t="s">
        <v>76</v>
      </c>
      <c r="T341" s="2" t="s">
        <v>1367</v>
      </c>
      <c r="U341" s="3">
        <v>1</v>
      </c>
      <c r="V341" s="3">
        <v>1</v>
      </c>
      <c r="W341" s="4" t="s">
        <v>4636</v>
      </c>
      <c r="X341" s="4" t="s">
        <v>4636</v>
      </c>
      <c r="Y341" s="4" t="s">
        <v>4541</v>
      </c>
      <c r="Z341" s="4" t="s">
        <v>4541</v>
      </c>
      <c r="AA341" s="3">
        <v>907</v>
      </c>
      <c r="AB341" s="3">
        <v>837</v>
      </c>
      <c r="AC341" s="3">
        <v>905</v>
      </c>
      <c r="AD341" s="3">
        <v>7</v>
      </c>
      <c r="AE341" s="7">
        <v>7</v>
      </c>
      <c r="AF341" s="7">
        <v>50</v>
      </c>
      <c r="AG341" s="7">
        <v>55</v>
      </c>
      <c r="AH341" s="3">
        <v>14</v>
      </c>
      <c r="AI341" s="3">
        <v>15</v>
      </c>
      <c r="AJ341" s="3">
        <v>7</v>
      </c>
      <c r="AK341" s="3">
        <v>7</v>
      </c>
      <c r="AL341" s="3">
        <v>15</v>
      </c>
      <c r="AM341" s="3">
        <v>16</v>
      </c>
      <c r="AN341" s="3">
        <v>4</v>
      </c>
      <c r="AO341" s="3">
        <v>4</v>
      </c>
      <c r="AP341" s="3">
        <v>18</v>
      </c>
      <c r="AQ341" s="3">
        <v>22</v>
      </c>
      <c r="AR341" s="2" t="s">
        <v>5</v>
      </c>
      <c r="AS341" s="2" t="s">
        <v>16</v>
      </c>
      <c r="AT341" s="5" t="str">
        <f>HYPERLINK("http://catalog.hathitrust.org/Record/000284306","HathiTrust Record")</f>
        <v>HathiTrust Record</v>
      </c>
      <c r="AU341" s="5" t="str">
        <f>HYPERLINK("https://creighton-primo.hosted.exlibrisgroup.com/primo-explore/search?tab=default_tab&amp;search_scope=EVERYTHING&amp;vid=01CRU&amp;lang=en_US&amp;offset=0&amp;query=any,contains,991000265849702656","Catalog Record")</f>
        <v>Catalog Record</v>
      </c>
      <c r="AV341" s="5" t="str">
        <f>HYPERLINK("http://www.worldcat.org/oclc/9829642","WorldCat Record")</f>
        <v>WorldCat Record</v>
      </c>
      <c r="AW341" s="2" t="s">
        <v>4651</v>
      </c>
      <c r="AX341" s="2" t="s">
        <v>4652</v>
      </c>
      <c r="AY341" s="2" t="s">
        <v>4653</v>
      </c>
      <c r="AZ341" s="2" t="s">
        <v>4653</v>
      </c>
      <c r="BA341" s="2" t="s">
        <v>4654</v>
      </c>
      <c r="BB341" s="2" t="s">
        <v>21</v>
      </c>
      <c r="BD341" s="2" t="s">
        <v>4655</v>
      </c>
      <c r="BE341" s="2" t="s">
        <v>4656</v>
      </c>
      <c r="BF341" s="2" t="s">
        <v>4657</v>
      </c>
    </row>
    <row r="342" spans="1:58" ht="39.75" customHeight="1" x14ac:dyDescent="0.25">
      <c r="A342" s="1"/>
      <c r="B342" s="1" t="s">
        <v>0</v>
      </c>
      <c r="C342" s="1" t="s">
        <v>1</v>
      </c>
      <c r="D342" s="1" t="s">
        <v>4658</v>
      </c>
      <c r="E342" s="1" t="s">
        <v>4659</v>
      </c>
      <c r="F342" s="1" t="s">
        <v>4660</v>
      </c>
      <c r="H342" s="2" t="s">
        <v>5</v>
      </c>
      <c r="I342" s="2" t="s">
        <v>6</v>
      </c>
      <c r="J342" s="2" t="s">
        <v>16</v>
      </c>
      <c r="K342" s="2" t="s">
        <v>5</v>
      </c>
      <c r="L342" s="2" t="s">
        <v>7</v>
      </c>
      <c r="M342" s="1" t="s">
        <v>4661</v>
      </c>
      <c r="N342" s="1" t="s">
        <v>4662</v>
      </c>
      <c r="O342" s="2" t="s">
        <v>259</v>
      </c>
      <c r="Q342" s="2" t="s">
        <v>11</v>
      </c>
      <c r="R342" s="2" t="s">
        <v>903</v>
      </c>
      <c r="T342" s="2" t="s">
        <v>1367</v>
      </c>
      <c r="U342" s="3">
        <v>4</v>
      </c>
      <c r="V342" s="3">
        <v>8</v>
      </c>
      <c r="W342" s="4" t="s">
        <v>4663</v>
      </c>
      <c r="X342" s="4" t="s">
        <v>4664</v>
      </c>
      <c r="Y342" s="4" t="s">
        <v>4541</v>
      </c>
      <c r="Z342" s="4" t="s">
        <v>4541</v>
      </c>
      <c r="AA342" s="3">
        <v>535</v>
      </c>
      <c r="AB342" s="3">
        <v>474</v>
      </c>
      <c r="AC342" s="3">
        <v>474</v>
      </c>
      <c r="AD342" s="3">
        <v>2</v>
      </c>
      <c r="AE342" s="7">
        <v>2</v>
      </c>
      <c r="AF342" s="7">
        <v>37</v>
      </c>
      <c r="AG342" s="7">
        <v>37</v>
      </c>
      <c r="AH342" s="3">
        <v>7</v>
      </c>
      <c r="AI342" s="3">
        <v>7</v>
      </c>
      <c r="AJ342" s="3">
        <v>5</v>
      </c>
      <c r="AK342" s="3">
        <v>5</v>
      </c>
      <c r="AL342" s="3">
        <v>8</v>
      </c>
      <c r="AM342" s="3">
        <v>8</v>
      </c>
      <c r="AN342" s="3">
        <v>0</v>
      </c>
      <c r="AO342" s="3">
        <v>0</v>
      </c>
      <c r="AP342" s="3">
        <v>21</v>
      </c>
      <c r="AQ342" s="3">
        <v>21</v>
      </c>
      <c r="AR342" s="2" t="s">
        <v>5</v>
      </c>
      <c r="AS342" s="2" t="s">
        <v>5</v>
      </c>
      <c r="AU342" s="5" t="str">
        <f>HYPERLINK("https://creighton-primo.hosted.exlibrisgroup.com/primo-explore/search?tab=default_tab&amp;search_scope=EVERYTHING&amp;vid=01CRU&amp;lang=en_US&amp;offset=0&amp;query=any,contains,991001636819702656","Catalog Record")</f>
        <v>Catalog Record</v>
      </c>
      <c r="AV342" s="5" t="str">
        <f>HYPERLINK("http://www.worldcat.org/oclc/16404028","WorldCat Record")</f>
        <v>WorldCat Record</v>
      </c>
      <c r="AW342" s="2" t="s">
        <v>4665</v>
      </c>
      <c r="AX342" s="2" t="s">
        <v>4666</v>
      </c>
      <c r="AY342" s="2" t="s">
        <v>4667</v>
      </c>
      <c r="AZ342" s="2" t="s">
        <v>4667</v>
      </c>
      <c r="BA342" s="2" t="s">
        <v>4668</v>
      </c>
      <c r="BB342" s="2" t="s">
        <v>21</v>
      </c>
      <c r="BD342" s="2" t="s">
        <v>4669</v>
      </c>
      <c r="BE342" s="2" t="s">
        <v>4670</v>
      </c>
      <c r="BF342" s="2" t="s">
        <v>4671</v>
      </c>
    </row>
    <row r="343" spans="1:58" ht="39.75" customHeight="1" x14ac:dyDescent="0.25">
      <c r="A343" s="1"/>
      <c r="B343" s="1" t="s">
        <v>0</v>
      </c>
      <c r="C343" s="1" t="s">
        <v>1</v>
      </c>
      <c r="D343" s="1" t="s">
        <v>4672</v>
      </c>
      <c r="E343" s="1" t="s">
        <v>4673</v>
      </c>
      <c r="F343" s="1" t="s">
        <v>4674</v>
      </c>
      <c r="H343" s="2" t="s">
        <v>16</v>
      </c>
      <c r="I343" s="2" t="s">
        <v>6</v>
      </c>
      <c r="J343" s="2" t="s">
        <v>16</v>
      </c>
      <c r="K343" s="2" t="s">
        <v>16</v>
      </c>
      <c r="L343" s="2" t="s">
        <v>7</v>
      </c>
      <c r="M343" s="1" t="s">
        <v>3532</v>
      </c>
      <c r="N343" s="1" t="s">
        <v>4675</v>
      </c>
      <c r="O343" s="2" t="s">
        <v>1184</v>
      </c>
      <c r="Q343" s="2" t="s">
        <v>11</v>
      </c>
      <c r="R343" s="2" t="s">
        <v>76</v>
      </c>
      <c r="T343" s="2" t="s">
        <v>1367</v>
      </c>
      <c r="U343" s="3">
        <v>0</v>
      </c>
      <c r="V343" s="3">
        <v>13</v>
      </c>
      <c r="X343" s="4" t="s">
        <v>4676</v>
      </c>
      <c r="Y343" s="4" t="s">
        <v>4677</v>
      </c>
      <c r="Z343" s="4" t="s">
        <v>4677</v>
      </c>
      <c r="AA343" s="3">
        <v>1480</v>
      </c>
      <c r="AB343" s="3">
        <v>1422</v>
      </c>
      <c r="AC343" s="3">
        <v>1723</v>
      </c>
      <c r="AD343" s="3">
        <v>14</v>
      </c>
      <c r="AE343" s="7">
        <v>16</v>
      </c>
      <c r="AF343" s="7">
        <v>63</v>
      </c>
      <c r="AG343" s="7">
        <v>70</v>
      </c>
      <c r="AH343" s="3">
        <v>14</v>
      </c>
      <c r="AI343" s="3">
        <v>18</v>
      </c>
      <c r="AJ343" s="3">
        <v>10</v>
      </c>
      <c r="AK343" s="3">
        <v>10</v>
      </c>
      <c r="AL343" s="3">
        <v>16</v>
      </c>
      <c r="AM343" s="3">
        <v>19</v>
      </c>
      <c r="AN343" s="3">
        <v>9</v>
      </c>
      <c r="AO343" s="3">
        <v>10</v>
      </c>
      <c r="AP343" s="3">
        <v>22</v>
      </c>
      <c r="AQ343" s="3">
        <v>23</v>
      </c>
      <c r="AR343" s="2" t="s">
        <v>5</v>
      </c>
      <c r="AS343" s="2" t="s">
        <v>5</v>
      </c>
      <c r="AU343" s="5" t="str">
        <f>HYPERLINK("https://creighton-primo.hosted.exlibrisgroup.com/primo-explore/search?tab=default_tab&amp;search_scope=EVERYTHING&amp;vid=01CRU&amp;lang=en_US&amp;offset=0&amp;query=any,contains,991000110049702656","Catalog Record")</f>
        <v>Catalog Record</v>
      </c>
      <c r="AV343" s="5" t="str">
        <f>HYPERLINK("http://www.worldcat.org/oclc/47888","WorldCat Record")</f>
        <v>WorldCat Record</v>
      </c>
      <c r="AW343" s="2" t="s">
        <v>4678</v>
      </c>
      <c r="AX343" s="2" t="s">
        <v>4679</v>
      </c>
      <c r="AY343" s="2" t="s">
        <v>4680</v>
      </c>
      <c r="AZ343" s="2" t="s">
        <v>4680</v>
      </c>
      <c r="BA343" s="2" t="s">
        <v>4681</v>
      </c>
      <c r="BB343" s="2" t="s">
        <v>21</v>
      </c>
      <c r="BD343" s="2" t="s">
        <v>4682</v>
      </c>
      <c r="BE343" s="2" t="s">
        <v>4683</v>
      </c>
      <c r="BF343" s="2" t="s">
        <v>4684</v>
      </c>
    </row>
    <row r="344" spans="1:58" ht="39.75" customHeight="1" x14ac:dyDescent="0.25">
      <c r="A344" s="1"/>
      <c r="B344" s="1" t="s">
        <v>0</v>
      </c>
      <c r="C344" s="1" t="s">
        <v>1</v>
      </c>
      <c r="D344" s="1" t="s">
        <v>4685</v>
      </c>
      <c r="E344" s="1" t="s">
        <v>4686</v>
      </c>
      <c r="F344" s="1" t="s">
        <v>4674</v>
      </c>
      <c r="G344" s="2" t="s">
        <v>4687</v>
      </c>
      <c r="H344" s="2" t="s">
        <v>16</v>
      </c>
      <c r="I344" s="2" t="s">
        <v>6</v>
      </c>
      <c r="J344" s="2" t="s">
        <v>5</v>
      </c>
      <c r="K344" s="2" t="s">
        <v>16</v>
      </c>
      <c r="L344" s="2" t="s">
        <v>7</v>
      </c>
      <c r="M344" s="1" t="s">
        <v>3532</v>
      </c>
      <c r="N344" s="1" t="s">
        <v>4675</v>
      </c>
      <c r="O344" s="2" t="s">
        <v>1184</v>
      </c>
      <c r="Q344" s="2" t="s">
        <v>11</v>
      </c>
      <c r="R344" s="2" t="s">
        <v>76</v>
      </c>
      <c r="T344" s="2" t="s">
        <v>1367</v>
      </c>
      <c r="U344" s="3">
        <v>0</v>
      </c>
      <c r="V344" s="3">
        <v>13</v>
      </c>
      <c r="X344" s="4" t="s">
        <v>4676</v>
      </c>
      <c r="Y344" s="4" t="s">
        <v>4688</v>
      </c>
      <c r="Z344" s="4" t="s">
        <v>4677</v>
      </c>
      <c r="AA344" s="3">
        <v>1480</v>
      </c>
      <c r="AB344" s="3">
        <v>1422</v>
      </c>
      <c r="AC344" s="3">
        <v>1723</v>
      </c>
      <c r="AD344" s="3">
        <v>14</v>
      </c>
      <c r="AE344" s="7">
        <v>16</v>
      </c>
      <c r="AF344" s="7">
        <v>63</v>
      </c>
      <c r="AG344" s="7">
        <v>70</v>
      </c>
      <c r="AH344" s="3">
        <v>14</v>
      </c>
      <c r="AI344" s="3">
        <v>18</v>
      </c>
      <c r="AJ344" s="3">
        <v>10</v>
      </c>
      <c r="AK344" s="3">
        <v>10</v>
      </c>
      <c r="AL344" s="3">
        <v>16</v>
      </c>
      <c r="AM344" s="3">
        <v>19</v>
      </c>
      <c r="AN344" s="3">
        <v>9</v>
      </c>
      <c r="AO344" s="3">
        <v>10</v>
      </c>
      <c r="AP344" s="3">
        <v>22</v>
      </c>
      <c r="AQ344" s="3">
        <v>23</v>
      </c>
      <c r="AR344" s="2" t="s">
        <v>5</v>
      </c>
      <c r="AS344" s="2" t="s">
        <v>5</v>
      </c>
      <c r="AU344" s="5" t="str">
        <f>HYPERLINK("https://creighton-primo.hosted.exlibrisgroup.com/primo-explore/search?tab=default_tab&amp;search_scope=EVERYTHING&amp;vid=01CRU&amp;lang=en_US&amp;offset=0&amp;query=any,contains,991000110049702656","Catalog Record")</f>
        <v>Catalog Record</v>
      </c>
      <c r="AV344" s="5" t="str">
        <f>HYPERLINK("http://www.worldcat.org/oclc/47888","WorldCat Record")</f>
        <v>WorldCat Record</v>
      </c>
      <c r="AW344" s="2" t="s">
        <v>4678</v>
      </c>
      <c r="AX344" s="2" t="s">
        <v>4679</v>
      </c>
      <c r="AY344" s="2" t="s">
        <v>4680</v>
      </c>
      <c r="AZ344" s="2" t="s">
        <v>4680</v>
      </c>
      <c r="BA344" s="2" t="s">
        <v>4681</v>
      </c>
      <c r="BB344" s="2" t="s">
        <v>21</v>
      </c>
      <c r="BD344" s="2" t="s">
        <v>4682</v>
      </c>
      <c r="BE344" s="2" t="s">
        <v>4689</v>
      </c>
      <c r="BF344" s="2" t="s">
        <v>4690</v>
      </c>
    </row>
    <row r="345" spans="1:58" ht="39.75" customHeight="1" x14ac:dyDescent="0.25">
      <c r="A345" s="1"/>
      <c r="B345" s="1" t="s">
        <v>0</v>
      </c>
      <c r="C345" s="1" t="s">
        <v>1</v>
      </c>
      <c r="D345" s="1" t="s">
        <v>4691</v>
      </c>
      <c r="E345" s="1" t="s">
        <v>4692</v>
      </c>
      <c r="F345" s="1" t="s">
        <v>4674</v>
      </c>
      <c r="G345" s="2" t="s">
        <v>4693</v>
      </c>
      <c r="H345" s="2" t="s">
        <v>16</v>
      </c>
      <c r="I345" s="2" t="s">
        <v>6</v>
      </c>
      <c r="J345" s="2" t="s">
        <v>5</v>
      </c>
      <c r="K345" s="2" t="s">
        <v>16</v>
      </c>
      <c r="L345" s="2" t="s">
        <v>7</v>
      </c>
      <c r="M345" s="1" t="s">
        <v>3532</v>
      </c>
      <c r="N345" s="1" t="s">
        <v>4675</v>
      </c>
      <c r="O345" s="2" t="s">
        <v>1184</v>
      </c>
      <c r="Q345" s="2" t="s">
        <v>11</v>
      </c>
      <c r="R345" s="2" t="s">
        <v>76</v>
      </c>
      <c r="T345" s="2" t="s">
        <v>1367</v>
      </c>
      <c r="U345" s="3">
        <v>2</v>
      </c>
      <c r="V345" s="3">
        <v>13</v>
      </c>
      <c r="W345" s="4" t="s">
        <v>4694</v>
      </c>
      <c r="X345" s="4" t="s">
        <v>4676</v>
      </c>
      <c r="Y345" s="4" t="s">
        <v>4677</v>
      </c>
      <c r="Z345" s="4" t="s">
        <v>4677</v>
      </c>
      <c r="AA345" s="3">
        <v>1480</v>
      </c>
      <c r="AB345" s="3">
        <v>1422</v>
      </c>
      <c r="AC345" s="3">
        <v>1723</v>
      </c>
      <c r="AD345" s="3">
        <v>14</v>
      </c>
      <c r="AE345" s="7">
        <v>16</v>
      </c>
      <c r="AF345" s="7">
        <v>63</v>
      </c>
      <c r="AG345" s="7">
        <v>70</v>
      </c>
      <c r="AH345" s="3">
        <v>14</v>
      </c>
      <c r="AI345" s="3">
        <v>18</v>
      </c>
      <c r="AJ345" s="3">
        <v>10</v>
      </c>
      <c r="AK345" s="3">
        <v>10</v>
      </c>
      <c r="AL345" s="3">
        <v>16</v>
      </c>
      <c r="AM345" s="3">
        <v>19</v>
      </c>
      <c r="AN345" s="3">
        <v>9</v>
      </c>
      <c r="AO345" s="3">
        <v>10</v>
      </c>
      <c r="AP345" s="3">
        <v>22</v>
      </c>
      <c r="AQ345" s="3">
        <v>23</v>
      </c>
      <c r="AR345" s="2" t="s">
        <v>5</v>
      </c>
      <c r="AS345" s="2" t="s">
        <v>5</v>
      </c>
      <c r="AU345" s="5" t="str">
        <f>HYPERLINK("https://creighton-primo.hosted.exlibrisgroup.com/primo-explore/search?tab=default_tab&amp;search_scope=EVERYTHING&amp;vid=01CRU&amp;lang=en_US&amp;offset=0&amp;query=any,contains,991000110049702656","Catalog Record")</f>
        <v>Catalog Record</v>
      </c>
      <c r="AV345" s="5" t="str">
        <f>HYPERLINK("http://www.worldcat.org/oclc/47888","WorldCat Record")</f>
        <v>WorldCat Record</v>
      </c>
      <c r="AW345" s="2" t="s">
        <v>4678</v>
      </c>
      <c r="AX345" s="2" t="s">
        <v>4679</v>
      </c>
      <c r="AY345" s="2" t="s">
        <v>4680</v>
      </c>
      <c r="AZ345" s="2" t="s">
        <v>4680</v>
      </c>
      <c r="BA345" s="2" t="s">
        <v>4681</v>
      </c>
      <c r="BB345" s="2" t="s">
        <v>21</v>
      </c>
      <c r="BD345" s="2" t="s">
        <v>4682</v>
      </c>
      <c r="BE345" s="2" t="s">
        <v>4695</v>
      </c>
      <c r="BF345" s="2" t="s">
        <v>4696</v>
      </c>
    </row>
    <row r="346" spans="1:58" ht="39.75" customHeight="1" x14ac:dyDescent="0.25">
      <c r="A346" s="1"/>
      <c r="B346" s="1" t="s">
        <v>0</v>
      </c>
      <c r="C346" s="1" t="s">
        <v>1</v>
      </c>
      <c r="D346" s="1" t="s">
        <v>4697</v>
      </c>
      <c r="E346" s="1" t="s">
        <v>4698</v>
      </c>
      <c r="F346" s="1" t="s">
        <v>4674</v>
      </c>
      <c r="G346" s="2" t="s">
        <v>4699</v>
      </c>
      <c r="H346" s="2" t="s">
        <v>16</v>
      </c>
      <c r="I346" s="2" t="s">
        <v>6</v>
      </c>
      <c r="J346" s="2" t="s">
        <v>5</v>
      </c>
      <c r="K346" s="2" t="s">
        <v>16</v>
      </c>
      <c r="L346" s="2" t="s">
        <v>7</v>
      </c>
      <c r="M346" s="1" t="s">
        <v>3532</v>
      </c>
      <c r="N346" s="1" t="s">
        <v>4675</v>
      </c>
      <c r="O346" s="2" t="s">
        <v>1184</v>
      </c>
      <c r="Q346" s="2" t="s">
        <v>11</v>
      </c>
      <c r="R346" s="2" t="s">
        <v>76</v>
      </c>
      <c r="T346" s="2" t="s">
        <v>1367</v>
      </c>
      <c r="U346" s="3">
        <v>7</v>
      </c>
      <c r="V346" s="3">
        <v>13</v>
      </c>
      <c r="W346" s="4" t="s">
        <v>4676</v>
      </c>
      <c r="X346" s="4" t="s">
        <v>4676</v>
      </c>
      <c r="Y346" s="4" t="s">
        <v>4700</v>
      </c>
      <c r="Z346" s="4" t="s">
        <v>4677</v>
      </c>
      <c r="AA346" s="3">
        <v>1480</v>
      </c>
      <c r="AB346" s="3">
        <v>1422</v>
      </c>
      <c r="AC346" s="3">
        <v>1723</v>
      </c>
      <c r="AD346" s="3">
        <v>14</v>
      </c>
      <c r="AE346" s="7">
        <v>16</v>
      </c>
      <c r="AF346" s="7">
        <v>63</v>
      </c>
      <c r="AG346" s="7">
        <v>70</v>
      </c>
      <c r="AH346" s="3">
        <v>14</v>
      </c>
      <c r="AI346" s="3">
        <v>18</v>
      </c>
      <c r="AJ346" s="3">
        <v>10</v>
      </c>
      <c r="AK346" s="3">
        <v>10</v>
      </c>
      <c r="AL346" s="3">
        <v>16</v>
      </c>
      <c r="AM346" s="3">
        <v>19</v>
      </c>
      <c r="AN346" s="3">
        <v>9</v>
      </c>
      <c r="AO346" s="3">
        <v>10</v>
      </c>
      <c r="AP346" s="3">
        <v>22</v>
      </c>
      <c r="AQ346" s="3">
        <v>23</v>
      </c>
      <c r="AR346" s="2" t="s">
        <v>5</v>
      </c>
      <c r="AS346" s="2" t="s">
        <v>5</v>
      </c>
      <c r="AU346" s="5" t="str">
        <f>HYPERLINK("https://creighton-primo.hosted.exlibrisgroup.com/primo-explore/search?tab=default_tab&amp;search_scope=EVERYTHING&amp;vid=01CRU&amp;lang=en_US&amp;offset=0&amp;query=any,contains,991000110049702656","Catalog Record")</f>
        <v>Catalog Record</v>
      </c>
      <c r="AV346" s="5" t="str">
        <f>HYPERLINK("http://www.worldcat.org/oclc/47888","WorldCat Record")</f>
        <v>WorldCat Record</v>
      </c>
      <c r="AW346" s="2" t="s">
        <v>4678</v>
      </c>
      <c r="AX346" s="2" t="s">
        <v>4679</v>
      </c>
      <c r="AY346" s="2" t="s">
        <v>4680</v>
      </c>
      <c r="AZ346" s="2" t="s">
        <v>4680</v>
      </c>
      <c r="BA346" s="2" t="s">
        <v>4681</v>
      </c>
      <c r="BB346" s="2" t="s">
        <v>21</v>
      </c>
      <c r="BD346" s="2" t="s">
        <v>4682</v>
      </c>
      <c r="BE346" s="2" t="s">
        <v>4701</v>
      </c>
      <c r="BF346" s="2" t="s">
        <v>4702</v>
      </c>
    </row>
    <row r="347" spans="1:58" ht="39.75" customHeight="1" x14ac:dyDescent="0.25">
      <c r="A347" s="1"/>
      <c r="B347" s="1" t="s">
        <v>0</v>
      </c>
      <c r="C347" s="1" t="s">
        <v>1</v>
      </c>
      <c r="D347" s="1" t="s">
        <v>4703</v>
      </c>
      <c r="E347" s="1" t="s">
        <v>4704</v>
      </c>
      <c r="F347" s="1" t="s">
        <v>4674</v>
      </c>
      <c r="G347" s="2" t="s">
        <v>4705</v>
      </c>
      <c r="H347" s="2" t="s">
        <v>16</v>
      </c>
      <c r="I347" s="2" t="s">
        <v>6</v>
      </c>
      <c r="J347" s="2" t="s">
        <v>5</v>
      </c>
      <c r="K347" s="2" t="s">
        <v>16</v>
      </c>
      <c r="L347" s="2" t="s">
        <v>7</v>
      </c>
      <c r="M347" s="1" t="s">
        <v>3532</v>
      </c>
      <c r="N347" s="1" t="s">
        <v>4675</v>
      </c>
      <c r="O347" s="2" t="s">
        <v>1184</v>
      </c>
      <c r="Q347" s="2" t="s">
        <v>11</v>
      </c>
      <c r="R347" s="2" t="s">
        <v>76</v>
      </c>
      <c r="T347" s="2" t="s">
        <v>1367</v>
      </c>
      <c r="U347" s="3">
        <v>4</v>
      </c>
      <c r="V347" s="3">
        <v>13</v>
      </c>
      <c r="W347" s="4" t="s">
        <v>4706</v>
      </c>
      <c r="X347" s="4" t="s">
        <v>4676</v>
      </c>
      <c r="Y347" s="4" t="s">
        <v>4707</v>
      </c>
      <c r="Z347" s="4" t="s">
        <v>4677</v>
      </c>
      <c r="AA347" s="3">
        <v>1480</v>
      </c>
      <c r="AB347" s="3">
        <v>1422</v>
      </c>
      <c r="AC347" s="3">
        <v>1723</v>
      </c>
      <c r="AD347" s="3">
        <v>14</v>
      </c>
      <c r="AE347" s="7">
        <v>16</v>
      </c>
      <c r="AF347" s="7">
        <v>63</v>
      </c>
      <c r="AG347" s="7">
        <v>70</v>
      </c>
      <c r="AH347" s="3">
        <v>14</v>
      </c>
      <c r="AI347" s="3">
        <v>18</v>
      </c>
      <c r="AJ347" s="3">
        <v>10</v>
      </c>
      <c r="AK347" s="3">
        <v>10</v>
      </c>
      <c r="AL347" s="3">
        <v>16</v>
      </c>
      <c r="AM347" s="3">
        <v>19</v>
      </c>
      <c r="AN347" s="3">
        <v>9</v>
      </c>
      <c r="AO347" s="3">
        <v>10</v>
      </c>
      <c r="AP347" s="3">
        <v>22</v>
      </c>
      <c r="AQ347" s="3">
        <v>23</v>
      </c>
      <c r="AR347" s="2" t="s">
        <v>5</v>
      </c>
      <c r="AS347" s="2" t="s">
        <v>5</v>
      </c>
      <c r="AU347" s="5" t="str">
        <f>HYPERLINK("https://creighton-primo.hosted.exlibrisgroup.com/primo-explore/search?tab=default_tab&amp;search_scope=EVERYTHING&amp;vid=01CRU&amp;lang=en_US&amp;offset=0&amp;query=any,contains,991000110049702656","Catalog Record")</f>
        <v>Catalog Record</v>
      </c>
      <c r="AV347" s="5" t="str">
        <f>HYPERLINK("http://www.worldcat.org/oclc/47888","WorldCat Record")</f>
        <v>WorldCat Record</v>
      </c>
      <c r="AW347" s="2" t="s">
        <v>4678</v>
      </c>
      <c r="AX347" s="2" t="s">
        <v>4679</v>
      </c>
      <c r="AY347" s="2" t="s">
        <v>4680</v>
      </c>
      <c r="AZ347" s="2" t="s">
        <v>4680</v>
      </c>
      <c r="BA347" s="2" t="s">
        <v>4681</v>
      </c>
      <c r="BB347" s="2" t="s">
        <v>21</v>
      </c>
      <c r="BD347" s="2" t="s">
        <v>4682</v>
      </c>
      <c r="BE347" s="2" t="s">
        <v>4708</v>
      </c>
      <c r="BF347" s="2" t="s">
        <v>4709</v>
      </c>
    </row>
    <row r="348" spans="1:58" ht="39.75" customHeight="1" x14ac:dyDescent="0.25">
      <c r="A348" s="1"/>
      <c r="B348" s="1" t="s">
        <v>0</v>
      </c>
      <c r="C348" s="1" t="s">
        <v>1</v>
      </c>
      <c r="D348" s="1" t="s">
        <v>4710</v>
      </c>
      <c r="E348" s="1" t="s">
        <v>4711</v>
      </c>
      <c r="F348" s="1" t="s">
        <v>4712</v>
      </c>
      <c r="H348" s="2" t="s">
        <v>5</v>
      </c>
      <c r="I348" s="2" t="s">
        <v>6</v>
      </c>
      <c r="J348" s="2" t="s">
        <v>16</v>
      </c>
      <c r="K348" s="2" t="s">
        <v>16</v>
      </c>
      <c r="L348" s="2" t="s">
        <v>7</v>
      </c>
      <c r="N348" s="1" t="s">
        <v>4713</v>
      </c>
      <c r="O348" s="2" t="s">
        <v>1745</v>
      </c>
      <c r="Q348" s="2" t="s">
        <v>11</v>
      </c>
      <c r="R348" s="2" t="s">
        <v>260</v>
      </c>
      <c r="T348" s="2" t="s">
        <v>1367</v>
      </c>
      <c r="U348" s="3">
        <v>2</v>
      </c>
      <c r="V348" s="3">
        <v>8</v>
      </c>
      <c r="W348" s="4" t="s">
        <v>4706</v>
      </c>
      <c r="X348" s="4" t="s">
        <v>358</v>
      </c>
      <c r="Y348" s="4" t="s">
        <v>4714</v>
      </c>
      <c r="Z348" s="4" t="s">
        <v>4714</v>
      </c>
      <c r="AA348" s="3">
        <v>1177</v>
      </c>
      <c r="AB348" s="3">
        <v>1153</v>
      </c>
      <c r="AC348" s="3">
        <v>1513</v>
      </c>
      <c r="AD348" s="3">
        <v>10</v>
      </c>
      <c r="AE348" s="7">
        <v>12</v>
      </c>
      <c r="AF348" s="7">
        <v>51</v>
      </c>
      <c r="AG348" s="7">
        <v>61</v>
      </c>
      <c r="AH348" s="3">
        <v>10</v>
      </c>
      <c r="AI348" s="3">
        <v>15</v>
      </c>
      <c r="AJ348" s="3">
        <v>6</v>
      </c>
      <c r="AK348" s="3">
        <v>7</v>
      </c>
      <c r="AL348" s="3">
        <v>13</v>
      </c>
      <c r="AM348" s="3">
        <v>17</v>
      </c>
      <c r="AN348" s="3">
        <v>7</v>
      </c>
      <c r="AO348" s="3">
        <v>8</v>
      </c>
      <c r="AP348" s="3">
        <v>22</v>
      </c>
      <c r="AQ348" s="3">
        <v>24</v>
      </c>
      <c r="AR348" s="2" t="s">
        <v>5</v>
      </c>
      <c r="AS348" s="2" t="s">
        <v>16</v>
      </c>
      <c r="AT348" s="5" t="str">
        <f>HYPERLINK("http://catalog.hathitrust.org/Record/002655090","HathiTrust Record")</f>
        <v>HathiTrust Record</v>
      </c>
      <c r="AU348" s="5" t="str">
        <f>HYPERLINK("https://creighton-primo.hosted.exlibrisgroup.com/primo-explore/search?tab=default_tab&amp;search_scope=EVERYTHING&amp;vid=01CRU&amp;lang=en_US&amp;offset=0&amp;query=any,contains,991001658059702656","Catalog Record")</f>
        <v>Catalog Record</v>
      </c>
      <c r="AV348" s="5" t="str">
        <f>HYPERLINK("http://www.worldcat.org/oclc/27974780","WorldCat Record")</f>
        <v>WorldCat Record</v>
      </c>
      <c r="AW348" s="2" t="s">
        <v>4715</v>
      </c>
      <c r="AX348" s="2" t="s">
        <v>4716</v>
      </c>
      <c r="AY348" s="2" t="s">
        <v>4717</v>
      </c>
      <c r="AZ348" s="2" t="s">
        <v>4717</v>
      </c>
      <c r="BA348" s="2" t="s">
        <v>4718</v>
      </c>
      <c r="BB348" s="2" t="s">
        <v>21</v>
      </c>
      <c r="BD348" s="2" t="s">
        <v>4719</v>
      </c>
      <c r="BE348" s="2" t="s">
        <v>4720</v>
      </c>
      <c r="BF348" s="2" t="s">
        <v>4721</v>
      </c>
    </row>
    <row r="349" spans="1:58" ht="39.75" customHeight="1" x14ac:dyDescent="0.25">
      <c r="A349" s="1"/>
      <c r="B349" s="1" t="s">
        <v>0</v>
      </c>
      <c r="C349" s="1" t="s">
        <v>1</v>
      </c>
      <c r="D349" s="1" t="s">
        <v>4722</v>
      </c>
      <c r="E349" s="1" t="s">
        <v>4723</v>
      </c>
      <c r="F349" s="1" t="s">
        <v>4724</v>
      </c>
      <c r="H349" s="2" t="s">
        <v>5</v>
      </c>
      <c r="I349" s="2" t="s">
        <v>6</v>
      </c>
      <c r="J349" s="2" t="s">
        <v>16</v>
      </c>
      <c r="K349" s="2" t="s">
        <v>5</v>
      </c>
      <c r="L349" s="2" t="s">
        <v>7</v>
      </c>
      <c r="M349" s="1" t="s">
        <v>4725</v>
      </c>
      <c r="N349" s="1" t="s">
        <v>4726</v>
      </c>
      <c r="O349" s="2" t="s">
        <v>4727</v>
      </c>
      <c r="Q349" s="2" t="s">
        <v>11</v>
      </c>
      <c r="R349" s="2" t="s">
        <v>76</v>
      </c>
      <c r="T349" s="2" t="s">
        <v>1367</v>
      </c>
      <c r="U349" s="3">
        <v>2</v>
      </c>
      <c r="V349" s="3">
        <v>2</v>
      </c>
      <c r="W349" s="4" t="s">
        <v>4728</v>
      </c>
      <c r="X349" s="4" t="s">
        <v>4728</v>
      </c>
      <c r="Y349" s="4" t="s">
        <v>4729</v>
      </c>
      <c r="Z349" s="4" t="s">
        <v>4730</v>
      </c>
      <c r="AA349" s="3">
        <v>1411</v>
      </c>
      <c r="AB349" s="3">
        <v>1296</v>
      </c>
      <c r="AC349" s="3">
        <v>1522</v>
      </c>
      <c r="AD349" s="3">
        <v>10</v>
      </c>
      <c r="AE349" s="7">
        <v>10</v>
      </c>
      <c r="AF349" s="7">
        <v>62</v>
      </c>
      <c r="AG349" s="7">
        <v>73</v>
      </c>
      <c r="AH349" s="3">
        <v>18</v>
      </c>
      <c r="AI349" s="3">
        <v>22</v>
      </c>
      <c r="AJ349" s="3">
        <v>9</v>
      </c>
      <c r="AK349" s="3">
        <v>10</v>
      </c>
      <c r="AL349" s="3">
        <v>17</v>
      </c>
      <c r="AM349" s="3">
        <v>22</v>
      </c>
      <c r="AN349" s="3">
        <v>6</v>
      </c>
      <c r="AO349" s="3">
        <v>6</v>
      </c>
      <c r="AP349" s="3">
        <v>20</v>
      </c>
      <c r="AQ349" s="3">
        <v>24</v>
      </c>
      <c r="AR349" s="2" t="s">
        <v>5</v>
      </c>
      <c r="AS349" s="2" t="s">
        <v>16</v>
      </c>
      <c r="AT349" s="5" t="str">
        <f>HYPERLINK("http://catalog.hathitrust.org/Record/001142548","HathiTrust Record")</f>
        <v>HathiTrust Record</v>
      </c>
      <c r="AU349" s="5" t="str">
        <f>HYPERLINK("https://creighton-primo.hosted.exlibrisgroup.com/primo-explore/search?tab=default_tab&amp;search_scope=EVERYTHING&amp;vid=01CRU&amp;lang=en_US&amp;offset=0&amp;query=any,contains,991001630209702656","Catalog Record")</f>
        <v>Catalog Record</v>
      </c>
      <c r="AV349" s="5" t="str">
        <f>HYPERLINK("http://www.worldcat.org/oclc/345907","WorldCat Record")</f>
        <v>WorldCat Record</v>
      </c>
      <c r="AW349" s="2" t="s">
        <v>4731</v>
      </c>
      <c r="AX349" s="2" t="s">
        <v>4732</v>
      </c>
      <c r="AY349" s="2" t="s">
        <v>4733</v>
      </c>
      <c r="AZ349" s="2" t="s">
        <v>4733</v>
      </c>
      <c r="BA349" s="2" t="s">
        <v>4734</v>
      </c>
      <c r="BB349" s="2" t="s">
        <v>21</v>
      </c>
      <c r="BE349" s="2" t="s">
        <v>4735</v>
      </c>
      <c r="BF349" s="2" t="s">
        <v>4736</v>
      </c>
    </row>
    <row r="350" spans="1:58" ht="39.75" customHeight="1" x14ac:dyDescent="0.25">
      <c r="A350" s="1"/>
      <c r="B350" s="1" t="s">
        <v>0</v>
      </c>
      <c r="C350" s="1" t="s">
        <v>1</v>
      </c>
      <c r="D350" s="1" t="s">
        <v>4737</v>
      </c>
      <c r="E350" s="1" t="s">
        <v>4738</v>
      </c>
      <c r="F350" s="1" t="s">
        <v>4739</v>
      </c>
      <c r="H350" s="2" t="s">
        <v>5</v>
      </c>
      <c r="I350" s="2" t="s">
        <v>6</v>
      </c>
      <c r="J350" s="2" t="s">
        <v>16</v>
      </c>
      <c r="K350" s="2" t="s">
        <v>5</v>
      </c>
      <c r="L350" s="2" t="s">
        <v>7</v>
      </c>
      <c r="M350" s="1" t="s">
        <v>4740</v>
      </c>
      <c r="N350" s="1" t="s">
        <v>4741</v>
      </c>
      <c r="O350" s="2" t="s">
        <v>29</v>
      </c>
      <c r="P350" s="1" t="s">
        <v>229</v>
      </c>
      <c r="Q350" s="2" t="s">
        <v>11</v>
      </c>
      <c r="R350" s="2" t="s">
        <v>76</v>
      </c>
      <c r="T350" s="2" t="s">
        <v>1367</v>
      </c>
      <c r="U350" s="3">
        <v>12</v>
      </c>
      <c r="V350" s="3">
        <v>13</v>
      </c>
      <c r="W350" s="4" t="s">
        <v>4742</v>
      </c>
      <c r="X350" s="4" t="s">
        <v>4742</v>
      </c>
      <c r="Y350" s="4" t="s">
        <v>4743</v>
      </c>
      <c r="Z350" s="4" t="s">
        <v>4744</v>
      </c>
      <c r="AA350" s="3">
        <v>1903</v>
      </c>
      <c r="AB350" s="3">
        <v>1814</v>
      </c>
      <c r="AC350" s="3">
        <v>1873</v>
      </c>
      <c r="AD350" s="3">
        <v>12</v>
      </c>
      <c r="AE350" s="7">
        <v>14</v>
      </c>
      <c r="AF350" s="7">
        <v>63</v>
      </c>
      <c r="AG350" s="7">
        <v>66</v>
      </c>
      <c r="AH350" s="3">
        <v>16</v>
      </c>
      <c r="AI350" s="3">
        <v>17</v>
      </c>
      <c r="AJ350" s="3">
        <v>10</v>
      </c>
      <c r="AK350" s="3">
        <v>10</v>
      </c>
      <c r="AL350" s="3">
        <v>20</v>
      </c>
      <c r="AM350" s="3">
        <v>20</v>
      </c>
      <c r="AN350" s="3">
        <v>6</v>
      </c>
      <c r="AO350" s="3">
        <v>8</v>
      </c>
      <c r="AP350" s="3">
        <v>23</v>
      </c>
      <c r="AQ350" s="3">
        <v>23</v>
      </c>
      <c r="AR350" s="2" t="s">
        <v>5</v>
      </c>
      <c r="AS350" s="2" t="s">
        <v>16</v>
      </c>
      <c r="AT350" s="5" t="str">
        <f>HYPERLINK("http://catalog.hathitrust.org/Record/000742137","HathiTrust Record")</f>
        <v>HathiTrust Record</v>
      </c>
      <c r="AU350" s="5" t="str">
        <f>HYPERLINK("https://creighton-primo.hosted.exlibrisgroup.com/primo-explore/search?tab=default_tab&amp;search_scope=EVERYTHING&amp;vid=01CRU&amp;lang=en_US&amp;offset=0&amp;query=any,contains,991001616189702656","Catalog Record")</f>
        <v>Catalog Record</v>
      </c>
      <c r="AV350" s="5" t="str">
        <f>HYPERLINK("http://www.worldcat.org/oclc/6280574","WorldCat Record")</f>
        <v>WorldCat Record</v>
      </c>
      <c r="AW350" s="2" t="s">
        <v>4745</v>
      </c>
      <c r="AX350" s="2" t="s">
        <v>4746</v>
      </c>
      <c r="AY350" s="2" t="s">
        <v>4747</v>
      </c>
      <c r="AZ350" s="2" t="s">
        <v>4747</v>
      </c>
      <c r="BA350" s="2" t="s">
        <v>4748</v>
      </c>
      <c r="BB350" s="2" t="s">
        <v>21</v>
      </c>
      <c r="BD350" s="2" t="s">
        <v>4749</v>
      </c>
      <c r="BE350" s="2" t="s">
        <v>4750</v>
      </c>
      <c r="BF350" s="2" t="s">
        <v>4751</v>
      </c>
    </row>
    <row r="351" spans="1:58" ht="39.75" customHeight="1" x14ac:dyDescent="0.25">
      <c r="A351" s="1"/>
      <c r="B351" s="1" t="s">
        <v>0</v>
      </c>
      <c r="C351" s="1" t="s">
        <v>1</v>
      </c>
      <c r="D351" s="1" t="s">
        <v>4752</v>
      </c>
      <c r="E351" s="1" t="s">
        <v>4753</v>
      </c>
      <c r="F351" s="1" t="s">
        <v>4754</v>
      </c>
      <c r="H351" s="2" t="s">
        <v>5</v>
      </c>
      <c r="I351" s="2" t="s">
        <v>6</v>
      </c>
      <c r="J351" s="2" t="s">
        <v>16</v>
      </c>
      <c r="K351" s="2" t="s">
        <v>5</v>
      </c>
      <c r="L351" s="2" t="s">
        <v>7</v>
      </c>
      <c r="M351" s="1" t="s">
        <v>2097</v>
      </c>
      <c r="N351" s="1" t="s">
        <v>4755</v>
      </c>
      <c r="O351" s="2" t="s">
        <v>486</v>
      </c>
      <c r="P351" s="1" t="s">
        <v>4756</v>
      </c>
      <c r="Q351" s="2" t="s">
        <v>11</v>
      </c>
      <c r="R351" s="2" t="s">
        <v>76</v>
      </c>
      <c r="T351" s="2" t="s">
        <v>1367</v>
      </c>
      <c r="U351" s="3">
        <v>5</v>
      </c>
      <c r="V351" s="3">
        <v>5</v>
      </c>
      <c r="W351" s="4" t="s">
        <v>3430</v>
      </c>
      <c r="X351" s="4" t="s">
        <v>3430</v>
      </c>
      <c r="Y351" s="4" t="s">
        <v>4743</v>
      </c>
      <c r="Z351" s="4" t="s">
        <v>4743</v>
      </c>
      <c r="AA351" s="3">
        <v>1474</v>
      </c>
      <c r="AB351" s="3">
        <v>1364</v>
      </c>
      <c r="AC351" s="3">
        <v>1368</v>
      </c>
      <c r="AD351" s="3">
        <v>14</v>
      </c>
      <c r="AE351" s="7">
        <v>14</v>
      </c>
      <c r="AF351" s="7">
        <v>65</v>
      </c>
      <c r="AG351" s="7">
        <v>65</v>
      </c>
      <c r="AH351" s="3">
        <v>18</v>
      </c>
      <c r="AI351" s="3">
        <v>18</v>
      </c>
      <c r="AJ351" s="3">
        <v>6</v>
      </c>
      <c r="AK351" s="3">
        <v>6</v>
      </c>
      <c r="AL351" s="3">
        <v>16</v>
      </c>
      <c r="AM351" s="3">
        <v>16</v>
      </c>
      <c r="AN351" s="3">
        <v>10</v>
      </c>
      <c r="AO351" s="3">
        <v>10</v>
      </c>
      <c r="AP351" s="3">
        <v>23</v>
      </c>
      <c r="AQ351" s="3">
        <v>23</v>
      </c>
      <c r="AR351" s="2" t="s">
        <v>5</v>
      </c>
      <c r="AS351" s="2" t="s">
        <v>5</v>
      </c>
      <c r="AU351" s="5" t="str">
        <f>HYPERLINK("https://creighton-primo.hosted.exlibrisgroup.com/primo-explore/search?tab=default_tab&amp;search_scope=EVERYTHING&amp;vid=01CRU&amp;lang=en_US&amp;offset=0&amp;query=any,contains,991001623379702656","Catalog Record")</f>
        <v>Catalog Record</v>
      </c>
      <c r="AV351" s="5" t="str">
        <f>HYPERLINK("http://www.worldcat.org/oclc/8866493","WorldCat Record")</f>
        <v>WorldCat Record</v>
      </c>
      <c r="AW351" s="2" t="s">
        <v>4757</v>
      </c>
      <c r="AX351" s="2" t="s">
        <v>4758</v>
      </c>
      <c r="AY351" s="2" t="s">
        <v>4759</v>
      </c>
      <c r="AZ351" s="2" t="s">
        <v>4759</v>
      </c>
      <c r="BA351" s="2" t="s">
        <v>4760</v>
      </c>
      <c r="BB351" s="2" t="s">
        <v>21</v>
      </c>
      <c r="BD351" s="2" t="s">
        <v>4761</v>
      </c>
      <c r="BE351" s="2" t="s">
        <v>4762</v>
      </c>
      <c r="BF351" s="2" t="s">
        <v>4763</v>
      </c>
    </row>
    <row r="352" spans="1:58" ht="39.75" customHeight="1" x14ac:dyDescent="0.25">
      <c r="A352" s="1"/>
      <c r="B352" s="1" t="s">
        <v>0</v>
      </c>
      <c r="C352" s="1" t="s">
        <v>1</v>
      </c>
      <c r="D352" s="1" t="s">
        <v>4764</v>
      </c>
      <c r="E352" s="1" t="s">
        <v>4765</v>
      </c>
      <c r="F352" s="1" t="s">
        <v>4766</v>
      </c>
      <c r="H352" s="2" t="s">
        <v>5</v>
      </c>
      <c r="I352" s="2" t="s">
        <v>6</v>
      </c>
      <c r="J352" s="2" t="s">
        <v>16</v>
      </c>
      <c r="K352" s="2" t="s">
        <v>5</v>
      </c>
      <c r="L352" s="2" t="s">
        <v>7</v>
      </c>
      <c r="M352" s="1" t="s">
        <v>4767</v>
      </c>
      <c r="N352" s="1" t="s">
        <v>4768</v>
      </c>
      <c r="O352" s="2" t="s">
        <v>4769</v>
      </c>
      <c r="Q352" s="2" t="s">
        <v>11</v>
      </c>
      <c r="R352" s="2" t="s">
        <v>260</v>
      </c>
      <c r="S352" s="1" t="s">
        <v>4770</v>
      </c>
      <c r="T352" s="2" t="s">
        <v>1367</v>
      </c>
      <c r="U352" s="3">
        <v>1</v>
      </c>
      <c r="V352" s="3">
        <v>1</v>
      </c>
      <c r="W352" s="4" t="s">
        <v>4771</v>
      </c>
      <c r="X352" s="4" t="s">
        <v>4771</v>
      </c>
      <c r="Y352" s="4" t="s">
        <v>4772</v>
      </c>
      <c r="Z352" s="4" t="s">
        <v>4772</v>
      </c>
      <c r="AA352" s="3">
        <v>127</v>
      </c>
      <c r="AB352" s="3">
        <v>117</v>
      </c>
      <c r="AC352" s="3">
        <v>130</v>
      </c>
      <c r="AD352" s="3">
        <v>2</v>
      </c>
      <c r="AE352" s="7">
        <v>2</v>
      </c>
      <c r="AF352" s="7">
        <v>25</v>
      </c>
      <c r="AG352" s="7">
        <v>28</v>
      </c>
      <c r="AH352" s="3">
        <v>4</v>
      </c>
      <c r="AI352" s="3">
        <v>4</v>
      </c>
      <c r="AJ352" s="3">
        <v>6</v>
      </c>
      <c r="AK352" s="3">
        <v>7</v>
      </c>
      <c r="AL352" s="3">
        <v>16</v>
      </c>
      <c r="AM352" s="3">
        <v>16</v>
      </c>
      <c r="AN352" s="3">
        <v>0</v>
      </c>
      <c r="AO352" s="3">
        <v>0</v>
      </c>
      <c r="AP352" s="3">
        <v>6</v>
      </c>
      <c r="AQ352" s="3">
        <v>8</v>
      </c>
      <c r="AR352" s="2" t="s">
        <v>5</v>
      </c>
      <c r="AS352" s="2" t="s">
        <v>5</v>
      </c>
      <c r="AU352" s="5" t="str">
        <f>HYPERLINK("https://creighton-primo.hosted.exlibrisgroup.com/primo-explore/search?tab=default_tab&amp;search_scope=EVERYTHING&amp;vid=01CRU&amp;lang=en_US&amp;offset=0&amp;query=any,contains,991001777379702656","Catalog Record")</f>
        <v>Catalog Record</v>
      </c>
      <c r="AV352" s="5" t="str">
        <f>HYPERLINK("http://www.worldcat.org/oclc/2958759","WorldCat Record")</f>
        <v>WorldCat Record</v>
      </c>
      <c r="AW352" s="2" t="s">
        <v>4773</v>
      </c>
      <c r="AX352" s="2" t="s">
        <v>4774</v>
      </c>
      <c r="AY352" s="2" t="s">
        <v>4775</v>
      </c>
      <c r="AZ352" s="2" t="s">
        <v>4775</v>
      </c>
      <c r="BA352" s="2" t="s">
        <v>4776</v>
      </c>
      <c r="BB352" s="2" t="s">
        <v>21</v>
      </c>
      <c r="BE352" s="2" t="s">
        <v>4777</v>
      </c>
      <c r="BF352" s="2" t="s">
        <v>4778</v>
      </c>
    </row>
    <row r="353" spans="1:58" ht="39.75" customHeight="1" x14ac:dyDescent="0.25">
      <c r="A353" s="1"/>
      <c r="B353" s="1" t="s">
        <v>0</v>
      </c>
      <c r="C353" s="1" t="s">
        <v>1</v>
      </c>
      <c r="D353" s="1" t="s">
        <v>4779</v>
      </c>
      <c r="E353" s="1" t="s">
        <v>4780</v>
      </c>
      <c r="F353" s="1" t="s">
        <v>4781</v>
      </c>
      <c r="H353" s="2" t="s">
        <v>5</v>
      </c>
      <c r="I353" s="2" t="s">
        <v>6</v>
      </c>
      <c r="J353" s="2" t="s">
        <v>5</v>
      </c>
      <c r="K353" s="2" t="s">
        <v>5</v>
      </c>
      <c r="L353" s="2" t="s">
        <v>7</v>
      </c>
      <c r="M353" s="1" t="s">
        <v>4782</v>
      </c>
      <c r="N353" s="1" t="s">
        <v>4783</v>
      </c>
      <c r="O353" s="2" t="s">
        <v>228</v>
      </c>
      <c r="Q353" s="2" t="s">
        <v>11</v>
      </c>
      <c r="R353" s="2" t="s">
        <v>244</v>
      </c>
      <c r="T353" s="2" t="s">
        <v>1367</v>
      </c>
      <c r="U353" s="3">
        <v>2</v>
      </c>
      <c r="V353" s="3">
        <v>2</v>
      </c>
      <c r="W353" s="4" t="s">
        <v>4784</v>
      </c>
      <c r="X353" s="4" t="s">
        <v>4784</v>
      </c>
      <c r="Y353" s="4" t="s">
        <v>4785</v>
      </c>
      <c r="Z353" s="4" t="s">
        <v>4785</v>
      </c>
      <c r="AA353" s="3">
        <v>533</v>
      </c>
      <c r="AB353" s="3">
        <v>472</v>
      </c>
      <c r="AC353" s="3">
        <v>488</v>
      </c>
      <c r="AD353" s="3">
        <v>2</v>
      </c>
      <c r="AE353" s="7">
        <v>2</v>
      </c>
      <c r="AF353" s="7">
        <v>33</v>
      </c>
      <c r="AG353" s="7">
        <v>34</v>
      </c>
      <c r="AH353" s="3">
        <v>10</v>
      </c>
      <c r="AI353" s="3">
        <v>11</v>
      </c>
      <c r="AJ353" s="3">
        <v>5</v>
      </c>
      <c r="AK353" s="3">
        <v>5</v>
      </c>
      <c r="AL353" s="3">
        <v>11</v>
      </c>
      <c r="AM353" s="3">
        <v>12</v>
      </c>
      <c r="AN353" s="3">
        <v>1</v>
      </c>
      <c r="AO353" s="3">
        <v>1</v>
      </c>
      <c r="AP353" s="3">
        <v>12</v>
      </c>
      <c r="AQ353" s="3">
        <v>12</v>
      </c>
      <c r="AR353" s="2" t="s">
        <v>5</v>
      </c>
      <c r="AS353" s="2" t="s">
        <v>5</v>
      </c>
      <c r="AU353" s="5" t="str">
        <f>HYPERLINK("https://creighton-primo.hosted.exlibrisgroup.com/primo-explore/search?tab=default_tab&amp;search_scope=EVERYTHING&amp;vid=01CRU&amp;lang=en_US&amp;offset=0&amp;query=any,contains,991001262699702656","Catalog Record")</f>
        <v>Catalog Record</v>
      </c>
      <c r="AV353" s="5" t="str">
        <f>HYPERLINK("http://www.worldcat.org/oclc/17774813","WorldCat Record")</f>
        <v>WorldCat Record</v>
      </c>
      <c r="AW353" s="2" t="s">
        <v>4786</v>
      </c>
      <c r="AX353" s="2" t="s">
        <v>4787</v>
      </c>
      <c r="AY353" s="2" t="s">
        <v>4788</v>
      </c>
      <c r="AZ353" s="2" t="s">
        <v>4788</v>
      </c>
      <c r="BA353" s="2" t="s">
        <v>4789</v>
      </c>
      <c r="BB353" s="2" t="s">
        <v>21</v>
      </c>
      <c r="BD353" s="2" t="s">
        <v>4790</v>
      </c>
      <c r="BE353" s="2" t="s">
        <v>4791</v>
      </c>
      <c r="BF353" s="2" t="s">
        <v>4792</v>
      </c>
    </row>
    <row r="354" spans="1:58" ht="39.75" customHeight="1" x14ac:dyDescent="0.25">
      <c r="A354" s="1"/>
      <c r="B354" s="1" t="s">
        <v>0</v>
      </c>
      <c r="C354" s="1" t="s">
        <v>1</v>
      </c>
      <c r="D354" s="1" t="s">
        <v>4793</v>
      </c>
      <c r="E354" s="1" t="s">
        <v>4794</v>
      </c>
      <c r="F354" s="1" t="s">
        <v>4795</v>
      </c>
      <c r="H354" s="2" t="s">
        <v>5</v>
      </c>
      <c r="I354" s="2" t="s">
        <v>6</v>
      </c>
      <c r="J354" s="2" t="s">
        <v>16</v>
      </c>
      <c r="K354" s="2" t="s">
        <v>5</v>
      </c>
      <c r="L354" s="2" t="s">
        <v>7</v>
      </c>
      <c r="M354" s="1" t="s">
        <v>4725</v>
      </c>
      <c r="N354" s="1" t="s">
        <v>4796</v>
      </c>
      <c r="O354" s="2" t="s">
        <v>275</v>
      </c>
      <c r="P354" s="1" t="s">
        <v>4797</v>
      </c>
      <c r="Q354" s="2" t="s">
        <v>11</v>
      </c>
      <c r="R354" s="2" t="s">
        <v>4798</v>
      </c>
      <c r="T354" s="2" t="s">
        <v>1367</v>
      </c>
      <c r="U354" s="3">
        <v>3</v>
      </c>
      <c r="V354" s="3">
        <v>4</v>
      </c>
      <c r="W354" s="4" t="s">
        <v>4799</v>
      </c>
      <c r="X354" s="4" t="s">
        <v>4799</v>
      </c>
      <c r="Y354" s="4" t="s">
        <v>4700</v>
      </c>
      <c r="Z354" s="4" t="s">
        <v>4700</v>
      </c>
      <c r="AA354" s="3">
        <v>548</v>
      </c>
      <c r="AB354" s="3">
        <v>510</v>
      </c>
      <c r="AC354" s="3">
        <v>517</v>
      </c>
      <c r="AD354" s="3">
        <v>5</v>
      </c>
      <c r="AE354" s="7">
        <v>5</v>
      </c>
      <c r="AF354" s="7">
        <v>36</v>
      </c>
      <c r="AG354" s="7">
        <v>36</v>
      </c>
      <c r="AH354" s="3">
        <v>9</v>
      </c>
      <c r="AI354" s="3">
        <v>9</v>
      </c>
      <c r="AJ354" s="3">
        <v>2</v>
      </c>
      <c r="AK354" s="3">
        <v>2</v>
      </c>
      <c r="AL354" s="3">
        <v>8</v>
      </c>
      <c r="AM354" s="3">
        <v>8</v>
      </c>
      <c r="AN354" s="3">
        <v>3</v>
      </c>
      <c r="AO354" s="3">
        <v>3</v>
      </c>
      <c r="AP354" s="3">
        <v>17</v>
      </c>
      <c r="AQ354" s="3">
        <v>17</v>
      </c>
      <c r="AR354" s="2" t="s">
        <v>5</v>
      </c>
      <c r="AS354" s="2" t="s">
        <v>16</v>
      </c>
      <c r="AT354" s="5" t="str">
        <f>HYPERLINK("http://catalog.hathitrust.org/Record/006176388","HathiTrust Record")</f>
        <v>HathiTrust Record</v>
      </c>
      <c r="AU354" s="5" t="str">
        <f>HYPERLINK("https://creighton-primo.hosted.exlibrisgroup.com/primo-explore/search?tab=default_tab&amp;search_scope=EVERYTHING&amp;vid=01CRU&amp;lang=en_US&amp;offset=0&amp;query=any,contains,991001790309702656","Catalog Record")</f>
        <v>Catalog Record</v>
      </c>
      <c r="AV354" s="5" t="str">
        <f>HYPERLINK("http://www.worldcat.org/oclc/4004528","WorldCat Record")</f>
        <v>WorldCat Record</v>
      </c>
      <c r="AW354" s="2" t="s">
        <v>4800</v>
      </c>
      <c r="AX354" s="2" t="s">
        <v>4801</v>
      </c>
      <c r="AY354" s="2" t="s">
        <v>4802</v>
      </c>
      <c r="AZ354" s="2" t="s">
        <v>4802</v>
      </c>
      <c r="BA354" s="2" t="s">
        <v>4803</v>
      </c>
      <c r="BB354" s="2" t="s">
        <v>21</v>
      </c>
      <c r="BD354" s="2" t="s">
        <v>4804</v>
      </c>
      <c r="BE354" s="2" t="s">
        <v>4805</v>
      </c>
      <c r="BF354" s="2" t="s">
        <v>4806</v>
      </c>
    </row>
    <row r="355" spans="1:58" ht="39.75" customHeight="1" x14ac:dyDescent="0.25">
      <c r="A355" s="1"/>
      <c r="B355" s="1" t="s">
        <v>0</v>
      </c>
      <c r="C355" s="1" t="s">
        <v>1</v>
      </c>
      <c r="D355" s="1" t="s">
        <v>4807</v>
      </c>
      <c r="E355" s="1" t="s">
        <v>4808</v>
      </c>
      <c r="F355" s="1" t="s">
        <v>4809</v>
      </c>
      <c r="H355" s="2" t="s">
        <v>5</v>
      </c>
      <c r="I355" s="2" t="s">
        <v>6</v>
      </c>
      <c r="J355" s="2" t="s">
        <v>16</v>
      </c>
      <c r="K355" s="2" t="s">
        <v>5</v>
      </c>
      <c r="L355" s="2" t="s">
        <v>7</v>
      </c>
      <c r="M355" s="1" t="s">
        <v>4810</v>
      </c>
      <c r="N355" s="1" t="s">
        <v>4811</v>
      </c>
      <c r="O355" s="2" t="s">
        <v>372</v>
      </c>
      <c r="P355" s="1" t="s">
        <v>229</v>
      </c>
      <c r="Q355" s="2" t="s">
        <v>11</v>
      </c>
      <c r="R355" s="2" t="s">
        <v>76</v>
      </c>
      <c r="T355" s="2" t="s">
        <v>1367</v>
      </c>
      <c r="U355" s="3">
        <v>3</v>
      </c>
      <c r="V355" s="3">
        <v>5</v>
      </c>
      <c r="W355" s="4" t="s">
        <v>4812</v>
      </c>
      <c r="X355" s="4" t="s">
        <v>4812</v>
      </c>
      <c r="Y355" s="4" t="s">
        <v>4813</v>
      </c>
      <c r="Z355" s="4" t="s">
        <v>4813</v>
      </c>
      <c r="AA355" s="3">
        <v>580</v>
      </c>
      <c r="AB355" s="3">
        <v>559</v>
      </c>
      <c r="AC355" s="3">
        <v>561</v>
      </c>
      <c r="AD355" s="3">
        <v>4</v>
      </c>
      <c r="AE355" s="7">
        <v>4</v>
      </c>
      <c r="AF355" s="7">
        <v>35</v>
      </c>
      <c r="AG355" s="7">
        <v>35</v>
      </c>
      <c r="AH355" s="3">
        <v>6</v>
      </c>
      <c r="AI355" s="3">
        <v>6</v>
      </c>
      <c r="AJ355" s="3">
        <v>6</v>
      </c>
      <c r="AK355" s="3">
        <v>6</v>
      </c>
      <c r="AL355" s="3">
        <v>4</v>
      </c>
      <c r="AM355" s="3">
        <v>4</v>
      </c>
      <c r="AN355" s="3">
        <v>1</v>
      </c>
      <c r="AO355" s="3">
        <v>1</v>
      </c>
      <c r="AP355" s="3">
        <v>22</v>
      </c>
      <c r="AQ355" s="3">
        <v>22</v>
      </c>
      <c r="AR355" s="2" t="s">
        <v>5</v>
      </c>
      <c r="AS355" s="2" t="s">
        <v>5</v>
      </c>
      <c r="AU355" s="5" t="str">
        <f>HYPERLINK("https://creighton-primo.hosted.exlibrisgroup.com/primo-explore/search?tab=default_tab&amp;search_scope=EVERYTHING&amp;vid=01CRU&amp;lang=en_US&amp;offset=0&amp;query=any,contains,991001659229702656","Catalog Record")</f>
        <v>Catalog Record</v>
      </c>
      <c r="AV355" s="5" t="str">
        <f>HYPERLINK("http://www.worldcat.org/oclc/28378505","WorldCat Record")</f>
        <v>WorldCat Record</v>
      </c>
      <c r="AW355" s="2" t="s">
        <v>4814</v>
      </c>
      <c r="AX355" s="2" t="s">
        <v>4815</v>
      </c>
      <c r="AY355" s="2" t="s">
        <v>4816</v>
      </c>
      <c r="AZ355" s="2" t="s">
        <v>4816</v>
      </c>
      <c r="BA355" s="2" t="s">
        <v>4817</v>
      </c>
      <c r="BB355" s="2" t="s">
        <v>21</v>
      </c>
      <c r="BD355" s="2" t="s">
        <v>4818</v>
      </c>
      <c r="BE355" s="2" t="s">
        <v>4819</v>
      </c>
      <c r="BF355" s="2" t="s">
        <v>4820</v>
      </c>
    </row>
    <row r="356" spans="1:58" ht="39.75" customHeight="1" x14ac:dyDescent="0.25">
      <c r="A356" s="1"/>
      <c r="B356" s="1" t="s">
        <v>0</v>
      </c>
      <c r="C356" s="1" t="s">
        <v>1</v>
      </c>
      <c r="D356" s="1" t="s">
        <v>4821</v>
      </c>
      <c r="E356" s="1" t="s">
        <v>4822</v>
      </c>
      <c r="F356" s="1" t="s">
        <v>4823</v>
      </c>
      <c r="H356" s="2" t="s">
        <v>5</v>
      </c>
      <c r="I356" s="2" t="s">
        <v>6</v>
      </c>
      <c r="J356" s="2" t="s">
        <v>16</v>
      </c>
      <c r="K356" s="2" t="s">
        <v>5</v>
      </c>
      <c r="L356" s="2" t="s">
        <v>7</v>
      </c>
      <c r="M356" s="1" t="s">
        <v>4824</v>
      </c>
      <c r="N356" s="1" t="s">
        <v>4825</v>
      </c>
      <c r="O356" s="2" t="s">
        <v>259</v>
      </c>
      <c r="Q356" s="2" t="s">
        <v>11</v>
      </c>
      <c r="R356" s="2" t="s">
        <v>306</v>
      </c>
      <c r="T356" s="2" t="s">
        <v>1367</v>
      </c>
      <c r="U356" s="3">
        <v>1</v>
      </c>
      <c r="V356" s="3">
        <v>1</v>
      </c>
      <c r="W356" s="4" t="s">
        <v>4826</v>
      </c>
      <c r="X356" s="4" t="s">
        <v>4826</v>
      </c>
      <c r="Y356" s="4" t="s">
        <v>4743</v>
      </c>
      <c r="Z356" s="4" t="s">
        <v>2305</v>
      </c>
      <c r="AA356" s="3">
        <v>564</v>
      </c>
      <c r="AB356" s="3">
        <v>524</v>
      </c>
      <c r="AC356" s="3">
        <v>696</v>
      </c>
      <c r="AD356" s="3">
        <v>5</v>
      </c>
      <c r="AE356" s="7">
        <v>5</v>
      </c>
      <c r="AF356" s="7">
        <v>36</v>
      </c>
      <c r="AG356" s="7">
        <v>46</v>
      </c>
      <c r="AH356" s="3">
        <v>5</v>
      </c>
      <c r="AI356" s="3">
        <v>11</v>
      </c>
      <c r="AJ356" s="3">
        <v>3</v>
      </c>
      <c r="AK356" s="3">
        <v>6</v>
      </c>
      <c r="AL356" s="3">
        <v>6</v>
      </c>
      <c r="AM356" s="3">
        <v>10</v>
      </c>
      <c r="AN356" s="3">
        <v>2</v>
      </c>
      <c r="AO356" s="3">
        <v>2</v>
      </c>
      <c r="AP356" s="3">
        <v>23</v>
      </c>
      <c r="AQ356" s="3">
        <v>23</v>
      </c>
      <c r="AR356" s="2" t="s">
        <v>5</v>
      </c>
      <c r="AS356" s="2" t="s">
        <v>5</v>
      </c>
      <c r="AU356" s="5" t="str">
        <f>HYPERLINK("https://creighton-primo.hosted.exlibrisgroup.com/primo-explore/search?tab=default_tab&amp;search_scope=EVERYTHING&amp;vid=01CRU&amp;lang=en_US&amp;offset=0&amp;query=any,contains,991001685839702656","Catalog Record")</f>
        <v>Catalog Record</v>
      </c>
      <c r="AV356" s="5" t="str">
        <f>HYPERLINK("http://www.worldcat.org/oclc/17508990","WorldCat Record")</f>
        <v>WorldCat Record</v>
      </c>
      <c r="AW356" s="2" t="s">
        <v>4827</v>
      </c>
      <c r="AX356" s="2" t="s">
        <v>4828</v>
      </c>
      <c r="AY356" s="2" t="s">
        <v>4829</v>
      </c>
      <c r="AZ356" s="2" t="s">
        <v>4829</v>
      </c>
      <c r="BA356" s="2" t="s">
        <v>4830</v>
      </c>
      <c r="BB356" s="2" t="s">
        <v>21</v>
      </c>
      <c r="BD356" s="2" t="s">
        <v>4831</v>
      </c>
      <c r="BE356" s="2" t="s">
        <v>4832</v>
      </c>
      <c r="BF356" s="2" t="s">
        <v>4833</v>
      </c>
    </row>
    <row r="357" spans="1:58" ht="39.75" customHeight="1" x14ac:dyDescent="0.25">
      <c r="A357" s="1"/>
      <c r="B357" s="1" t="s">
        <v>0</v>
      </c>
      <c r="C357" s="1" t="s">
        <v>1</v>
      </c>
      <c r="D357" s="1" t="s">
        <v>4834</v>
      </c>
      <c r="E357" s="1" t="s">
        <v>4835</v>
      </c>
      <c r="F357" s="1" t="s">
        <v>4836</v>
      </c>
      <c r="H357" s="2" t="s">
        <v>5</v>
      </c>
      <c r="I357" s="2" t="s">
        <v>6</v>
      </c>
      <c r="J357" s="2" t="s">
        <v>5</v>
      </c>
      <c r="K357" s="2" t="s">
        <v>5</v>
      </c>
      <c r="L357" s="2" t="s">
        <v>7</v>
      </c>
      <c r="M357" s="1" t="s">
        <v>4837</v>
      </c>
      <c r="N357" s="1" t="s">
        <v>4838</v>
      </c>
      <c r="O357" s="2" t="s">
        <v>2331</v>
      </c>
      <c r="Q357" s="2" t="s">
        <v>11</v>
      </c>
      <c r="R357" s="2" t="s">
        <v>543</v>
      </c>
      <c r="T357" s="2" t="s">
        <v>1367</v>
      </c>
      <c r="U357" s="3">
        <v>6</v>
      </c>
      <c r="V357" s="3">
        <v>6</v>
      </c>
      <c r="W357" s="4" t="s">
        <v>4839</v>
      </c>
      <c r="X357" s="4" t="s">
        <v>4839</v>
      </c>
      <c r="Y357" s="4" t="s">
        <v>4488</v>
      </c>
      <c r="Z357" s="4" t="s">
        <v>4488</v>
      </c>
      <c r="AA357" s="3">
        <v>771</v>
      </c>
      <c r="AB357" s="3">
        <v>687</v>
      </c>
      <c r="AC357" s="3">
        <v>954</v>
      </c>
      <c r="AD357" s="3">
        <v>7</v>
      </c>
      <c r="AE357" s="7">
        <v>9</v>
      </c>
      <c r="AF357" s="7">
        <v>43</v>
      </c>
      <c r="AG357" s="7">
        <v>55</v>
      </c>
      <c r="AH357" s="3">
        <v>12</v>
      </c>
      <c r="AI357" s="3">
        <v>18</v>
      </c>
      <c r="AJ357" s="3">
        <v>7</v>
      </c>
      <c r="AK357" s="3">
        <v>9</v>
      </c>
      <c r="AL357" s="3">
        <v>15</v>
      </c>
      <c r="AM357" s="3">
        <v>18</v>
      </c>
      <c r="AN357" s="3">
        <v>6</v>
      </c>
      <c r="AO357" s="3">
        <v>6</v>
      </c>
      <c r="AP357" s="3">
        <v>10</v>
      </c>
      <c r="AQ357" s="3">
        <v>13</v>
      </c>
      <c r="AR357" s="2" t="s">
        <v>5</v>
      </c>
      <c r="AS357" s="2" t="s">
        <v>5</v>
      </c>
      <c r="AU357" s="5" t="str">
        <f>HYPERLINK("https://creighton-primo.hosted.exlibrisgroup.com/primo-explore/search?tab=default_tab&amp;search_scope=EVERYTHING&amp;vid=01CRU&amp;lang=en_US&amp;offset=0&amp;query=any,contains,991002867019702656","Catalog Record")</f>
        <v>Catalog Record</v>
      </c>
      <c r="AV357" s="5" t="str">
        <f>HYPERLINK("http://www.worldcat.org/oclc/497103","WorldCat Record")</f>
        <v>WorldCat Record</v>
      </c>
      <c r="AW357" s="2" t="s">
        <v>4840</v>
      </c>
      <c r="AX357" s="2" t="s">
        <v>4841</v>
      </c>
      <c r="AY357" s="2" t="s">
        <v>4842</v>
      </c>
      <c r="AZ357" s="2" t="s">
        <v>4842</v>
      </c>
      <c r="BA357" s="2" t="s">
        <v>4843</v>
      </c>
      <c r="BB357" s="2" t="s">
        <v>21</v>
      </c>
      <c r="BE357" s="2" t="s">
        <v>4844</v>
      </c>
      <c r="BF357" s="2" t="s">
        <v>4845</v>
      </c>
    </row>
    <row r="358" spans="1:58" ht="39.75" customHeight="1" x14ac:dyDescent="0.25">
      <c r="A358" s="1"/>
      <c r="B358" s="1" t="s">
        <v>0</v>
      </c>
      <c r="C358" s="1" t="s">
        <v>1</v>
      </c>
      <c r="D358" s="1" t="s">
        <v>4846</v>
      </c>
      <c r="E358" s="1" t="s">
        <v>4847</v>
      </c>
      <c r="F358" s="1" t="s">
        <v>4848</v>
      </c>
      <c r="H358" s="2" t="s">
        <v>5</v>
      </c>
      <c r="I358" s="2" t="s">
        <v>6</v>
      </c>
      <c r="J358" s="2" t="s">
        <v>5</v>
      </c>
      <c r="K358" s="2" t="s">
        <v>5</v>
      </c>
      <c r="L358" s="2" t="s">
        <v>7</v>
      </c>
      <c r="N358" s="1" t="s">
        <v>4849</v>
      </c>
      <c r="O358" s="2" t="s">
        <v>45</v>
      </c>
      <c r="Q358" s="2" t="s">
        <v>11</v>
      </c>
      <c r="R358" s="2" t="s">
        <v>153</v>
      </c>
      <c r="S358" s="1" t="s">
        <v>4850</v>
      </c>
      <c r="T358" s="2" t="s">
        <v>1367</v>
      </c>
      <c r="U358" s="3">
        <v>3</v>
      </c>
      <c r="V358" s="3">
        <v>3</v>
      </c>
      <c r="W358" s="4" t="s">
        <v>92</v>
      </c>
      <c r="X358" s="4" t="s">
        <v>92</v>
      </c>
      <c r="Y358" s="4" t="s">
        <v>4743</v>
      </c>
      <c r="Z358" s="4" t="s">
        <v>4743</v>
      </c>
      <c r="AA358" s="3">
        <v>654</v>
      </c>
      <c r="AB358" s="3">
        <v>605</v>
      </c>
      <c r="AC358" s="3">
        <v>612</v>
      </c>
      <c r="AD358" s="3">
        <v>4</v>
      </c>
      <c r="AE358" s="7">
        <v>4</v>
      </c>
      <c r="AF358" s="7">
        <v>43</v>
      </c>
      <c r="AG358" s="7">
        <v>43</v>
      </c>
      <c r="AH358" s="3">
        <v>10</v>
      </c>
      <c r="AI358" s="3">
        <v>10</v>
      </c>
      <c r="AJ358" s="3">
        <v>6</v>
      </c>
      <c r="AK358" s="3">
        <v>6</v>
      </c>
      <c r="AL358" s="3">
        <v>14</v>
      </c>
      <c r="AM358" s="3">
        <v>14</v>
      </c>
      <c r="AN358" s="3">
        <v>3</v>
      </c>
      <c r="AO358" s="3">
        <v>3</v>
      </c>
      <c r="AP358" s="3">
        <v>20</v>
      </c>
      <c r="AQ358" s="3">
        <v>20</v>
      </c>
      <c r="AR358" s="2" t="s">
        <v>5</v>
      </c>
      <c r="AS358" s="2" t="s">
        <v>16</v>
      </c>
      <c r="AT358" s="5" t="str">
        <f>HYPERLINK("http://catalog.hathitrust.org/Record/000402756","HathiTrust Record")</f>
        <v>HathiTrust Record</v>
      </c>
      <c r="AU358" s="5" t="str">
        <f>HYPERLINK("https://creighton-primo.hosted.exlibrisgroup.com/primo-explore/search?tab=default_tab&amp;search_scope=EVERYTHING&amp;vid=01CRU&amp;lang=en_US&amp;offset=0&amp;query=any,contains,991000641449702656","Catalog Record")</f>
        <v>Catalog Record</v>
      </c>
      <c r="AV358" s="5" t="str">
        <f>HYPERLINK("http://www.worldcat.org/oclc/12104923","WorldCat Record")</f>
        <v>WorldCat Record</v>
      </c>
      <c r="AW358" s="2" t="s">
        <v>4851</v>
      </c>
      <c r="AX358" s="2" t="s">
        <v>4852</v>
      </c>
      <c r="AY358" s="2" t="s">
        <v>4853</v>
      </c>
      <c r="AZ358" s="2" t="s">
        <v>4853</v>
      </c>
      <c r="BA358" s="2" t="s">
        <v>4854</v>
      </c>
      <c r="BB358" s="2" t="s">
        <v>21</v>
      </c>
      <c r="BD358" s="2" t="s">
        <v>4855</v>
      </c>
      <c r="BE358" s="2" t="s">
        <v>4856</v>
      </c>
      <c r="BF358" s="2" t="s">
        <v>4857</v>
      </c>
    </row>
    <row r="359" spans="1:58" ht="39.75" customHeight="1" x14ac:dyDescent="0.25">
      <c r="A359" s="1"/>
      <c r="B359" s="1" t="s">
        <v>0</v>
      </c>
      <c r="C359" s="1" t="s">
        <v>1</v>
      </c>
      <c r="D359" s="1" t="s">
        <v>4858</v>
      </c>
      <c r="E359" s="1" t="s">
        <v>4859</v>
      </c>
      <c r="F359" s="1" t="s">
        <v>4860</v>
      </c>
      <c r="H359" s="2" t="s">
        <v>5</v>
      </c>
      <c r="I359" s="2" t="s">
        <v>6</v>
      </c>
      <c r="J359" s="2" t="s">
        <v>16</v>
      </c>
      <c r="K359" s="2" t="s">
        <v>5</v>
      </c>
      <c r="L359" s="2" t="s">
        <v>7</v>
      </c>
      <c r="M359" s="1" t="s">
        <v>4861</v>
      </c>
      <c r="N359" s="1" t="s">
        <v>4862</v>
      </c>
      <c r="O359" s="2" t="s">
        <v>1396</v>
      </c>
      <c r="Q359" s="2" t="s">
        <v>11</v>
      </c>
      <c r="R359" s="2" t="s">
        <v>76</v>
      </c>
      <c r="T359" s="2" t="s">
        <v>1367</v>
      </c>
      <c r="U359" s="3">
        <v>0</v>
      </c>
      <c r="V359" s="3">
        <v>1</v>
      </c>
      <c r="W359" s="4" t="s">
        <v>2984</v>
      </c>
      <c r="X359" s="4" t="s">
        <v>2984</v>
      </c>
      <c r="Y359" s="4" t="s">
        <v>4863</v>
      </c>
      <c r="Z359" s="4" t="s">
        <v>4863</v>
      </c>
      <c r="AA359" s="3">
        <v>655</v>
      </c>
      <c r="AB359" s="3">
        <v>626</v>
      </c>
      <c r="AC359" s="3">
        <v>632</v>
      </c>
      <c r="AD359" s="3">
        <v>4</v>
      </c>
      <c r="AE359" s="7">
        <v>4</v>
      </c>
      <c r="AF359" s="7">
        <v>34</v>
      </c>
      <c r="AG359" s="7">
        <v>34</v>
      </c>
      <c r="AH359" s="3">
        <v>9</v>
      </c>
      <c r="AI359" s="3">
        <v>9</v>
      </c>
      <c r="AJ359" s="3">
        <v>4</v>
      </c>
      <c r="AK359" s="3">
        <v>4</v>
      </c>
      <c r="AL359" s="3">
        <v>9</v>
      </c>
      <c r="AM359" s="3">
        <v>9</v>
      </c>
      <c r="AN359" s="3">
        <v>1</v>
      </c>
      <c r="AO359" s="3">
        <v>1</v>
      </c>
      <c r="AP359" s="3">
        <v>17</v>
      </c>
      <c r="AQ359" s="3">
        <v>17</v>
      </c>
      <c r="AR359" s="2" t="s">
        <v>5</v>
      </c>
      <c r="AS359" s="2" t="s">
        <v>5</v>
      </c>
      <c r="AU359" s="5" t="str">
        <f>HYPERLINK("https://creighton-primo.hosted.exlibrisgroup.com/primo-explore/search?tab=default_tab&amp;search_scope=EVERYTHING&amp;vid=01CRU&amp;lang=en_US&amp;offset=0&amp;query=any,contains,991001677169702656","Catalog Record")</f>
        <v>Catalog Record</v>
      </c>
      <c r="AV359" s="5" t="str">
        <f>HYPERLINK("http://www.worldcat.org/oclc/38157332","WorldCat Record")</f>
        <v>WorldCat Record</v>
      </c>
      <c r="AW359" s="2" t="s">
        <v>4864</v>
      </c>
      <c r="AX359" s="2" t="s">
        <v>4865</v>
      </c>
      <c r="AY359" s="2" t="s">
        <v>4866</v>
      </c>
      <c r="AZ359" s="2" t="s">
        <v>4866</v>
      </c>
      <c r="BA359" s="2" t="s">
        <v>4867</v>
      </c>
      <c r="BB359" s="2" t="s">
        <v>21</v>
      </c>
      <c r="BD359" s="2" t="s">
        <v>4868</v>
      </c>
      <c r="BE359" s="2" t="s">
        <v>4869</v>
      </c>
      <c r="BF359" s="2" t="s">
        <v>4870</v>
      </c>
    </row>
    <row r="360" spans="1:58" ht="39.75" customHeight="1" x14ac:dyDescent="0.25">
      <c r="A360" s="1"/>
      <c r="B360" s="1" t="s">
        <v>0</v>
      </c>
      <c r="C360" s="1" t="s">
        <v>1</v>
      </c>
      <c r="D360" s="1" t="s">
        <v>4871</v>
      </c>
      <c r="E360" s="1" t="s">
        <v>4872</v>
      </c>
      <c r="F360" s="1" t="s">
        <v>4873</v>
      </c>
      <c r="H360" s="2" t="s">
        <v>5</v>
      </c>
      <c r="I360" s="2" t="s">
        <v>6</v>
      </c>
      <c r="J360" s="2" t="s">
        <v>5</v>
      </c>
      <c r="K360" s="2" t="s">
        <v>5</v>
      </c>
      <c r="L360" s="2" t="s">
        <v>7</v>
      </c>
      <c r="M360" s="1" t="s">
        <v>4874</v>
      </c>
      <c r="N360" s="1" t="s">
        <v>4875</v>
      </c>
      <c r="O360" s="2" t="s">
        <v>29</v>
      </c>
      <c r="Q360" s="2" t="s">
        <v>11</v>
      </c>
      <c r="R360" s="2" t="s">
        <v>1382</v>
      </c>
      <c r="T360" s="2" t="s">
        <v>1367</v>
      </c>
      <c r="U360" s="3">
        <v>3</v>
      </c>
      <c r="V360" s="3">
        <v>3</v>
      </c>
      <c r="W360" s="4" t="s">
        <v>4876</v>
      </c>
      <c r="X360" s="4" t="s">
        <v>4876</v>
      </c>
      <c r="Y360" s="4" t="s">
        <v>4877</v>
      </c>
      <c r="Z360" s="4" t="s">
        <v>4877</v>
      </c>
      <c r="AA360" s="3">
        <v>489</v>
      </c>
      <c r="AB360" s="3">
        <v>455</v>
      </c>
      <c r="AC360" s="3">
        <v>471</v>
      </c>
      <c r="AD360" s="3">
        <v>3</v>
      </c>
      <c r="AE360" s="7">
        <v>3</v>
      </c>
      <c r="AF360" s="7">
        <v>35</v>
      </c>
      <c r="AG360" s="7">
        <v>35</v>
      </c>
      <c r="AH360" s="3">
        <v>5</v>
      </c>
      <c r="AI360" s="3">
        <v>5</v>
      </c>
      <c r="AJ360" s="3">
        <v>4</v>
      </c>
      <c r="AK360" s="3">
        <v>4</v>
      </c>
      <c r="AL360" s="3">
        <v>8</v>
      </c>
      <c r="AM360" s="3">
        <v>8</v>
      </c>
      <c r="AN360" s="3">
        <v>2</v>
      </c>
      <c r="AO360" s="3">
        <v>2</v>
      </c>
      <c r="AP360" s="3">
        <v>21</v>
      </c>
      <c r="AQ360" s="3">
        <v>21</v>
      </c>
      <c r="AR360" s="2" t="s">
        <v>5</v>
      </c>
      <c r="AS360" s="2" t="s">
        <v>16</v>
      </c>
      <c r="AT360" s="5" t="str">
        <f>HYPERLINK("http://catalog.hathitrust.org/Record/000723207","HathiTrust Record")</f>
        <v>HathiTrust Record</v>
      </c>
      <c r="AU360" s="5" t="str">
        <f>HYPERLINK("https://creighton-primo.hosted.exlibrisgroup.com/primo-explore/search?tab=default_tab&amp;search_scope=EVERYTHING&amp;vid=01CRU&amp;lang=en_US&amp;offset=0&amp;query=any,contains,991004937229702656","Catalog Record")</f>
        <v>Catalog Record</v>
      </c>
      <c r="AV360" s="5" t="str">
        <f>HYPERLINK("http://www.worldcat.org/oclc/6143966","WorldCat Record")</f>
        <v>WorldCat Record</v>
      </c>
      <c r="AW360" s="2" t="s">
        <v>4878</v>
      </c>
      <c r="AX360" s="2" t="s">
        <v>4879</v>
      </c>
      <c r="AY360" s="2" t="s">
        <v>4880</v>
      </c>
      <c r="AZ360" s="2" t="s">
        <v>4880</v>
      </c>
      <c r="BA360" s="2" t="s">
        <v>4881</v>
      </c>
      <c r="BB360" s="2" t="s">
        <v>21</v>
      </c>
      <c r="BD360" s="2" t="s">
        <v>4882</v>
      </c>
      <c r="BE360" s="2" t="s">
        <v>4883</v>
      </c>
      <c r="BF360" s="2" t="s">
        <v>4884</v>
      </c>
    </row>
    <row r="361" spans="1:58" ht="39.75" customHeight="1" x14ac:dyDescent="0.25">
      <c r="A361" s="1"/>
      <c r="B361" s="1" t="s">
        <v>0</v>
      </c>
      <c r="C361" s="1" t="s">
        <v>1</v>
      </c>
      <c r="D361" s="1" t="s">
        <v>4885</v>
      </c>
      <c r="E361" s="1" t="s">
        <v>4886</v>
      </c>
      <c r="F361" s="1" t="s">
        <v>4887</v>
      </c>
      <c r="H361" s="2" t="s">
        <v>5</v>
      </c>
      <c r="I361" s="2" t="s">
        <v>6</v>
      </c>
      <c r="J361" s="2" t="s">
        <v>5</v>
      </c>
      <c r="K361" s="2" t="s">
        <v>5</v>
      </c>
      <c r="L361" s="2" t="s">
        <v>7</v>
      </c>
      <c r="M361" s="1" t="s">
        <v>4888</v>
      </c>
      <c r="N361" s="1" t="s">
        <v>4889</v>
      </c>
      <c r="O361" s="2" t="s">
        <v>918</v>
      </c>
      <c r="Q361" s="2" t="s">
        <v>11</v>
      </c>
      <c r="R361" s="2" t="s">
        <v>903</v>
      </c>
      <c r="T361" s="2" t="s">
        <v>1367</v>
      </c>
      <c r="U361" s="3">
        <v>3</v>
      </c>
      <c r="V361" s="3">
        <v>3</v>
      </c>
      <c r="W361" s="4" t="s">
        <v>4890</v>
      </c>
      <c r="X361" s="4" t="s">
        <v>4890</v>
      </c>
      <c r="Y361" s="4" t="s">
        <v>3740</v>
      </c>
      <c r="Z361" s="4" t="s">
        <v>3740</v>
      </c>
      <c r="AA361" s="3">
        <v>163</v>
      </c>
      <c r="AB361" s="3">
        <v>158</v>
      </c>
      <c r="AC361" s="3">
        <v>177</v>
      </c>
      <c r="AD361" s="3">
        <v>2</v>
      </c>
      <c r="AE361" s="7">
        <v>2</v>
      </c>
      <c r="AF361" s="7">
        <v>4</v>
      </c>
      <c r="AG361" s="7">
        <v>4</v>
      </c>
      <c r="AH361" s="3">
        <v>1</v>
      </c>
      <c r="AI361" s="3">
        <v>1</v>
      </c>
      <c r="AJ361" s="3">
        <v>0</v>
      </c>
      <c r="AK361" s="3">
        <v>0</v>
      </c>
      <c r="AL361" s="3">
        <v>0</v>
      </c>
      <c r="AM361" s="3">
        <v>0</v>
      </c>
      <c r="AN361" s="3">
        <v>1</v>
      </c>
      <c r="AO361" s="3">
        <v>1</v>
      </c>
      <c r="AP361" s="3">
        <v>2</v>
      </c>
      <c r="AQ361" s="3">
        <v>2</v>
      </c>
      <c r="AR361" s="2" t="s">
        <v>5</v>
      </c>
      <c r="AS361" s="2" t="s">
        <v>5</v>
      </c>
      <c r="AU361" s="5" t="str">
        <f>HYPERLINK("https://creighton-primo.hosted.exlibrisgroup.com/primo-explore/search?tab=default_tab&amp;search_scope=EVERYTHING&amp;vid=01CRU&amp;lang=en_US&amp;offset=0&amp;query=any,contains,991002861529702656","Catalog Record")</f>
        <v>Catalog Record</v>
      </c>
      <c r="AV361" s="5" t="str">
        <f>HYPERLINK("http://www.worldcat.org/oclc/37715536","WorldCat Record")</f>
        <v>WorldCat Record</v>
      </c>
      <c r="AW361" s="2" t="s">
        <v>4891</v>
      </c>
      <c r="AX361" s="2" t="s">
        <v>4892</v>
      </c>
      <c r="AY361" s="2" t="s">
        <v>4893</v>
      </c>
      <c r="AZ361" s="2" t="s">
        <v>4893</v>
      </c>
      <c r="BA361" s="2" t="s">
        <v>4894</v>
      </c>
      <c r="BB361" s="2" t="s">
        <v>21</v>
      </c>
      <c r="BD361" s="2" t="s">
        <v>4895</v>
      </c>
      <c r="BE361" s="2" t="s">
        <v>4896</v>
      </c>
      <c r="BF361" s="2" t="s">
        <v>4897</v>
      </c>
    </row>
    <row r="362" spans="1:58" ht="39.75" customHeight="1" x14ac:dyDescent="0.25">
      <c r="A362" s="1"/>
      <c r="B362" s="1" t="s">
        <v>0</v>
      </c>
      <c r="C362" s="1" t="s">
        <v>1</v>
      </c>
      <c r="D362" s="1" t="s">
        <v>4898</v>
      </c>
      <c r="E362" s="1" t="s">
        <v>4899</v>
      </c>
      <c r="F362" s="1" t="s">
        <v>4900</v>
      </c>
      <c r="H362" s="2" t="s">
        <v>5</v>
      </c>
      <c r="I362" s="2" t="s">
        <v>6</v>
      </c>
      <c r="J362" s="2" t="s">
        <v>5</v>
      </c>
      <c r="K362" s="2" t="s">
        <v>5</v>
      </c>
      <c r="L362" s="2" t="s">
        <v>7</v>
      </c>
      <c r="N362" s="1" t="s">
        <v>4901</v>
      </c>
      <c r="O362" s="2" t="s">
        <v>387</v>
      </c>
      <c r="Q362" s="2" t="s">
        <v>11</v>
      </c>
      <c r="R362" s="2" t="s">
        <v>244</v>
      </c>
      <c r="T362" s="2" t="s">
        <v>1367</v>
      </c>
      <c r="U362" s="3">
        <v>6</v>
      </c>
      <c r="V362" s="3">
        <v>6</v>
      </c>
      <c r="W362" s="4" t="s">
        <v>1718</v>
      </c>
      <c r="X362" s="4" t="s">
        <v>1718</v>
      </c>
      <c r="Y362" s="4" t="s">
        <v>4902</v>
      </c>
      <c r="Z362" s="4" t="s">
        <v>4902</v>
      </c>
      <c r="AA362" s="3">
        <v>62</v>
      </c>
      <c r="AB362" s="3">
        <v>47</v>
      </c>
      <c r="AC362" s="3">
        <v>280</v>
      </c>
      <c r="AD362" s="3">
        <v>1</v>
      </c>
      <c r="AE362" s="7">
        <v>1</v>
      </c>
      <c r="AF362" s="7">
        <v>1</v>
      </c>
      <c r="AG362" s="7">
        <v>4</v>
      </c>
      <c r="AH362" s="3">
        <v>1</v>
      </c>
      <c r="AI362" s="3">
        <v>3</v>
      </c>
      <c r="AJ362" s="3">
        <v>0</v>
      </c>
      <c r="AK362" s="3">
        <v>0</v>
      </c>
      <c r="AL362" s="3">
        <v>0</v>
      </c>
      <c r="AM362" s="3">
        <v>1</v>
      </c>
      <c r="AN362" s="3">
        <v>0</v>
      </c>
      <c r="AO362" s="3">
        <v>0</v>
      </c>
      <c r="AP362" s="3">
        <v>0</v>
      </c>
      <c r="AQ362" s="3">
        <v>1</v>
      </c>
      <c r="AR362" s="2" t="s">
        <v>5</v>
      </c>
      <c r="AS362" s="2" t="s">
        <v>5</v>
      </c>
      <c r="AU362" s="5" t="str">
        <f>HYPERLINK("https://creighton-primo.hosted.exlibrisgroup.com/primo-explore/search?tab=default_tab&amp;search_scope=EVERYTHING&amp;vid=01CRU&amp;lang=en_US&amp;offset=0&amp;query=any,contains,991000316249702656","Catalog Record")</f>
        <v>Catalog Record</v>
      </c>
      <c r="AV362" s="5" t="str">
        <f>HYPERLINK("http://www.worldcat.org/oclc/10122056","WorldCat Record")</f>
        <v>WorldCat Record</v>
      </c>
      <c r="AW362" s="2" t="s">
        <v>4903</v>
      </c>
      <c r="AX362" s="2" t="s">
        <v>4904</v>
      </c>
      <c r="AY362" s="2" t="s">
        <v>4905</v>
      </c>
      <c r="AZ362" s="2" t="s">
        <v>4905</v>
      </c>
      <c r="BA362" s="2" t="s">
        <v>4906</v>
      </c>
      <c r="BB362" s="2" t="s">
        <v>21</v>
      </c>
      <c r="BD362" s="2" t="s">
        <v>4907</v>
      </c>
      <c r="BE362" s="2" t="s">
        <v>4908</v>
      </c>
      <c r="BF362" s="2" t="s">
        <v>4909</v>
      </c>
    </row>
    <row r="363" spans="1:58" ht="39.75" customHeight="1" x14ac:dyDescent="0.25">
      <c r="A363" s="1"/>
      <c r="B363" s="1" t="s">
        <v>0</v>
      </c>
      <c r="C363" s="1" t="s">
        <v>1</v>
      </c>
      <c r="D363" s="1" t="s">
        <v>4910</v>
      </c>
      <c r="E363" s="1" t="s">
        <v>4911</v>
      </c>
      <c r="F363" s="1" t="s">
        <v>4912</v>
      </c>
      <c r="H363" s="2" t="s">
        <v>5</v>
      </c>
      <c r="I363" s="2" t="s">
        <v>6</v>
      </c>
      <c r="J363" s="2" t="s">
        <v>5</v>
      </c>
      <c r="K363" s="2" t="s">
        <v>5</v>
      </c>
      <c r="L363" s="2" t="s">
        <v>7</v>
      </c>
      <c r="N363" s="1" t="s">
        <v>4913</v>
      </c>
      <c r="O363" s="2" t="s">
        <v>486</v>
      </c>
      <c r="Q363" s="2" t="s">
        <v>11</v>
      </c>
      <c r="R363" s="2" t="s">
        <v>1483</v>
      </c>
      <c r="T363" s="2" t="s">
        <v>1367</v>
      </c>
      <c r="U363" s="3">
        <v>1</v>
      </c>
      <c r="V363" s="3">
        <v>1</v>
      </c>
      <c r="W363" s="4" t="s">
        <v>4914</v>
      </c>
      <c r="X363" s="4" t="s">
        <v>4914</v>
      </c>
      <c r="Y363" s="4" t="s">
        <v>15</v>
      </c>
      <c r="Z363" s="4" t="s">
        <v>15</v>
      </c>
      <c r="AA363" s="3">
        <v>70</v>
      </c>
      <c r="AB363" s="3">
        <v>64</v>
      </c>
      <c r="AC363" s="3">
        <v>166</v>
      </c>
      <c r="AD363" s="3">
        <v>1</v>
      </c>
      <c r="AE363" s="7">
        <v>2</v>
      </c>
      <c r="AF363" s="7">
        <v>3</v>
      </c>
      <c r="AG363" s="7">
        <v>10</v>
      </c>
      <c r="AH363" s="3">
        <v>1</v>
      </c>
      <c r="AI363" s="3">
        <v>2</v>
      </c>
      <c r="AJ363" s="3">
        <v>0</v>
      </c>
      <c r="AK363" s="3">
        <v>0</v>
      </c>
      <c r="AL363" s="3">
        <v>0</v>
      </c>
      <c r="AM363" s="3">
        <v>2</v>
      </c>
      <c r="AN363" s="3">
        <v>0</v>
      </c>
      <c r="AO363" s="3">
        <v>1</v>
      </c>
      <c r="AP363" s="3">
        <v>2</v>
      </c>
      <c r="AQ363" s="3">
        <v>6</v>
      </c>
      <c r="AR363" s="2" t="s">
        <v>5</v>
      </c>
      <c r="AS363" s="2" t="s">
        <v>16</v>
      </c>
      <c r="AT363" s="5" t="str">
        <f>HYPERLINK("http://catalog.hathitrust.org/Record/010563634","HathiTrust Record")</f>
        <v>HathiTrust Record</v>
      </c>
      <c r="AU363" s="5" t="str">
        <f>HYPERLINK("https://creighton-primo.hosted.exlibrisgroup.com/primo-explore/search?tab=default_tab&amp;search_scope=EVERYTHING&amp;vid=01CRU&amp;lang=en_US&amp;offset=0&amp;query=any,contains,991000076089702656","Catalog Record")</f>
        <v>Catalog Record</v>
      </c>
      <c r="AV363" s="5" t="str">
        <f>HYPERLINK("http://www.worldcat.org/oclc/8806068","WorldCat Record")</f>
        <v>WorldCat Record</v>
      </c>
      <c r="AW363" s="2" t="s">
        <v>4915</v>
      </c>
      <c r="AX363" s="2" t="s">
        <v>4916</v>
      </c>
      <c r="AY363" s="2" t="s">
        <v>4917</v>
      </c>
      <c r="AZ363" s="2" t="s">
        <v>4917</v>
      </c>
      <c r="BA363" s="2" t="s">
        <v>4918</v>
      </c>
      <c r="BB363" s="2" t="s">
        <v>21</v>
      </c>
      <c r="BD363" s="2" t="s">
        <v>4919</v>
      </c>
      <c r="BE363" s="2" t="s">
        <v>4920</v>
      </c>
      <c r="BF363" s="2" t="s">
        <v>4921</v>
      </c>
    </row>
    <row r="364" spans="1:58" ht="39.75" customHeight="1" x14ac:dyDescent="0.25">
      <c r="A364" s="1"/>
      <c r="B364" s="1" t="s">
        <v>0</v>
      </c>
      <c r="C364" s="1" t="s">
        <v>1</v>
      </c>
      <c r="D364" s="1" t="s">
        <v>4922</v>
      </c>
      <c r="E364" s="1" t="s">
        <v>4923</v>
      </c>
      <c r="F364" s="1" t="s">
        <v>4924</v>
      </c>
      <c r="H364" s="2" t="s">
        <v>5</v>
      </c>
      <c r="I364" s="2" t="s">
        <v>6</v>
      </c>
      <c r="J364" s="2" t="s">
        <v>5</v>
      </c>
      <c r="K364" s="2" t="s">
        <v>5</v>
      </c>
      <c r="L364" s="2" t="s">
        <v>7</v>
      </c>
      <c r="M364" s="1" t="s">
        <v>4925</v>
      </c>
      <c r="N364" s="1" t="s">
        <v>4926</v>
      </c>
      <c r="O364" s="2" t="s">
        <v>4927</v>
      </c>
      <c r="Q364" s="2" t="s">
        <v>11</v>
      </c>
      <c r="R364" s="2" t="s">
        <v>12</v>
      </c>
      <c r="T364" s="2" t="s">
        <v>1367</v>
      </c>
      <c r="U364" s="3">
        <v>2</v>
      </c>
      <c r="V364" s="3">
        <v>2</v>
      </c>
      <c r="W364" s="4" t="s">
        <v>4890</v>
      </c>
      <c r="X364" s="4" t="s">
        <v>4890</v>
      </c>
      <c r="Y364" s="4" t="s">
        <v>1578</v>
      </c>
      <c r="Z364" s="4" t="s">
        <v>1578</v>
      </c>
      <c r="AA364" s="3">
        <v>55</v>
      </c>
      <c r="AB364" s="3">
        <v>54</v>
      </c>
      <c r="AC364" s="3">
        <v>55</v>
      </c>
      <c r="AD364" s="3">
        <v>1</v>
      </c>
      <c r="AE364" s="7">
        <v>1</v>
      </c>
      <c r="AF364" s="7">
        <v>3</v>
      </c>
      <c r="AG364" s="7">
        <v>3</v>
      </c>
      <c r="AH364" s="3">
        <v>2</v>
      </c>
      <c r="AI364" s="3">
        <v>2</v>
      </c>
      <c r="AJ364" s="3">
        <v>0</v>
      </c>
      <c r="AK364" s="3">
        <v>0</v>
      </c>
      <c r="AL364" s="3">
        <v>3</v>
      </c>
      <c r="AM364" s="3">
        <v>3</v>
      </c>
      <c r="AN364" s="3">
        <v>0</v>
      </c>
      <c r="AO364" s="3">
        <v>0</v>
      </c>
      <c r="AP364" s="3">
        <v>0</v>
      </c>
      <c r="AQ364" s="3">
        <v>0</v>
      </c>
      <c r="AR364" s="2" t="s">
        <v>5</v>
      </c>
      <c r="AS364" s="2" t="s">
        <v>16</v>
      </c>
      <c r="AT364" s="5" t="str">
        <f>HYPERLINK("http://catalog.hathitrust.org/Record/010655119","HathiTrust Record")</f>
        <v>HathiTrust Record</v>
      </c>
      <c r="AU364" s="5" t="str">
        <f>HYPERLINK("https://creighton-primo.hosted.exlibrisgroup.com/primo-explore/search?tab=default_tab&amp;search_scope=EVERYTHING&amp;vid=01CRU&amp;lang=en_US&amp;offset=0&amp;query=any,contains,991002991179702656","Catalog Record")</f>
        <v>Catalog Record</v>
      </c>
      <c r="AV364" s="5" t="str">
        <f>HYPERLINK("http://www.worldcat.org/oclc/560714","WorldCat Record")</f>
        <v>WorldCat Record</v>
      </c>
      <c r="AW364" s="2" t="s">
        <v>4928</v>
      </c>
      <c r="AX364" s="2" t="s">
        <v>4929</v>
      </c>
      <c r="AY364" s="2" t="s">
        <v>4930</v>
      </c>
      <c r="AZ364" s="2" t="s">
        <v>4930</v>
      </c>
      <c r="BA364" s="2" t="s">
        <v>4931</v>
      </c>
      <c r="BB364" s="2" t="s">
        <v>21</v>
      </c>
      <c r="BE364" s="2" t="s">
        <v>4932</v>
      </c>
      <c r="BF364" s="2" t="s">
        <v>4933</v>
      </c>
    </row>
    <row r="365" spans="1:58" ht="39.75" customHeight="1" x14ac:dyDescent="0.25">
      <c r="A365" s="1"/>
      <c r="B365" s="1" t="s">
        <v>0</v>
      </c>
      <c r="C365" s="1" t="s">
        <v>1</v>
      </c>
      <c r="D365" s="1" t="s">
        <v>4934</v>
      </c>
      <c r="E365" s="1" t="s">
        <v>4935</v>
      </c>
      <c r="F365" s="1" t="s">
        <v>4936</v>
      </c>
      <c r="H365" s="2" t="s">
        <v>5</v>
      </c>
      <c r="I365" s="2" t="s">
        <v>6</v>
      </c>
      <c r="J365" s="2" t="s">
        <v>5</v>
      </c>
      <c r="K365" s="2" t="s">
        <v>5</v>
      </c>
      <c r="L365" s="2" t="s">
        <v>7</v>
      </c>
      <c r="M365" s="1" t="s">
        <v>4937</v>
      </c>
      <c r="N365" s="1" t="s">
        <v>4938</v>
      </c>
      <c r="O365" s="2" t="s">
        <v>29</v>
      </c>
      <c r="P365" s="1" t="s">
        <v>340</v>
      </c>
      <c r="Q365" s="2" t="s">
        <v>11</v>
      </c>
      <c r="R365" s="2" t="s">
        <v>185</v>
      </c>
      <c r="T365" s="2" t="s">
        <v>1367</v>
      </c>
      <c r="U365" s="3">
        <v>7</v>
      </c>
      <c r="V365" s="3">
        <v>7</v>
      </c>
      <c r="W365" s="4" t="s">
        <v>1237</v>
      </c>
      <c r="X365" s="4" t="s">
        <v>1237</v>
      </c>
      <c r="Y365" s="4" t="s">
        <v>4939</v>
      </c>
      <c r="Z365" s="4" t="s">
        <v>4939</v>
      </c>
      <c r="AA365" s="3">
        <v>294</v>
      </c>
      <c r="AB365" s="3">
        <v>263</v>
      </c>
      <c r="AC365" s="3">
        <v>698</v>
      </c>
      <c r="AD365" s="3">
        <v>1</v>
      </c>
      <c r="AE365" s="7">
        <v>4</v>
      </c>
      <c r="AF365" s="7">
        <v>24</v>
      </c>
      <c r="AG365" s="7">
        <v>41</v>
      </c>
      <c r="AH365" s="3">
        <v>2</v>
      </c>
      <c r="AI365" s="3">
        <v>6</v>
      </c>
      <c r="AJ365" s="3">
        <v>1</v>
      </c>
      <c r="AK365" s="3">
        <v>6</v>
      </c>
      <c r="AL365" s="3">
        <v>3</v>
      </c>
      <c r="AM365" s="3">
        <v>10</v>
      </c>
      <c r="AN365" s="3">
        <v>0</v>
      </c>
      <c r="AO365" s="3">
        <v>2</v>
      </c>
      <c r="AP365" s="3">
        <v>20</v>
      </c>
      <c r="AQ365" s="3">
        <v>24</v>
      </c>
      <c r="AR365" s="2" t="s">
        <v>5</v>
      </c>
      <c r="AS365" s="2" t="s">
        <v>5</v>
      </c>
      <c r="AU365" s="5" t="str">
        <f>HYPERLINK("https://creighton-primo.hosted.exlibrisgroup.com/primo-explore/search?tab=default_tab&amp;search_scope=EVERYTHING&amp;vid=01CRU&amp;lang=en_US&amp;offset=0&amp;query=any,contains,991004897579702656","Catalog Record")</f>
        <v>Catalog Record</v>
      </c>
      <c r="AV365" s="5" t="str">
        <f>HYPERLINK("http://www.worldcat.org/oclc/5897833","WorldCat Record")</f>
        <v>WorldCat Record</v>
      </c>
      <c r="AW365" s="2" t="s">
        <v>4940</v>
      </c>
      <c r="AX365" s="2" t="s">
        <v>4941</v>
      </c>
      <c r="AY365" s="2" t="s">
        <v>4942</v>
      </c>
      <c r="AZ365" s="2" t="s">
        <v>4942</v>
      </c>
      <c r="BA365" s="2" t="s">
        <v>4943</v>
      </c>
      <c r="BB365" s="2" t="s">
        <v>21</v>
      </c>
      <c r="BD365" s="2" t="s">
        <v>4944</v>
      </c>
      <c r="BE365" s="2" t="s">
        <v>4945</v>
      </c>
      <c r="BF365" s="2" t="s">
        <v>4946</v>
      </c>
    </row>
    <row r="366" spans="1:58" ht="39.75" customHeight="1" x14ac:dyDescent="0.25">
      <c r="A366" s="1"/>
      <c r="B366" s="1" t="s">
        <v>0</v>
      </c>
      <c r="C366" s="1" t="s">
        <v>1</v>
      </c>
      <c r="D366" s="1" t="s">
        <v>4947</v>
      </c>
      <c r="E366" s="1" t="s">
        <v>4948</v>
      </c>
      <c r="F366" s="1" t="s">
        <v>4949</v>
      </c>
      <c r="H366" s="2" t="s">
        <v>5</v>
      </c>
      <c r="I366" s="2" t="s">
        <v>6</v>
      </c>
      <c r="J366" s="2" t="s">
        <v>5</v>
      </c>
      <c r="K366" s="2" t="s">
        <v>5</v>
      </c>
      <c r="L366" s="2" t="s">
        <v>7</v>
      </c>
      <c r="N366" s="1" t="s">
        <v>4950</v>
      </c>
      <c r="O366" s="2" t="s">
        <v>45</v>
      </c>
      <c r="Q366" s="2" t="s">
        <v>11</v>
      </c>
      <c r="R366" s="2" t="s">
        <v>4323</v>
      </c>
      <c r="T366" s="2" t="s">
        <v>1367</v>
      </c>
      <c r="U366" s="3">
        <v>13</v>
      </c>
      <c r="V366" s="3">
        <v>13</v>
      </c>
      <c r="W366" s="4" t="s">
        <v>1237</v>
      </c>
      <c r="X366" s="4" t="s">
        <v>1237</v>
      </c>
      <c r="Y366" s="4" t="s">
        <v>4951</v>
      </c>
      <c r="Z366" s="4" t="s">
        <v>4951</v>
      </c>
      <c r="AA366" s="3">
        <v>210</v>
      </c>
      <c r="AB366" s="3">
        <v>201</v>
      </c>
      <c r="AC366" s="3">
        <v>208</v>
      </c>
      <c r="AD366" s="3">
        <v>2</v>
      </c>
      <c r="AE366" s="7">
        <v>2</v>
      </c>
      <c r="AF366" s="7">
        <v>16</v>
      </c>
      <c r="AG366" s="7">
        <v>16</v>
      </c>
      <c r="AH366" s="3">
        <v>1</v>
      </c>
      <c r="AI366" s="3">
        <v>1</v>
      </c>
      <c r="AJ366" s="3">
        <v>3</v>
      </c>
      <c r="AK366" s="3">
        <v>3</v>
      </c>
      <c r="AL366" s="3">
        <v>4</v>
      </c>
      <c r="AM366" s="3">
        <v>4</v>
      </c>
      <c r="AN366" s="3">
        <v>1</v>
      </c>
      <c r="AO366" s="3">
        <v>1</v>
      </c>
      <c r="AP366" s="3">
        <v>9</v>
      </c>
      <c r="AQ366" s="3">
        <v>9</v>
      </c>
      <c r="AR366" s="2" t="s">
        <v>5</v>
      </c>
      <c r="AS366" s="2" t="s">
        <v>5</v>
      </c>
      <c r="AU366" s="5" t="str">
        <f>HYPERLINK("https://creighton-primo.hosted.exlibrisgroup.com/primo-explore/search?tab=default_tab&amp;search_scope=EVERYTHING&amp;vid=01CRU&amp;lang=en_US&amp;offset=0&amp;query=any,contains,991000648759702656","Catalog Record")</f>
        <v>Catalog Record</v>
      </c>
      <c r="AV366" s="5" t="str">
        <f>HYPERLINK("http://www.worldcat.org/oclc/12152900","WorldCat Record")</f>
        <v>WorldCat Record</v>
      </c>
      <c r="AW366" s="2" t="s">
        <v>4952</v>
      </c>
      <c r="AX366" s="2" t="s">
        <v>4953</v>
      </c>
      <c r="AY366" s="2" t="s">
        <v>4954</v>
      </c>
      <c r="AZ366" s="2" t="s">
        <v>4954</v>
      </c>
      <c r="BA366" s="2" t="s">
        <v>4955</v>
      </c>
      <c r="BB366" s="2" t="s">
        <v>21</v>
      </c>
      <c r="BD366" s="2" t="s">
        <v>4956</v>
      </c>
      <c r="BE366" s="2" t="s">
        <v>4957</v>
      </c>
      <c r="BF366" s="2" t="s">
        <v>4958</v>
      </c>
    </row>
    <row r="367" spans="1:58" ht="39.75" customHeight="1" x14ac:dyDescent="0.25">
      <c r="A367" s="1"/>
      <c r="B367" s="1" t="s">
        <v>0</v>
      </c>
      <c r="C367" s="1" t="s">
        <v>1</v>
      </c>
      <c r="D367" s="1" t="s">
        <v>4959</v>
      </c>
      <c r="E367" s="1" t="s">
        <v>4960</v>
      </c>
      <c r="F367" s="1" t="s">
        <v>4961</v>
      </c>
      <c r="H367" s="2" t="s">
        <v>5</v>
      </c>
      <c r="I367" s="2" t="s">
        <v>6</v>
      </c>
      <c r="J367" s="2" t="s">
        <v>5</v>
      </c>
      <c r="K367" s="2" t="s">
        <v>5</v>
      </c>
      <c r="L367" s="2" t="s">
        <v>7</v>
      </c>
      <c r="M367" s="1" t="s">
        <v>4962</v>
      </c>
      <c r="N367" s="1" t="s">
        <v>4963</v>
      </c>
      <c r="O367" s="2" t="s">
        <v>1001</v>
      </c>
      <c r="Q367" s="2" t="s">
        <v>11</v>
      </c>
      <c r="R367" s="2" t="s">
        <v>306</v>
      </c>
      <c r="T367" s="2" t="s">
        <v>1367</v>
      </c>
      <c r="U367" s="3">
        <v>1</v>
      </c>
      <c r="V367" s="3">
        <v>1</v>
      </c>
      <c r="W367" s="4" t="s">
        <v>1237</v>
      </c>
      <c r="X367" s="4" t="s">
        <v>1237</v>
      </c>
      <c r="Y367" s="4" t="s">
        <v>1073</v>
      </c>
      <c r="Z367" s="4" t="s">
        <v>1073</v>
      </c>
      <c r="AA367" s="3">
        <v>111</v>
      </c>
      <c r="AB367" s="3">
        <v>97</v>
      </c>
      <c r="AC367" s="3">
        <v>255</v>
      </c>
      <c r="AD367" s="3">
        <v>2</v>
      </c>
      <c r="AE367" s="7">
        <v>2</v>
      </c>
      <c r="AF367" s="7">
        <v>8</v>
      </c>
      <c r="AG367" s="7">
        <v>25</v>
      </c>
      <c r="AH367" s="3">
        <v>1</v>
      </c>
      <c r="AI367" s="3">
        <v>1</v>
      </c>
      <c r="AJ367" s="3">
        <v>1</v>
      </c>
      <c r="AK367" s="3">
        <v>3</v>
      </c>
      <c r="AL367" s="3">
        <v>0</v>
      </c>
      <c r="AM367" s="3">
        <v>2</v>
      </c>
      <c r="AN367" s="3">
        <v>0</v>
      </c>
      <c r="AO367" s="3">
        <v>0</v>
      </c>
      <c r="AP367" s="3">
        <v>6</v>
      </c>
      <c r="AQ367" s="3">
        <v>20</v>
      </c>
      <c r="AR367" s="2" t="s">
        <v>5</v>
      </c>
      <c r="AS367" s="2" t="s">
        <v>5</v>
      </c>
      <c r="AU367" s="5" t="str">
        <f>HYPERLINK("https://creighton-primo.hosted.exlibrisgroup.com/primo-explore/search?tab=default_tab&amp;search_scope=EVERYTHING&amp;vid=01CRU&amp;lang=en_US&amp;offset=0&amp;query=any,contains,991003951249702656","Catalog Record")</f>
        <v>Catalog Record</v>
      </c>
      <c r="AV367" s="5" t="str">
        <f>HYPERLINK("http://www.worldcat.org/oclc/1958190","WorldCat Record")</f>
        <v>WorldCat Record</v>
      </c>
      <c r="AW367" s="2" t="s">
        <v>4964</v>
      </c>
      <c r="AX367" s="2" t="s">
        <v>4965</v>
      </c>
      <c r="AY367" s="2" t="s">
        <v>4966</v>
      </c>
      <c r="AZ367" s="2" t="s">
        <v>4966</v>
      </c>
      <c r="BA367" s="2" t="s">
        <v>4967</v>
      </c>
      <c r="BB367" s="2" t="s">
        <v>21</v>
      </c>
      <c r="BD367" s="2" t="s">
        <v>4968</v>
      </c>
      <c r="BE367" s="2" t="s">
        <v>4969</v>
      </c>
      <c r="BF367" s="2" t="s">
        <v>4970</v>
      </c>
    </row>
    <row r="368" spans="1:58" ht="39.75" customHeight="1" x14ac:dyDescent="0.25">
      <c r="A368" s="1"/>
      <c r="B368" s="1" t="s">
        <v>0</v>
      </c>
      <c r="C368" s="1" t="s">
        <v>1</v>
      </c>
      <c r="D368" s="1" t="s">
        <v>4971</v>
      </c>
      <c r="E368" s="1" t="s">
        <v>4972</v>
      </c>
      <c r="F368" s="1" t="s">
        <v>4973</v>
      </c>
      <c r="H368" s="2" t="s">
        <v>5</v>
      </c>
      <c r="I368" s="2" t="s">
        <v>6</v>
      </c>
      <c r="J368" s="2" t="s">
        <v>5</v>
      </c>
      <c r="K368" s="2" t="s">
        <v>5</v>
      </c>
      <c r="L368" s="2" t="s">
        <v>7</v>
      </c>
      <c r="M368" s="1" t="s">
        <v>4974</v>
      </c>
      <c r="N368" s="1" t="s">
        <v>4975</v>
      </c>
      <c r="O368" s="2" t="s">
        <v>355</v>
      </c>
      <c r="Q368" s="2" t="s">
        <v>11</v>
      </c>
      <c r="R368" s="2" t="s">
        <v>4976</v>
      </c>
      <c r="S368" s="1" t="s">
        <v>4977</v>
      </c>
      <c r="T368" s="2" t="s">
        <v>1367</v>
      </c>
      <c r="U368" s="3">
        <v>5</v>
      </c>
      <c r="V368" s="3">
        <v>5</v>
      </c>
      <c r="W368" s="4" t="s">
        <v>4978</v>
      </c>
      <c r="X368" s="4" t="s">
        <v>4978</v>
      </c>
      <c r="Y368" s="4" t="s">
        <v>4979</v>
      </c>
      <c r="Z368" s="4" t="s">
        <v>4979</v>
      </c>
      <c r="AA368" s="3">
        <v>170</v>
      </c>
      <c r="AB368" s="3">
        <v>157</v>
      </c>
      <c r="AC368" s="3">
        <v>170</v>
      </c>
      <c r="AD368" s="3">
        <v>2</v>
      </c>
      <c r="AE368" s="7">
        <v>2</v>
      </c>
      <c r="AF368" s="7">
        <v>9</v>
      </c>
      <c r="AG368" s="7">
        <v>9</v>
      </c>
      <c r="AH368" s="3">
        <v>1</v>
      </c>
      <c r="AI368" s="3">
        <v>1</v>
      </c>
      <c r="AJ368" s="3">
        <v>0</v>
      </c>
      <c r="AK368" s="3">
        <v>0</v>
      </c>
      <c r="AL368" s="3">
        <v>0</v>
      </c>
      <c r="AM368" s="3">
        <v>0</v>
      </c>
      <c r="AN368" s="3">
        <v>1</v>
      </c>
      <c r="AO368" s="3">
        <v>1</v>
      </c>
      <c r="AP368" s="3">
        <v>7</v>
      </c>
      <c r="AQ368" s="3">
        <v>7</v>
      </c>
      <c r="AR368" s="2" t="s">
        <v>5</v>
      </c>
      <c r="AS368" s="2" t="s">
        <v>16</v>
      </c>
      <c r="AT368" s="5" t="str">
        <f>HYPERLINK("http://catalog.hathitrust.org/Record/000386828","HathiTrust Record")</f>
        <v>HathiTrust Record</v>
      </c>
      <c r="AU368" s="5" t="str">
        <f>HYPERLINK("https://creighton-primo.hosted.exlibrisgroup.com/primo-explore/search?tab=default_tab&amp;search_scope=EVERYTHING&amp;vid=01CRU&amp;lang=en_US&amp;offset=0&amp;query=any,contains,991003331809702656","Catalog Record")</f>
        <v>Catalog Record</v>
      </c>
      <c r="AV368" s="5" t="str">
        <f>HYPERLINK("http://www.worldcat.org/oclc/863254","WorldCat Record")</f>
        <v>WorldCat Record</v>
      </c>
      <c r="AW368" s="2" t="s">
        <v>4980</v>
      </c>
      <c r="AX368" s="2" t="s">
        <v>4981</v>
      </c>
      <c r="AY368" s="2" t="s">
        <v>4982</v>
      </c>
      <c r="AZ368" s="2" t="s">
        <v>4982</v>
      </c>
      <c r="BA368" s="2" t="s">
        <v>4983</v>
      </c>
      <c r="BB368" s="2" t="s">
        <v>21</v>
      </c>
      <c r="BE368" s="2" t="s">
        <v>4984</v>
      </c>
      <c r="BF368" s="2" t="s">
        <v>4985</v>
      </c>
    </row>
    <row r="369" spans="1:58" ht="39.75" customHeight="1" x14ac:dyDescent="0.25">
      <c r="A369" s="1"/>
      <c r="B369" s="1" t="s">
        <v>0</v>
      </c>
      <c r="C369" s="1" t="s">
        <v>1</v>
      </c>
      <c r="D369" s="1" t="s">
        <v>4986</v>
      </c>
      <c r="E369" s="1" t="s">
        <v>4987</v>
      </c>
      <c r="F369" s="1" t="s">
        <v>4988</v>
      </c>
      <c r="H369" s="2" t="s">
        <v>5</v>
      </c>
      <c r="I369" s="2" t="s">
        <v>6</v>
      </c>
      <c r="J369" s="2" t="s">
        <v>5</v>
      </c>
      <c r="K369" s="2" t="s">
        <v>16</v>
      </c>
      <c r="L369" s="2" t="s">
        <v>7</v>
      </c>
      <c r="M369" s="1" t="s">
        <v>4989</v>
      </c>
      <c r="N369" s="1" t="s">
        <v>4990</v>
      </c>
      <c r="O369" s="2" t="s">
        <v>1745</v>
      </c>
      <c r="Q369" s="2" t="s">
        <v>11</v>
      </c>
      <c r="R369" s="2" t="s">
        <v>4323</v>
      </c>
      <c r="T369" s="2" t="s">
        <v>1367</v>
      </c>
      <c r="U369" s="3">
        <v>7</v>
      </c>
      <c r="V369" s="3">
        <v>7</v>
      </c>
      <c r="W369" s="4" t="s">
        <v>4991</v>
      </c>
      <c r="X369" s="4" t="s">
        <v>4991</v>
      </c>
      <c r="Y369" s="4" t="s">
        <v>4992</v>
      </c>
      <c r="Z369" s="4" t="s">
        <v>4992</v>
      </c>
      <c r="AA369" s="3">
        <v>121</v>
      </c>
      <c r="AB369" s="3">
        <v>101</v>
      </c>
      <c r="AC369" s="3">
        <v>664</v>
      </c>
      <c r="AD369" s="3">
        <v>1</v>
      </c>
      <c r="AE369" s="7">
        <v>6</v>
      </c>
      <c r="AF369" s="7">
        <v>8</v>
      </c>
      <c r="AG369" s="7">
        <v>37</v>
      </c>
      <c r="AH369" s="3">
        <v>2</v>
      </c>
      <c r="AI369" s="3">
        <v>8</v>
      </c>
      <c r="AJ369" s="3">
        <v>0</v>
      </c>
      <c r="AK369" s="3">
        <v>5</v>
      </c>
      <c r="AL369" s="3">
        <v>2</v>
      </c>
      <c r="AM369" s="3">
        <v>7</v>
      </c>
      <c r="AN369" s="3">
        <v>0</v>
      </c>
      <c r="AO369" s="3">
        <v>4</v>
      </c>
      <c r="AP369" s="3">
        <v>5</v>
      </c>
      <c r="AQ369" s="3">
        <v>16</v>
      </c>
      <c r="AR369" s="2" t="s">
        <v>5</v>
      </c>
      <c r="AS369" s="2" t="s">
        <v>5</v>
      </c>
      <c r="AU369" s="5" t="str">
        <f>HYPERLINK("https://creighton-primo.hosted.exlibrisgroup.com/primo-explore/search?tab=default_tab&amp;search_scope=EVERYTHING&amp;vid=01CRU&amp;lang=en_US&amp;offset=0&amp;query=any,contains,991002122469702656","Catalog Record")</f>
        <v>Catalog Record</v>
      </c>
      <c r="AV369" s="5" t="str">
        <f>HYPERLINK("http://www.worldcat.org/oclc/27186758","WorldCat Record")</f>
        <v>WorldCat Record</v>
      </c>
      <c r="AW369" s="2" t="s">
        <v>4993</v>
      </c>
      <c r="AX369" s="2" t="s">
        <v>4994</v>
      </c>
      <c r="AY369" s="2" t="s">
        <v>4995</v>
      </c>
      <c r="AZ369" s="2" t="s">
        <v>4995</v>
      </c>
      <c r="BA369" s="2" t="s">
        <v>4996</v>
      </c>
      <c r="BB369" s="2" t="s">
        <v>21</v>
      </c>
      <c r="BD369" s="2" t="s">
        <v>4997</v>
      </c>
      <c r="BE369" s="2" t="s">
        <v>4998</v>
      </c>
      <c r="BF369" s="2" t="s">
        <v>4999</v>
      </c>
    </row>
    <row r="370" spans="1:58" ht="39.75" customHeight="1" x14ac:dyDescent="0.25">
      <c r="A370" s="1"/>
      <c r="B370" s="1" t="s">
        <v>0</v>
      </c>
      <c r="C370" s="1" t="s">
        <v>1</v>
      </c>
      <c r="D370" s="1" t="s">
        <v>5000</v>
      </c>
      <c r="E370" s="1" t="s">
        <v>5001</v>
      </c>
      <c r="F370" s="1" t="s">
        <v>5002</v>
      </c>
      <c r="H370" s="2" t="s">
        <v>5</v>
      </c>
      <c r="I370" s="2" t="s">
        <v>6</v>
      </c>
      <c r="J370" s="2" t="s">
        <v>5</v>
      </c>
      <c r="K370" s="2" t="s">
        <v>5</v>
      </c>
      <c r="L370" s="2" t="s">
        <v>7</v>
      </c>
      <c r="M370" s="1" t="s">
        <v>5003</v>
      </c>
      <c r="N370" s="1" t="s">
        <v>5004</v>
      </c>
      <c r="O370" s="2" t="s">
        <v>486</v>
      </c>
      <c r="Q370" s="2" t="s">
        <v>11</v>
      </c>
      <c r="R370" s="2" t="s">
        <v>1977</v>
      </c>
      <c r="T370" s="2" t="s">
        <v>1367</v>
      </c>
      <c r="U370" s="3">
        <v>2</v>
      </c>
      <c r="V370" s="3">
        <v>2</v>
      </c>
      <c r="W370" s="4" t="s">
        <v>5005</v>
      </c>
      <c r="X370" s="4" t="s">
        <v>5005</v>
      </c>
      <c r="Y370" s="4" t="s">
        <v>4743</v>
      </c>
      <c r="Z370" s="4" t="s">
        <v>4743</v>
      </c>
      <c r="AA370" s="3">
        <v>211</v>
      </c>
      <c r="AB370" s="3">
        <v>195</v>
      </c>
      <c r="AC370" s="3">
        <v>208</v>
      </c>
      <c r="AD370" s="3">
        <v>2</v>
      </c>
      <c r="AE370" s="7">
        <v>2</v>
      </c>
      <c r="AF370" s="7">
        <v>21</v>
      </c>
      <c r="AG370" s="7">
        <v>22</v>
      </c>
      <c r="AH370" s="3">
        <v>1</v>
      </c>
      <c r="AI370" s="3">
        <v>2</v>
      </c>
      <c r="AJ370" s="3">
        <v>0</v>
      </c>
      <c r="AK370" s="3">
        <v>0</v>
      </c>
      <c r="AL370" s="3">
        <v>0</v>
      </c>
      <c r="AM370" s="3">
        <v>0</v>
      </c>
      <c r="AN370" s="3">
        <v>0</v>
      </c>
      <c r="AO370" s="3">
        <v>0</v>
      </c>
      <c r="AP370" s="3">
        <v>20</v>
      </c>
      <c r="AQ370" s="3">
        <v>20</v>
      </c>
      <c r="AR370" s="2" t="s">
        <v>5</v>
      </c>
      <c r="AS370" s="2" t="s">
        <v>5</v>
      </c>
      <c r="AU370" s="5" t="str">
        <f>HYPERLINK("https://creighton-primo.hosted.exlibrisgroup.com/primo-explore/search?tab=default_tab&amp;search_scope=EVERYTHING&amp;vid=01CRU&amp;lang=en_US&amp;offset=0&amp;query=any,contains,991000215089702656","Catalog Record")</f>
        <v>Catalog Record</v>
      </c>
      <c r="AV370" s="5" t="str">
        <f>HYPERLINK("http://www.worldcat.org/oclc/9557500","WorldCat Record")</f>
        <v>WorldCat Record</v>
      </c>
      <c r="AW370" s="2" t="s">
        <v>5006</v>
      </c>
      <c r="AX370" s="2" t="s">
        <v>5007</v>
      </c>
      <c r="AY370" s="2" t="s">
        <v>5008</v>
      </c>
      <c r="AZ370" s="2" t="s">
        <v>5008</v>
      </c>
      <c r="BA370" s="2" t="s">
        <v>5009</v>
      </c>
      <c r="BB370" s="2" t="s">
        <v>21</v>
      </c>
      <c r="BD370" s="2" t="s">
        <v>5010</v>
      </c>
      <c r="BE370" s="2" t="s">
        <v>5011</v>
      </c>
      <c r="BF370" s="2" t="s">
        <v>5012</v>
      </c>
    </row>
    <row r="371" spans="1:58" ht="39.75" customHeight="1" x14ac:dyDescent="0.25">
      <c r="A371" s="1"/>
      <c r="B371" s="1" t="s">
        <v>0</v>
      </c>
      <c r="C371" s="1" t="s">
        <v>1</v>
      </c>
      <c r="D371" s="1" t="s">
        <v>5013</v>
      </c>
      <c r="E371" s="1" t="s">
        <v>5014</v>
      </c>
      <c r="F371" s="1" t="s">
        <v>5015</v>
      </c>
      <c r="H371" s="2" t="s">
        <v>5</v>
      </c>
      <c r="I371" s="2" t="s">
        <v>6</v>
      </c>
      <c r="J371" s="2" t="s">
        <v>5</v>
      </c>
      <c r="K371" s="2" t="s">
        <v>5</v>
      </c>
      <c r="L371" s="2" t="s">
        <v>7</v>
      </c>
      <c r="M371" s="1" t="s">
        <v>5016</v>
      </c>
      <c r="N371" s="1" t="s">
        <v>5017</v>
      </c>
      <c r="O371" s="2" t="s">
        <v>387</v>
      </c>
      <c r="Q371" s="2" t="s">
        <v>11</v>
      </c>
      <c r="R371" s="2" t="s">
        <v>76</v>
      </c>
      <c r="S371" s="1" t="s">
        <v>5018</v>
      </c>
      <c r="T371" s="2" t="s">
        <v>1367</v>
      </c>
      <c r="U371" s="3">
        <v>15</v>
      </c>
      <c r="V371" s="3">
        <v>15</v>
      </c>
      <c r="W371" s="4" t="s">
        <v>5019</v>
      </c>
      <c r="X371" s="4" t="s">
        <v>5019</v>
      </c>
      <c r="Y371" s="4" t="s">
        <v>5020</v>
      </c>
      <c r="Z371" s="4" t="s">
        <v>5020</v>
      </c>
      <c r="AA371" s="3">
        <v>663</v>
      </c>
      <c r="AB371" s="3">
        <v>565</v>
      </c>
      <c r="AC371" s="3">
        <v>708</v>
      </c>
      <c r="AD371" s="3">
        <v>4</v>
      </c>
      <c r="AE371" s="7">
        <v>5</v>
      </c>
      <c r="AF371" s="7">
        <v>36</v>
      </c>
      <c r="AG371" s="7">
        <v>42</v>
      </c>
      <c r="AH371" s="3">
        <v>10</v>
      </c>
      <c r="AI371" s="3">
        <v>12</v>
      </c>
      <c r="AJ371" s="3">
        <v>7</v>
      </c>
      <c r="AK371" s="3">
        <v>8</v>
      </c>
      <c r="AL371" s="3">
        <v>14</v>
      </c>
      <c r="AM371" s="3">
        <v>16</v>
      </c>
      <c r="AN371" s="3">
        <v>2</v>
      </c>
      <c r="AO371" s="3">
        <v>3</v>
      </c>
      <c r="AP371" s="3">
        <v>10</v>
      </c>
      <c r="AQ371" s="3">
        <v>11</v>
      </c>
      <c r="AR371" s="2" t="s">
        <v>5</v>
      </c>
      <c r="AS371" s="2" t="s">
        <v>16</v>
      </c>
      <c r="AT371" s="5" t="str">
        <f>HYPERLINK("http://catalog.hathitrust.org/Record/000331848","HathiTrust Record")</f>
        <v>HathiTrust Record</v>
      </c>
      <c r="AU371" s="5" t="str">
        <f>HYPERLINK("https://creighton-primo.hosted.exlibrisgroup.com/primo-explore/search?tab=default_tab&amp;search_scope=EVERYTHING&amp;vid=01CRU&amp;lang=en_US&amp;offset=0&amp;query=any,contains,991000423759702656","Catalog Record")</f>
        <v>Catalog Record</v>
      </c>
      <c r="AV371" s="5" t="str">
        <f>HYPERLINK("http://www.worldcat.org/oclc/10751822","WorldCat Record")</f>
        <v>WorldCat Record</v>
      </c>
      <c r="AW371" s="2" t="s">
        <v>5021</v>
      </c>
      <c r="AX371" s="2" t="s">
        <v>5022</v>
      </c>
      <c r="AY371" s="2" t="s">
        <v>5023</v>
      </c>
      <c r="AZ371" s="2" t="s">
        <v>5023</v>
      </c>
      <c r="BA371" s="2" t="s">
        <v>5024</v>
      </c>
      <c r="BB371" s="2" t="s">
        <v>21</v>
      </c>
      <c r="BD371" s="2" t="s">
        <v>5025</v>
      </c>
      <c r="BE371" s="2" t="s">
        <v>5026</v>
      </c>
      <c r="BF371" s="2" t="s">
        <v>5027</v>
      </c>
    </row>
    <row r="372" spans="1:58" ht="39.75" customHeight="1" x14ac:dyDescent="0.25">
      <c r="A372" s="1"/>
      <c r="B372" s="1" t="s">
        <v>0</v>
      </c>
      <c r="C372" s="1" t="s">
        <v>1</v>
      </c>
      <c r="D372" s="1" t="s">
        <v>5028</v>
      </c>
      <c r="E372" s="1" t="s">
        <v>5029</v>
      </c>
      <c r="F372" s="1" t="s">
        <v>5030</v>
      </c>
      <c r="H372" s="2" t="s">
        <v>5</v>
      </c>
      <c r="I372" s="2" t="s">
        <v>6</v>
      </c>
      <c r="J372" s="2" t="s">
        <v>5</v>
      </c>
      <c r="K372" s="2" t="s">
        <v>5</v>
      </c>
      <c r="L372" s="2" t="s">
        <v>7</v>
      </c>
      <c r="M372" s="1" t="s">
        <v>5031</v>
      </c>
      <c r="N372" s="1" t="s">
        <v>5032</v>
      </c>
      <c r="O372" s="2" t="s">
        <v>3934</v>
      </c>
      <c r="Q372" s="2" t="s">
        <v>11</v>
      </c>
      <c r="R372" s="2" t="s">
        <v>76</v>
      </c>
      <c r="T372" s="2" t="s">
        <v>1367</v>
      </c>
      <c r="U372" s="3">
        <v>2</v>
      </c>
      <c r="V372" s="3">
        <v>2</v>
      </c>
      <c r="W372" s="4" t="s">
        <v>5033</v>
      </c>
      <c r="X372" s="4" t="s">
        <v>5033</v>
      </c>
      <c r="Y372" s="4" t="s">
        <v>5034</v>
      </c>
      <c r="Z372" s="4" t="s">
        <v>5034</v>
      </c>
      <c r="AA372" s="3">
        <v>818</v>
      </c>
      <c r="AB372" s="3">
        <v>724</v>
      </c>
      <c r="AC372" s="3">
        <v>973</v>
      </c>
      <c r="AD372" s="3">
        <v>5</v>
      </c>
      <c r="AE372" s="7">
        <v>6</v>
      </c>
      <c r="AF372" s="7">
        <v>36</v>
      </c>
      <c r="AG372" s="7">
        <v>51</v>
      </c>
      <c r="AH372" s="3">
        <v>8</v>
      </c>
      <c r="AI372" s="3">
        <v>14</v>
      </c>
      <c r="AJ372" s="3">
        <v>4</v>
      </c>
      <c r="AK372" s="3">
        <v>6</v>
      </c>
      <c r="AL372" s="3">
        <v>11</v>
      </c>
      <c r="AM372" s="3">
        <v>17</v>
      </c>
      <c r="AN372" s="3">
        <v>2</v>
      </c>
      <c r="AO372" s="3">
        <v>3</v>
      </c>
      <c r="AP372" s="3">
        <v>14</v>
      </c>
      <c r="AQ372" s="3">
        <v>19</v>
      </c>
      <c r="AR372" s="2" t="s">
        <v>16</v>
      </c>
      <c r="AS372" s="2" t="s">
        <v>5</v>
      </c>
      <c r="AT372" s="5" t="str">
        <f>HYPERLINK("http://catalog.hathitrust.org/Record/001560512","HathiTrust Record")</f>
        <v>HathiTrust Record</v>
      </c>
      <c r="AU372" s="5" t="str">
        <f>HYPERLINK("https://creighton-primo.hosted.exlibrisgroup.com/primo-explore/search?tab=default_tab&amp;search_scope=EVERYTHING&amp;vid=01CRU&amp;lang=en_US&amp;offset=0&amp;query=any,contains,991002429199702656","Catalog Record")</f>
        <v>Catalog Record</v>
      </c>
      <c r="AV372" s="5" t="str">
        <f>HYPERLINK("http://www.worldcat.org/oclc/346217","WorldCat Record")</f>
        <v>WorldCat Record</v>
      </c>
      <c r="AW372" s="2" t="s">
        <v>5035</v>
      </c>
      <c r="AX372" s="2" t="s">
        <v>5036</v>
      </c>
      <c r="AY372" s="2" t="s">
        <v>5037</v>
      </c>
      <c r="AZ372" s="2" t="s">
        <v>5037</v>
      </c>
      <c r="BA372" s="2" t="s">
        <v>5038</v>
      </c>
      <c r="BB372" s="2" t="s">
        <v>21</v>
      </c>
      <c r="BE372" s="2" t="s">
        <v>5039</v>
      </c>
      <c r="BF372" s="2" t="s">
        <v>5040</v>
      </c>
    </row>
    <row r="373" spans="1:58" ht="39.75" customHeight="1" x14ac:dyDescent="0.25">
      <c r="A373" s="1"/>
      <c r="B373" s="1" t="s">
        <v>0</v>
      </c>
      <c r="C373" s="1" t="s">
        <v>1</v>
      </c>
      <c r="D373" s="1" t="s">
        <v>5041</v>
      </c>
      <c r="E373" s="1" t="s">
        <v>5042</v>
      </c>
      <c r="F373" s="1" t="s">
        <v>5043</v>
      </c>
      <c r="H373" s="2" t="s">
        <v>5</v>
      </c>
      <c r="I373" s="2" t="s">
        <v>6</v>
      </c>
      <c r="J373" s="2" t="s">
        <v>16</v>
      </c>
      <c r="K373" s="2" t="s">
        <v>5</v>
      </c>
      <c r="L373" s="2" t="s">
        <v>7</v>
      </c>
      <c r="M373" s="1" t="s">
        <v>5044</v>
      </c>
      <c r="N373" s="1" t="s">
        <v>5045</v>
      </c>
      <c r="O373" s="2" t="s">
        <v>372</v>
      </c>
      <c r="P373" s="1" t="s">
        <v>229</v>
      </c>
      <c r="Q373" s="2" t="s">
        <v>11</v>
      </c>
      <c r="R373" s="2" t="s">
        <v>76</v>
      </c>
      <c r="T373" s="2" t="s">
        <v>1367</v>
      </c>
      <c r="U373" s="3">
        <v>2</v>
      </c>
      <c r="V373" s="3">
        <v>7</v>
      </c>
      <c r="W373" s="4" t="s">
        <v>5046</v>
      </c>
      <c r="X373" s="4" t="s">
        <v>5046</v>
      </c>
      <c r="Y373" s="4" t="s">
        <v>5047</v>
      </c>
      <c r="Z373" s="4" t="s">
        <v>5047</v>
      </c>
      <c r="AA373" s="3">
        <v>1038</v>
      </c>
      <c r="AB373" s="3">
        <v>1005</v>
      </c>
      <c r="AC373" s="3">
        <v>1017</v>
      </c>
      <c r="AD373" s="3">
        <v>4</v>
      </c>
      <c r="AE373" s="7">
        <v>4</v>
      </c>
      <c r="AF373" s="7">
        <v>44</v>
      </c>
      <c r="AG373" s="7">
        <v>44</v>
      </c>
      <c r="AH373" s="3">
        <v>9</v>
      </c>
      <c r="AI373" s="3">
        <v>9</v>
      </c>
      <c r="AJ373" s="3">
        <v>4</v>
      </c>
      <c r="AK373" s="3">
        <v>4</v>
      </c>
      <c r="AL373" s="3">
        <v>14</v>
      </c>
      <c r="AM373" s="3">
        <v>14</v>
      </c>
      <c r="AN373" s="3">
        <v>2</v>
      </c>
      <c r="AO373" s="3">
        <v>2</v>
      </c>
      <c r="AP373" s="3">
        <v>21</v>
      </c>
      <c r="AQ373" s="3">
        <v>21</v>
      </c>
      <c r="AR373" s="2" t="s">
        <v>5</v>
      </c>
      <c r="AS373" s="2" t="s">
        <v>16</v>
      </c>
      <c r="AT373" s="5" t="str">
        <f>HYPERLINK("http://catalog.hathitrust.org/Record/003619387","HathiTrust Record")</f>
        <v>HathiTrust Record</v>
      </c>
      <c r="AU373" s="5" t="str">
        <f>HYPERLINK("https://creighton-primo.hosted.exlibrisgroup.com/primo-explore/search?tab=default_tab&amp;search_scope=EVERYTHING&amp;vid=01CRU&amp;lang=en_US&amp;offset=0&amp;query=any,contains,991001662089702656","Catalog Record")</f>
        <v>Catalog Record</v>
      </c>
      <c r="AV373" s="5" t="str">
        <f>HYPERLINK("http://www.worldcat.org/oclc/30030190","WorldCat Record")</f>
        <v>WorldCat Record</v>
      </c>
      <c r="AW373" s="2" t="s">
        <v>5048</v>
      </c>
      <c r="AX373" s="2" t="s">
        <v>5049</v>
      </c>
      <c r="AY373" s="2" t="s">
        <v>5050</v>
      </c>
      <c r="AZ373" s="2" t="s">
        <v>5050</v>
      </c>
      <c r="BA373" s="2" t="s">
        <v>5051</v>
      </c>
      <c r="BB373" s="2" t="s">
        <v>21</v>
      </c>
      <c r="BD373" s="2" t="s">
        <v>5052</v>
      </c>
      <c r="BE373" s="2" t="s">
        <v>5053</v>
      </c>
      <c r="BF373" s="2" t="s">
        <v>5054</v>
      </c>
    </row>
    <row r="374" spans="1:58" ht="39.75" customHeight="1" x14ac:dyDescent="0.25">
      <c r="A374" s="1"/>
      <c r="B374" s="1" t="s">
        <v>0</v>
      </c>
      <c r="C374" s="1" t="s">
        <v>1</v>
      </c>
      <c r="D374" s="1" t="s">
        <v>5055</v>
      </c>
      <c r="E374" s="1" t="s">
        <v>5056</v>
      </c>
      <c r="F374" s="1" t="s">
        <v>5057</v>
      </c>
      <c r="H374" s="2" t="s">
        <v>5</v>
      </c>
      <c r="I374" s="2" t="s">
        <v>6</v>
      </c>
      <c r="J374" s="2" t="s">
        <v>16</v>
      </c>
      <c r="K374" s="2" t="s">
        <v>5</v>
      </c>
      <c r="L374" s="2" t="s">
        <v>7</v>
      </c>
      <c r="M374" s="1" t="s">
        <v>5058</v>
      </c>
      <c r="N374" s="1" t="s">
        <v>5059</v>
      </c>
      <c r="O374" s="2" t="s">
        <v>259</v>
      </c>
      <c r="Q374" s="2" t="s">
        <v>11</v>
      </c>
      <c r="R374" s="2" t="s">
        <v>76</v>
      </c>
      <c r="T374" s="2" t="s">
        <v>1367</v>
      </c>
      <c r="U374" s="3">
        <v>10</v>
      </c>
      <c r="V374" s="3">
        <v>13</v>
      </c>
      <c r="W374" s="4" t="s">
        <v>5060</v>
      </c>
      <c r="X374" s="4" t="s">
        <v>5060</v>
      </c>
      <c r="Y374" s="4" t="s">
        <v>2565</v>
      </c>
      <c r="Z374" s="4" t="s">
        <v>5061</v>
      </c>
      <c r="AA374" s="3">
        <v>848</v>
      </c>
      <c r="AB374" s="3">
        <v>807</v>
      </c>
      <c r="AC374" s="3">
        <v>811</v>
      </c>
      <c r="AD374" s="3">
        <v>7</v>
      </c>
      <c r="AE374" s="7">
        <v>7</v>
      </c>
      <c r="AF374" s="7">
        <v>38</v>
      </c>
      <c r="AG374" s="7">
        <v>38</v>
      </c>
      <c r="AH374" s="3">
        <v>7</v>
      </c>
      <c r="AI374" s="3">
        <v>7</v>
      </c>
      <c r="AJ374" s="3">
        <v>4</v>
      </c>
      <c r="AK374" s="3">
        <v>4</v>
      </c>
      <c r="AL374" s="3">
        <v>6</v>
      </c>
      <c r="AM374" s="3">
        <v>6</v>
      </c>
      <c r="AN374" s="3">
        <v>4</v>
      </c>
      <c r="AO374" s="3">
        <v>4</v>
      </c>
      <c r="AP374" s="3">
        <v>19</v>
      </c>
      <c r="AQ374" s="3">
        <v>19</v>
      </c>
      <c r="AR374" s="2" t="s">
        <v>5</v>
      </c>
      <c r="AS374" s="2" t="s">
        <v>5</v>
      </c>
      <c r="AU374" s="5" t="str">
        <f>HYPERLINK("https://creighton-primo.hosted.exlibrisgroup.com/primo-explore/search?tab=default_tab&amp;search_scope=EVERYTHING&amp;vid=01CRU&amp;lang=en_US&amp;offset=0&amp;query=any,contains,991001681019702656","Catalog Record")</f>
        <v>Catalog Record</v>
      </c>
      <c r="AV374" s="5" t="str">
        <f>HYPERLINK("http://www.worldcat.org/oclc/16985783","WorldCat Record")</f>
        <v>WorldCat Record</v>
      </c>
      <c r="AW374" s="2" t="s">
        <v>5062</v>
      </c>
      <c r="AX374" s="2" t="s">
        <v>5063</v>
      </c>
      <c r="AY374" s="2" t="s">
        <v>5064</v>
      </c>
      <c r="AZ374" s="2" t="s">
        <v>5064</v>
      </c>
      <c r="BA374" s="2" t="s">
        <v>5065</v>
      </c>
      <c r="BB374" s="2" t="s">
        <v>21</v>
      </c>
      <c r="BD374" s="2" t="s">
        <v>5066</v>
      </c>
      <c r="BE374" s="2" t="s">
        <v>5067</v>
      </c>
      <c r="BF374" s="2" t="s">
        <v>5068</v>
      </c>
    </row>
    <row r="375" spans="1:58" ht="39.75" customHeight="1" x14ac:dyDescent="0.25">
      <c r="A375" s="1"/>
      <c r="B375" s="1" t="s">
        <v>0</v>
      </c>
      <c r="C375" s="1" t="s">
        <v>1</v>
      </c>
      <c r="D375" s="1" t="s">
        <v>5069</v>
      </c>
      <c r="E375" s="1" t="s">
        <v>5070</v>
      </c>
      <c r="F375" s="1" t="s">
        <v>5071</v>
      </c>
      <c r="H375" s="2" t="s">
        <v>5</v>
      </c>
      <c r="I375" s="2" t="s">
        <v>6</v>
      </c>
      <c r="J375" s="2" t="s">
        <v>5</v>
      </c>
      <c r="K375" s="2" t="s">
        <v>5</v>
      </c>
      <c r="L375" s="2" t="s">
        <v>7</v>
      </c>
      <c r="M375" s="1" t="s">
        <v>5072</v>
      </c>
      <c r="N375" s="1" t="s">
        <v>5073</v>
      </c>
      <c r="O375" s="2" t="s">
        <v>486</v>
      </c>
      <c r="Q375" s="2" t="s">
        <v>11</v>
      </c>
      <c r="R375" s="2" t="s">
        <v>244</v>
      </c>
      <c r="T375" s="2" t="s">
        <v>1367</v>
      </c>
      <c r="U375" s="3">
        <v>10</v>
      </c>
      <c r="V375" s="3">
        <v>10</v>
      </c>
      <c r="W375" s="4" t="s">
        <v>5074</v>
      </c>
      <c r="X375" s="4" t="s">
        <v>5074</v>
      </c>
      <c r="Y375" s="4" t="s">
        <v>1617</v>
      </c>
      <c r="Z375" s="4" t="s">
        <v>1617</v>
      </c>
      <c r="AA375" s="3">
        <v>865</v>
      </c>
      <c r="AB375" s="3">
        <v>753</v>
      </c>
      <c r="AC375" s="3">
        <v>779</v>
      </c>
      <c r="AD375" s="3">
        <v>6</v>
      </c>
      <c r="AE375" s="7">
        <v>6</v>
      </c>
      <c r="AF375" s="7">
        <v>51</v>
      </c>
      <c r="AG375" s="7">
        <v>53</v>
      </c>
      <c r="AH375" s="3">
        <v>13</v>
      </c>
      <c r="AI375" s="3">
        <v>14</v>
      </c>
      <c r="AJ375" s="3">
        <v>6</v>
      </c>
      <c r="AK375" s="3">
        <v>6</v>
      </c>
      <c r="AL375" s="3">
        <v>16</v>
      </c>
      <c r="AM375" s="3">
        <v>16</v>
      </c>
      <c r="AN375" s="3">
        <v>4</v>
      </c>
      <c r="AO375" s="3">
        <v>4</v>
      </c>
      <c r="AP375" s="3">
        <v>21</v>
      </c>
      <c r="AQ375" s="3">
        <v>22</v>
      </c>
      <c r="AR375" s="2" t="s">
        <v>5</v>
      </c>
      <c r="AS375" s="2" t="s">
        <v>16</v>
      </c>
      <c r="AT375" s="5" t="str">
        <f>HYPERLINK("http://catalog.hathitrust.org/Record/000161559","HathiTrust Record")</f>
        <v>HathiTrust Record</v>
      </c>
      <c r="AU375" s="5" t="str">
        <f>HYPERLINK("https://creighton-primo.hosted.exlibrisgroup.com/primo-explore/search?tab=default_tab&amp;search_scope=EVERYTHING&amp;vid=01CRU&amp;lang=en_US&amp;offset=0&amp;query=any,contains,991000233519702656","Catalog Record")</f>
        <v>Catalog Record</v>
      </c>
      <c r="AV375" s="5" t="str">
        <f>HYPERLINK("http://www.worldcat.org/oclc/9645647","WorldCat Record")</f>
        <v>WorldCat Record</v>
      </c>
      <c r="AW375" s="2" t="s">
        <v>5075</v>
      </c>
      <c r="AX375" s="2" t="s">
        <v>5076</v>
      </c>
      <c r="AY375" s="2" t="s">
        <v>5077</v>
      </c>
      <c r="AZ375" s="2" t="s">
        <v>5077</v>
      </c>
      <c r="BA375" s="2" t="s">
        <v>5078</v>
      </c>
      <c r="BB375" s="2" t="s">
        <v>21</v>
      </c>
      <c r="BD375" s="2" t="s">
        <v>5079</v>
      </c>
      <c r="BE375" s="2" t="s">
        <v>5080</v>
      </c>
      <c r="BF375" s="2" t="s">
        <v>5081</v>
      </c>
    </row>
    <row r="376" spans="1:58" ht="39.75" customHeight="1" x14ac:dyDescent="0.25">
      <c r="A376" s="1"/>
      <c r="B376" s="1" t="s">
        <v>0</v>
      </c>
      <c r="C376" s="1" t="s">
        <v>1</v>
      </c>
      <c r="D376" s="1" t="s">
        <v>5082</v>
      </c>
      <c r="E376" s="1" t="s">
        <v>5083</v>
      </c>
      <c r="F376" s="1" t="s">
        <v>5084</v>
      </c>
      <c r="H376" s="2" t="s">
        <v>5</v>
      </c>
      <c r="I376" s="2" t="s">
        <v>6</v>
      </c>
      <c r="J376" s="2" t="s">
        <v>5</v>
      </c>
      <c r="K376" s="2" t="s">
        <v>16</v>
      </c>
      <c r="L376" s="2" t="s">
        <v>7</v>
      </c>
      <c r="M376" s="1" t="s">
        <v>5085</v>
      </c>
      <c r="N376" s="1" t="s">
        <v>5086</v>
      </c>
      <c r="O376" s="2" t="s">
        <v>355</v>
      </c>
      <c r="Q376" s="2" t="s">
        <v>11</v>
      </c>
      <c r="R376" s="2" t="s">
        <v>1672</v>
      </c>
      <c r="T376" s="2" t="s">
        <v>1367</v>
      </c>
      <c r="U376" s="3">
        <v>4</v>
      </c>
      <c r="V376" s="3">
        <v>4</v>
      </c>
      <c r="W376" s="4" t="s">
        <v>5087</v>
      </c>
      <c r="X376" s="4" t="s">
        <v>5087</v>
      </c>
      <c r="Y376" s="4" t="s">
        <v>5088</v>
      </c>
      <c r="Z376" s="4" t="s">
        <v>5088</v>
      </c>
      <c r="AA376" s="3">
        <v>514</v>
      </c>
      <c r="AB376" s="3">
        <v>468</v>
      </c>
      <c r="AC376" s="3">
        <v>576</v>
      </c>
      <c r="AD376" s="3">
        <v>5</v>
      </c>
      <c r="AE376" s="7">
        <v>7</v>
      </c>
      <c r="AF376" s="7">
        <v>30</v>
      </c>
      <c r="AG376" s="7">
        <v>39</v>
      </c>
      <c r="AH376" s="3">
        <v>4</v>
      </c>
      <c r="AI376" s="3">
        <v>6</v>
      </c>
      <c r="AJ376" s="3">
        <v>3</v>
      </c>
      <c r="AK376" s="3">
        <v>3</v>
      </c>
      <c r="AL376" s="3">
        <v>8</v>
      </c>
      <c r="AM376" s="3">
        <v>10</v>
      </c>
      <c r="AN376" s="3">
        <v>3</v>
      </c>
      <c r="AO376" s="3">
        <v>4</v>
      </c>
      <c r="AP376" s="3">
        <v>15</v>
      </c>
      <c r="AQ376" s="3">
        <v>21</v>
      </c>
      <c r="AR376" s="2" t="s">
        <v>5</v>
      </c>
      <c r="AS376" s="2" t="s">
        <v>16</v>
      </c>
      <c r="AT376" s="5" t="str">
        <f>HYPERLINK("http://catalog.hathitrust.org/Record/004509862","HathiTrust Record")</f>
        <v>HathiTrust Record</v>
      </c>
      <c r="AU376" s="5" t="str">
        <f>HYPERLINK("https://creighton-primo.hosted.exlibrisgroup.com/primo-explore/search?tab=default_tab&amp;search_scope=EVERYTHING&amp;vid=01CRU&amp;lang=en_US&amp;offset=0&amp;query=any,contains,991003293049702656","Catalog Record")</f>
        <v>Catalog Record</v>
      </c>
      <c r="AV376" s="5" t="str">
        <f>HYPERLINK("http://www.worldcat.org/oclc/814685","WorldCat Record")</f>
        <v>WorldCat Record</v>
      </c>
      <c r="AW376" s="2" t="s">
        <v>5089</v>
      </c>
      <c r="AX376" s="2" t="s">
        <v>5090</v>
      </c>
      <c r="AY376" s="2" t="s">
        <v>5091</v>
      </c>
      <c r="AZ376" s="2" t="s">
        <v>5091</v>
      </c>
      <c r="BA376" s="2" t="s">
        <v>5092</v>
      </c>
      <c r="BB376" s="2" t="s">
        <v>21</v>
      </c>
      <c r="BE376" s="2" t="s">
        <v>5093</v>
      </c>
      <c r="BF376" s="2" t="s">
        <v>5094</v>
      </c>
    </row>
    <row r="377" spans="1:58" ht="39.75" customHeight="1" x14ac:dyDescent="0.25">
      <c r="A377" s="1"/>
      <c r="B377" s="1" t="s">
        <v>0</v>
      </c>
      <c r="C377" s="1" t="s">
        <v>1</v>
      </c>
      <c r="D377" s="1" t="s">
        <v>5095</v>
      </c>
      <c r="E377" s="1" t="s">
        <v>5096</v>
      </c>
      <c r="F377" s="1" t="s">
        <v>5097</v>
      </c>
      <c r="H377" s="2" t="s">
        <v>5</v>
      </c>
      <c r="I377" s="2" t="s">
        <v>6</v>
      </c>
      <c r="J377" s="2" t="s">
        <v>5</v>
      </c>
      <c r="K377" s="2" t="s">
        <v>5</v>
      </c>
      <c r="L377" s="2" t="s">
        <v>7</v>
      </c>
      <c r="M377" s="1" t="s">
        <v>5098</v>
      </c>
      <c r="N377" s="1" t="s">
        <v>5099</v>
      </c>
      <c r="O377" s="2" t="s">
        <v>1071</v>
      </c>
      <c r="P377" s="1" t="s">
        <v>1907</v>
      </c>
      <c r="Q377" s="2" t="s">
        <v>11</v>
      </c>
      <c r="R377" s="2" t="s">
        <v>124</v>
      </c>
      <c r="T377" s="2" t="s">
        <v>1367</v>
      </c>
      <c r="U377" s="3">
        <v>3</v>
      </c>
      <c r="V377" s="3">
        <v>3</v>
      </c>
      <c r="W377" s="4" t="s">
        <v>5100</v>
      </c>
      <c r="X377" s="4" t="s">
        <v>5100</v>
      </c>
      <c r="Y377" s="4" t="s">
        <v>5088</v>
      </c>
      <c r="Z377" s="4" t="s">
        <v>5088</v>
      </c>
      <c r="AA377" s="3">
        <v>571</v>
      </c>
      <c r="AB377" s="3">
        <v>541</v>
      </c>
      <c r="AC377" s="3">
        <v>757</v>
      </c>
      <c r="AD377" s="3">
        <v>5</v>
      </c>
      <c r="AE377" s="7">
        <v>6</v>
      </c>
      <c r="AF377" s="7">
        <v>12</v>
      </c>
      <c r="AG377" s="7">
        <v>20</v>
      </c>
      <c r="AH377" s="3">
        <v>2</v>
      </c>
      <c r="AI377" s="3">
        <v>7</v>
      </c>
      <c r="AJ377" s="3">
        <v>2</v>
      </c>
      <c r="AK377" s="3">
        <v>3</v>
      </c>
      <c r="AL377" s="3">
        <v>3</v>
      </c>
      <c r="AM377" s="3">
        <v>4</v>
      </c>
      <c r="AN377" s="3">
        <v>1</v>
      </c>
      <c r="AO377" s="3">
        <v>2</v>
      </c>
      <c r="AP377" s="3">
        <v>6</v>
      </c>
      <c r="AQ377" s="3">
        <v>7</v>
      </c>
      <c r="AR377" s="2" t="s">
        <v>5</v>
      </c>
      <c r="AS377" s="2" t="s">
        <v>16</v>
      </c>
      <c r="AT377" s="5" t="str">
        <f>HYPERLINK("http://catalog.hathitrust.org/Record/010085967","HathiTrust Record")</f>
        <v>HathiTrust Record</v>
      </c>
      <c r="AU377" s="5" t="str">
        <f>HYPERLINK("https://creighton-primo.hosted.exlibrisgroup.com/primo-explore/search?tab=default_tab&amp;search_scope=EVERYTHING&amp;vid=01CRU&amp;lang=en_US&amp;offset=0&amp;query=any,contains,991003178099702656","Catalog Record")</f>
        <v>Catalog Record</v>
      </c>
      <c r="AV377" s="5" t="str">
        <f>HYPERLINK("http://www.worldcat.org/oclc/711168","WorldCat Record")</f>
        <v>WorldCat Record</v>
      </c>
      <c r="AW377" s="2" t="s">
        <v>5101</v>
      </c>
      <c r="AX377" s="2" t="s">
        <v>5102</v>
      </c>
      <c r="AY377" s="2" t="s">
        <v>5103</v>
      </c>
      <c r="AZ377" s="2" t="s">
        <v>5103</v>
      </c>
      <c r="BA377" s="2" t="s">
        <v>5104</v>
      </c>
      <c r="BB377" s="2" t="s">
        <v>21</v>
      </c>
      <c r="BE377" s="2" t="s">
        <v>5105</v>
      </c>
      <c r="BF377" s="2" t="s">
        <v>5106</v>
      </c>
    </row>
    <row r="378" spans="1:58" ht="39.75" customHeight="1" x14ac:dyDescent="0.25">
      <c r="A378" s="1"/>
      <c r="B378" s="1" t="s">
        <v>0</v>
      </c>
      <c r="C378" s="1" t="s">
        <v>1</v>
      </c>
      <c r="D378" s="1" t="s">
        <v>5107</v>
      </c>
      <c r="E378" s="1" t="s">
        <v>5108</v>
      </c>
      <c r="F378" s="1" t="s">
        <v>5109</v>
      </c>
      <c r="H378" s="2" t="s">
        <v>5</v>
      </c>
      <c r="I378" s="2" t="s">
        <v>6</v>
      </c>
      <c r="J378" s="2" t="s">
        <v>5</v>
      </c>
      <c r="K378" s="2" t="s">
        <v>5</v>
      </c>
      <c r="L378" s="2" t="s">
        <v>7</v>
      </c>
      <c r="M378" s="1" t="s">
        <v>5110</v>
      </c>
      <c r="N378" s="1" t="s">
        <v>5111</v>
      </c>
      <c r="O378" s="2" t="s">
        <v>486</v>
      </c>
      <c r="Q378" s="2" t="s">
        <v>11</v>
      </c>
      <c r="R378" s="2" t="s">
        <v>76</v>
      </c>
      <c r="S378" s="1" t="s">
        <v>5112</v>
      </c>
      <c r="T378" s="2" t="s">
        <v>1367</v>
      </c>
      <c r="U378" s="3">
        <v>2</v>
      </c>
      <c r="V378" s="3">
        <v>2</v>
      </c>
      <c r="W378" s="4" t="s">
        <v>5113</v>
      </c>
      <c r="X378" s="4" t="s">
        <v>5113</v>
      </c>
      <c r="Y378" s="4" t="s">
        <v>4743</v>
      </c>
      <c r="Z378" s="4" t="s">
        <v>4743</v>
      </c>
      <c r="AA378" s="3">
        <v>348</v>
      </c>
      <c r="AB378" s="3">
        <v>325</v>
      </c>
      <c r="AC378" s="3">
        <v>326</v>
      </c>
      <c r="AD378" s="3">
        <v>4</v>
      </c>
      <c r="AE378" s="7">
        <v>4</v>
      </c>
      <c r="AF378" s="7">
        <v>28</v>
      </c>
      <c r="AG378" s="7">
        <v>28</v>
      </c>
      <c r="AH378" s="3">
        <v>1</v>
      </c>
      <c r="AI378" s="3">
        <v>1</v>
      </c>
      <c r="AJ378" s="3">
        <v>4</v>
      </c>
      <c r="AK378" s="3">
        <v>4</v>
      </c>
      <c r="AL378" s="3">
        <v>8</v>
      </c>
      <c r="AM378" s="3">
        <v>8</v>
      </c>
      <c r="AN378" s="3">
        <v>2</v>
      </c>
      <c r="AO378" s="3">
        <v>2</v>
      </c>
      <c r="AP378" s="3">
        <v>16</v>
      </c>
      <c r="AQ378" s="3">
        <v>16</v>
      </c>
      <c r="AR378" s="2" t="s">
        <v>5</v>
      </c>
      <c r="AS378" s="2" t="s">
        <v>5</v>
      </c>
      <c r="AU378" s="5" t="str">
        <f>HYPERLINK("https://creighton-primo.hosted.exlibrisgroup.com/primo-explore/search?tab=default_tab&amp;search_scope=EVERYTHING&amp;vid=01CRU&amp;lang=en_US&amp;offset=0&amp;query=any,contains,991000164809702656","Catalog Record")</f>
        <v>Catalog Record</v>
      </c>
      <c r="AV378" s="5" t="str">
        <f>HYPERLINK("http://www.worldcat.org/oclc/9282647","WorldCat Record")</f>
        <v>WorldCat Record</v>
      </c>
      <c r="AW378" s="2" t="s">
        <v>5114</v>
      </c>
      <c r="AX378" s="2" t="s">
        <v>5115</v>
      </c>
      <c r="AY378" s="2" t="s">
        <v>5116</v>
      </c>
      <c r="AZ378" s="2" t="s">
        <v>5116</v>
      </c>
      <c r="BA378" s="2" t="s">
        <v>5117</v>
      </c>
      <c r="BB378" s="2" t="s">
        <v>21</v>
      </c>
      <c r="BD378" s="2" t="s">
        <v>5118</v>
      </c>
      <c r="BE378" s="2" t="s">
        <v>5119</v>
      </c>
      <c r="BF378" s="2" t="s">
        <v>5120</v>
      </c>
    </row>
    <row r="379" spans="1:58" ht="39.75" customHeight="1" x14ac:dyDescent="0.25">
      <c r="A379" s="1"/>
      <c r="B379" s="1" t="s">
        <v>0</v>
      </c>
      <c r="C379" s="1" t="s">
        <v>1</v>
      </c>
      <c r="D379" s="1" t="s">
        <v>5121</v>
      </c>
      <c r="E379" s="1" t="s">
        <v>5122</v>
      </c>
      <c r="F379" s="1" t="s">
        <v>5123</v>
      </c>
      <c r="H379" s="2" t="s">
        <v>5</v>
      </c>
      <c r="I379" s="2" t="s">
        <v>6</v>
      </c>
      <c r="J379" s="2" t="s">
        <v>5</v>
      </c>
      <c r="K379" s="2" t="s">
        <v>5</v>
      </c>
      <c r="L379" s="2" t="s">
        <v>7</v>
      </c>
      <c r="M379" s="1" t="s">
        <v>5124</v>
      </c>
      <c r="N379" s="1" t="s">
        <v>5125</v>
      </c>
      <c r="O379" s="2" t="s">
        <v>458</v>
      </c>
      <c r="Q379" s="2" t="s">
        <v>11</v>
      </c>
      <c r="R379" s="2" t="s">
        <v>76</v>
      </c>
      <c r="T379" s="2" t="s">
        <v>1367</v>
      </c>
      <c r="U379" s="3">
        <v>4</v>
      </c>
      <c r="V379" s="3">
        <v>4</v>
      </c>
      <c r="W379" s="4" t="s">
        <v>5126</v>
      </c>
      <c r="X379" s="4" t="s">
        <v>5126</v>
      </c>
      <c r="Y379" s="4" t="s">
        <v>5127</v>
      </c>
      <c r="Z379" s="4" t="s">
        <v>5127</v>
      </c>
      <c r="AA379" s="3">
        <v>206</v>
      </c>
      <c r="AB379" s="3">
        <v>183</v>
      </c>
      <c r="AC379" s="3">
        <v>184</v>
      </c>
      <c r="AD379" s="3">
        <v>2</v>
      </c>
      <c r="AE379" s="7">
        <v>2</v>
      </c>
      <c r="AF379" s="7">
        <v>6</v>
      </c>
      <c r="AG379" s="7">
        <v>6</v>
      </c>
      <c r="AH379" s="3">
        <v>3</v>
      </c>
      <c r="AI379" s="3">
        <v>3</v>
      </c>
      <c r="AJ379" s="3">
        <v>1</v>
      </c>
      <c r="AK379" s="3">
        <v>1</v>
      </c>
      <c r="AL379" s="3">
        <v>4</v>
      </c>
      <c r="AM379" s="3">
        <v>4</v>
      </c>
      <c r="AN379" s="3">
        <v>1</v>
      </c>
      <c r="AO379" s="3">
        <v>1</v>
      </c>
      <c r="AP379" s="3">
        <v>0</v>
      </c>
      <c r="AQ379" s="3">
        <v>0</v>
      </c>
      <c r="AR379" s="2" t="s">
        <v>5</v>
      </c>
      <c r="AS379" s="2" t="s">
        <v>5</v>
      </c>
      <c r="AU379" s="5" t="str">
        <f>HYPERLINK("https://creighton-primo.hosted.exlibrisgroup.com/primo-explore/search?tab=default_tab&amp;search_scope=EVERYTHING&amp;vid=01CRU&amp;lang=en_US&amp;offset=0&amp;query=any,contains,991002657439702656","Catalog Record")</f>
        <v>Catalog Record</v>
      </c>
      <c r="AV379" s="5" t="str">
        <f>HYPERLINK("http://www.worldcat.org/oclc/389958","WorldCat Record")</f>
        <v>WorldCat Record</v>
      </c>
      <c r="AW379" s="2" t="s">
        <v>5128</v>
      </c>
      <c r="AX379" s="2" t="s">
        <v>5129</v>
      </c>
      <c r="AY379" s="2" t="s">
        <v>5130</v>
      </c>
      <c r="AZ379" s="2" t="s">
        <v>5130</v>
      </c>
      <c r="BA379" s="2" t="s">
        <v>5131</v>
      </c>
      <c r="BB379" s="2" t="s">
        <v>21</v>
      </c>
      <c r="BD379" s="2" t="s">
        <v>5132</v>
      </c>
      <c r="BE379" s="2" t="s">
        <v>5133</v>
      </c>
      <c r="BF379" s="2" t="s">
        <v>5134</v>
      </c>
    </row>
    <row r="380" spans="1:58" ht="39.75" customHeight="1" x14ac:dyDescent="0.25">
      <c r="A380" s="1"/>
      <c r="B380" s="1" t="s">
        <v>0</v>
      </c>
      <c r="C380" s="1" t="s">
        <v>1</v>
      </c>
      <c r="D380" s="1" t="s">
        <v>5135</v>
      </c>
      <c r="E380" s="1" t="s">
        <v>5136</v>
      </c>
      <c r="F380" s="1" t="s">
        <v>5137</v>
      </c>
      <c r="H380" s="2" t="s">
        <v>5</v>
      </c>
      <c r="I380" s="2" t="s">
        <v>6</v>
      </c>
      <c r="J380" s="2" t="s">
        <v>5</v>
      </c>
      <c r="K380" s="2" t="s">
        <v>5</v>
      </c>
      <c r="L380" s="2" t="s">
        <v>7</v>
      </c>
      <c r="N380" s="1" t="s">
        <v>5138</v>
      </c>
      <c r="O380" s="2" t="s">
        <v>45</v>
      </c>
      <c r="Q380" s="2" t="s">
        <v>11</v>
      </c>
      <c r="R380" s="2" t="s">
        <v>903</v>
      </c>
      <c r="S380" s="1" t="s">
        <v>5139</v>
      </c>
      <c r="T380" s="2" t="s">
        <v>1367</v>
      </c>
      <c r="U380" s="3">
        <v>8</v>
      </c>
      <c r="V380" s="3">
        <v>8</v>
      </c>
      <c r="W380" s="4" t="s">
        <v>5140</v>
      </c>
      <c r="X380" s="4" t="s">
        <v>5140</v>
      </c>
      <c r="Y380" s="4" t="s">
        <v>5141</v>
      </c>
      <c r="Z380" s="4" t="s">
        <v>5141</v>
      </c>
      <c r="AA380" s="3">
        <v>273</v>
      </c>
      <c r="AB380" s="3">
        <v>233</v>
      </c>
      <c r="AC380" s="3">
        <v>234</v>
      </c>
      <c r="AD380" s="3">
        <v>4</v>
      </c>
      <c r="AE380" s="7">
        <v>4</v>
      </c>
      <c r="AF380" s="7">
        <v>12</v>
      </c>
      <c r="AG380" s="7">
        <v>12</v>
      </c>
      <c r="AH380" s="3">
        <v>1</v>
      </c>
      <c r="AI380" s="3">
        <v>1</v>
      </c>
      <c r="AJ380" s="3">
        <v>3</v>
      </c>
      <c r="AK380" s="3">
        <v>3</v>
      </c>
      <c r="AL380" s="3">
        <v>4</v>
      </c>
      <c r="AM380" s="3">
        <v>4</v>
      </c>
      <c r="AN380" s="3">
        <v>3</v>
      </c>
      <c r="AO380" s="3">
        <v>3</v>
      </c>
      <c r="AP380" s="3">
        <v>3</v>
      </c>
      <c r="AQ380" s="3">
        <v>3</v>
      </c>
      <c r="AR380" s="2" t="s">
        <v>5</v>
      </c>
      <c r="AS380" s="2" t="s">
        <v>16</v>
      </c>
      <c r="AT380" s="5" t="str">
        <f>HYPERLINK("http://catalog.hathitrust.org/Record/004509899","HathiTrust Record")</f>
        <v>HathiTrust Record</v>
      </c>
      <c r="AU380" s="5" t="str">
        <f>HYPERLINK("https://creighton-primo.hosted.exlibrisgroup.com/primo-explore/search?tab=default_tab&amp;search_scope=EVERYTHING&amp;vid=01CRU&amp;lang=en_US&amp;offset=0&amp;query=any,contains,991000561999702656","Catalog Record")</f>
        <v>Catalog Record</v>
      </c>
      <c r="AV380" s="5" t="str">
        <f>HYPERLINK("http://www.worldcat.org/oclc/11599080","WorldCat Record")</f>
        <v>WorldCat Record</v>
      </c>
      <c r="AW380" s="2" t="s">
        <v>5142</v>
      </c>
      <c r="AX380" s="2" t="s">
        <v>5143</v>
      </c>
      <c r="AY380" s="2" t="s">
        <v>5144</v>
      </c>
      <c r="AZ380" s="2" t="s">
        <v>5144</v>
      </c>
      <c r="BA380" s="2" t="s">
        <v>5145</v>
      </c>
      <c r="BB380" s="2" t="s">
        <v>21</v>
      </c>
      <c r="BD380" s="2" t="s">
        <v>5146</v>
      </c>
      <c r="BE380" s="2" t="s">
        <v>5147</v>
      </c>
      <c r="BF380" s="2" t="s">
        <v>5148</v>
      </c>
    </row>
    <row r="381" spans="1:58" ht="39.75" customHeight="1" x14ac:dyDescent="0.25">
      <c r="A381" s="1"/>
      <c r="B381" s="1" t="s">
        <v>0</v>
      </c>
      <c r="C381" s="1" t="s">
        <v>1</v>
      </c>
      <c r="D381" s="1" t="s">
        <v>5149</v>
      </c>
      <c r="E381" s="1" t="s">
        <v>5150</v>
      </c>
      <c r="F381" s="1" t="s">
        <v>5151</v>
      </c>
      <c r="H381" s="2" t="s">
        <v>5</v>
      </c>
      <c r="I381" s="2" t="s">
        <v>6</v>
      </c>
      <c r="J381" s="2" t="s">
        <v>16</v>
      </c>
      <c r="K381" s="2" t="s">
        <v>5</v>
      </c>
      <c r="L381" s="2" t="s">
        <v>7</v>
      </c>
      <c r="M381" s="1" t="s">
        <v>5152</v>
      </c>
      <c r="N381" s="1" t="s">
        <v>5153</v>
      </c>
      <c r="O381" s="2" t="s">
        <v>1745</v>
      </c>
      <c r="Q381" s="2" t="s">
        <v>11</v>
      </c>
      <c r="R381" s="2" t="s">
        <v>76</v>
      </c>
      <c r="T381" s="2" t="s">
        <v>1367</v>
      </c>
      <c r="U381" s="3">
        <v>4</v>
      </c>
      <c r="V381" s="3">
        <v>5</v>
      </c>
      <c r="W381" s="4" t="s">
        <v>1536</v>
      </c>
      <c r="X381" s="4" t="s">
        <v>1536</v>
      </c>
      <c r="Y381" s="4" t="s">
        <v>5154</v>
      </c>
      <c r="Z381" s="4" t="s">
        <v>5154</v>
      </c>
      <c r="AA381" s="3">
        <v>2119</v>
      </c>
      <c r="AB381" s="3">
        <v>1994</v>
      </c>
      <c r="AC381" s="3">
        <v>2203</v>
      </c>
      <c r="AD381" s="3">
        <v>16</v>
      </c>
      <c r="AE381" s="7">
        <v>19</v>
      </c>
      <c r="AF381" s="7">
        <v>66</v>
      </c>
      <c r="AG381" s="7">
        <v>75</v>
      </c>
      <c r="AH381" s="3">
        <v>19</v>
      </c>
      <c r="AI381" s="3">
        <v>23</v>
      </c>
      <c r="AJ381" s="3">
        <v>9</v>
      </c>
      <c r="AK381" s="3">
        <v>11</v>
      </c>
      <c r="AL381" s="3">
        <v>19</v>
      </c>
      <c r="AM381" s="3">
        <v>20</v>
      </c>
      <c r="AN381" s="3">
        <v>9</v>
      </c>
      <c r="AO381" s="3">
        <v>11</v>
      </c>
      <c r="AP381" s="3">
        <v>22</v>
      </c>
      <c r="AQ381" s="3">
        <v>23</v>
      </c>
      <c r="AR381" s="2" t="s">
        <v>5</v>
      </c>
      <c r="AS381" s="2" t="s">
        <v>16</v>
      </c>
      <c r="AT381" s="5" t="str">
        <f>HYPERLINK("http://catalog.hathitrust.org/Record/002718043","HathiTrust Record")</f>
        <v>HathiTrust Record</v>
      </c>
      <c r="AU381" s="5" t="str">
        <f>HYPERLINK("https://creighton-primo.hosted.exlibrisgroup.com/primo-explore/search?tab=default_tab&amp;search_scope=EVERYTHING&amp;vid=01CRU&amp;lang=en_US&amp;offset=0&amp;query=any,contains,991001656519702656","Catalog Record")</f>
        <v>Catalog Record</v>
      </c>
      <c r="AV381" s="5" t="str">
        <f>HYPERLINK("http://www.worldcat.org/oclc/27174158","WorldCat Record")</f>
        <v>WorldCat Record</v>
      </c>
      <c r="AW381" s="2" t="s">
        <v>5155</v>
      </c>
      <c r="AX381" s="2" t="s">
        <v>5156</v>
      </c>
      <c r="AY381" s="2" t="s">
        <v>5157</v>
      </c>
      <c r="AZ381" s="2" t="s">
        <v>5157</v>
      </c>
      <c r="BA381" s="2" t="s">
        <v>5158</v>
      </c>
      <c r="BB381" s="2" t="s">
        <v>21</v>
      </c>
      <c r="BD381" s="2" t="s">
        <v>5159</v>
      </c>
      <c r="BE381" s="2" t="s">
        <v>5160</v>
      </c>
      <c r="BF381" s="2" t="s">
        <v>5161</v>
      </c>
    </row>
    <row r="382" spans="1:58" ht="39.75" customHeight="1" x14ac:dyDescent="0.25">
      <c r="A382" s="1"/>
      <c r="B382" s="1" t="s">
        <v>0</v>
      </c>
      <c r="C382" s="1" t="s">
        <v>1</v>
      </c>
      <c r="D382" s="1" t="s">
        <v>5162</v>
      </c>
      <c r="E382" s="1" t="s">
        <v>5163</v>
      </c>
      <c r="F382" s="1" t="s">
        <v>5164</v>
      </c>
      <c r="H382" s="2" t="s">
        <v>5</v>
      </c>
      <c r="I382" s="2" t="s">
        <v>6</v>
      </c>
      <c r="J382" s="2" t="s">
        <v>5</v>
      </c>
      <c r="K382" s="2" t="s">
        <v>16</v>
      </c>
      <c r="L382" s="2" t="s">
        <v>7</v>
      </c>
      <c r="M382" s="1" t="s">
        <v>5165</v>
      </c>
      <c r="N382" s="1" t="s">
        <v>5166</v>
      </c>
      <c r="O382" s="2" t="s">
        <v>1469</v>
      </c>
      <c r="Q382" s="2" t="s">
        <v>11</v>
      </c>
      <c r="R382" s="2" t="s">
        <v>76</v>
      </c>
      <c r="T382" s="2" t="s">
        <v>1367</v>
      </c>
      <c r="U382" s="3">
        <v>2</v>
      </c>
      <c r="V382" s="3">
        <v>2</v>
      </c>
      <c r="W382" s="4" t="s">
        <v>1536</v>
      </c>
      <c r="X382" s="4" t="s">
        <v>1536</v>
      </c>
      <c r="Y382" s="4" t="s">
        <v>1073</v>
      </c>
      <c r="Z382" s="4" t="s">
        <v>1073</v>
      </c>
      <c r="AA382" s="3">
        <v>230</v>
      </c>
      <c r="AB382" s="3">
        <v>222</v>
      </c>
      <c r="AC382" s="3">
        <v>572</v>
      </c>
      <c r="AD382" s="3">
        <v>6</v>
      </c>
      <c r="AE382" s="7">
        <v>9</v>
      </c>
      <c r="AF382" s="7">
        <v>19</v>
      </c>
      <c r="AG382" s="7">
        <v>48</v>
      </c>
      <c r="AH382" s="3">
        <v>3</v>
      </c>
      <c r="AI382" s="3">
        <v>6</v>
      </c>
      <c r="AJ382" s="3">
        <v>0</v>
      </c>
      <c r="AK382" s="3">
        <v>6</v>
      </c>
      <c r="AL382" s="3">
        <v>5</v>
      </c>
      <c r="AM382" s="3">
        <v>15</v>
      </c>
      <c r="AN382" s="3">
        <v>4</v>
      </c>
      <c r="AO382" s="3">
        <v>6</v>
      </c>
      <c r="AP382" s="3">
        <v>7</v>
      </c>
      <c r="AQ382" s="3">
        <v>20</v>
      </c>
      <c r="AR382" s="2" t="s">
        <v>5</v>
      </c>
      <c r="AS382" s="2" t="s">
        <v>5</v>
      </c>
      <c r="AU382" s="5" t="str">
        <f>HYPERLINK("https://creighton-primo.hosted.exlibrisgroup.com/primo-explore/search?tab=default_tab&amp;search_scope=EVERYTHING&amp;vid=01CRU&amp;lang=en_US&amp;offset=0&amp;query=any,contains,991004027399702656","Catalog Record")</f>
        <v>Catalog Record</v>
      </c>
      <c r="AV382" s="5" t="str">
        <f>HYPERLINK("http://www.worldcat.org/oclc/2140184","WorldCat Record")</f>
        <v>WorldCat Record</v>
      </c>
      <c r="AW382" s="2" t="s">
        <v>5167</v>
      </c>
      <c r="AX382" s="2" t="s">
        <v>5168</v>
      </c>
      <c r="AY382" s="2" t="s">
        <v>5169</v>
      </c>
      <c r="AZ382" s="2" t="s">
        <v>5169</v>
      </c>
      <c r="BA382" s="2" t="s">
        <v>5170</v>
      </c>
      <c r="BB382" s="2" t="s">
        <v>21</v>
      </c>
      <c r="BE382" s="2" t="s">
        <v>5171</v>
      </c>
      <c r="BF382" s="2" t="s">
        <v>5172</v>
      </c>
    </row>
    <row r="383" spans="1:58" ht="39.75" customHeight="1" x14ac:dyDescent="0.25">
      <c r="A383" s="1"/>
      <c r="B383" s="1" t="s">
        <v>0</v>
      </c>
      <c r="C383" s="1" t="s">
        <v>1</v>
      </c>
      <c r="D383" s="1" t="s">
        <v>5173</v>
      </c>
      <c r="E383" s="1" t="s">
        <v>5174</v>
      </c>
      <c r="F383" s="1" t="s">
        <v>5175</v>
      </c>
      <c r="H383" s="2" t="s">
        <v>5</v>
      </c>
      <c r="I383" s="2" t="s">
        <v>6</v>
      </c>
      <c r="J383" s="2" t="s">
        <v>5</v>
      </c>
      <c r="K383" s="2" t="s">
        <v>5</v>
      </c>
      <c r="L383" s="2" t="s">
        <v>7</v>
      </c>
      <c r="M383" s="1" t="s">
        <v>5176</v>
      </c>
      <c r="N383" s="1" t="s">
        <v>5177</v>
      </c>
      <c r="O383" s="2" t="s">
        <v>836</v>
      </c>
      <c r="Q383" s="2" t="s">
        <v>11</v>
      </c>
      <c r="R383" s="2" t="s">
        <v>903</v>
      </c>
      <c r="T383" s="2" t="s">
        <v>1367</v>
      </c>
      <c r="U383" s="3">
        <v>15</v>
      </c>
      <c r="V383" s="3">
        <v>15</v>
      </c>
      <c r="W383" s="4" t="s">
        <v>5178</v>
      </c>
      <c r="X383" s="4" t="s">
        <v>5178</v>
      </c>
      <c r="Y383" s="4" t="s">
        <v>2820</v>
      </c>
      <c r="Z383" s="4" t="s">
        <v>2820</v>
      </c>
      <c r="AA383" s="3">
        <v>148</v>
      </c>
      <c r="AB383" s="3">
        <v>136</v>
      </c>
      <c r="AC383" s="3">
        <v>137</v>
      </c>
      <c r="AD383" s="3">
        <v>1</v>
      </c>
      <c r="AE383" s="7">
        <v>1</v>
      </c>
      <c r="AF383" s="7">
        <v>3</v>
      </c>
      <c r="AG383" s="7">
        <v>3</v>
      </c>
      <c r="AH383" s="3">
        <v>0</v>
      </c>
      <c r="AI383" s="3">
        <v>0</v>
      </c>
      <c r="AJ383" s="3">
        <v>1</v>
      </c>
      <c r="AK383" s="3">
        <v>1</v>
      </c>
      <c r="AL383" s="3">
        <v>2</v>
      </c>
      <c r="AM383" s="3">
        <v>2</v>
      </c>
      <c r="AN383" s="3">
        <v>0</v>
      </c>
      <c r="AO383" s="3">
        <v>0</v>
      </c>
      <c r="AP383" s="3">
        <v>1</v>
      </c>
      <c r="AQ383" s="3">
        <v>1</v>
      </c>
      <c r="AR383" s="2" t="s">
        <v>5</v>
      </c>
      <c r="AS383" s="2" t="s">
        <v>5</v>
      </c>
      <c r="AU383" s="5" t="str">
        <f>HYPERLINK("https://creighton-primo.hosted.exlibrisgroup.com/primo-explore/search?tab=default_tab&amp;search_scope=EVERYTHING&amp;vid=01CRU&amp;lang=en_US&amp;offset=0&amp;query=any,contains,991003802969702656","Catalog Record")</f>
        <v>Catalog Record</v>
      </c>
      <c r="AV383" s="5" t="str">
        <f>HYPERLINK("http://www.worldcat.org/oclc/1529009","WorldCat Record")</f>
        <v>WorldCat Record</v>
      </c>
      <c r="AW383" s="2" t="s">
        <v>5179</v>
      </c>
      <c r="AX383" s="2" t="s">
        <v>5180</v>
      </c>
      <c r="AY383" s="2" t="s">
        <v>5181</v>
      </c>
      <c r="AZ383" s="2" t="s">
        <v>5181</v>
      </c>
      <c r="BA383" s="2" t="s">
        <v>5182</v>
      </c>
      <c r="BB383" s="2" t="s">
        <v>21</v>
      </c>
      <c r="BD383" s="2" t="s">
        <v>5183</v>
      </c>
      <c r="BE383" s="2" t="s">
        <v>5184</v>
      </c>
      <c r="BF383" s="2" t="s">
        <v>5185</v>
      </c>
    </row>
    <row r="384" spans="1:58" ht="39.75" customHeight="1" x14ac:dyDescent="0.25">
      <c r="A384" s="1"/>
      <c r="B384" s="1" t="s">
        <v>0</v>
      </c>
      <c r="C384" s="1" t="s">
        <v>1</v>
      </c>
      <c r="D384" s="1" t="s">
        <v>5186</v>
      </c>
      <c r="E384" s="1" t="s">
        <v>5187</v>
      </c>
      <c r="F384" s="1" t="s">
        <v>5188</v>
      </c>
      <c r="H384" s="2" t="s">
        <v>5</v>
      </c>
      <c r="I384" s="2" t="s">
        <v>6</v>
      </c>
      <c r="J384" s="2" t="s">
        <v>5</v>
      </c>
      <c r="K384" s="2" t="s">
        <v>5</v>
      </c>
      <c r="L384" s="2" t="s">
        <v>7</v>
      </c>
      <c r="M384" s="1" t="s">
        <v>5189</v>
      </c>
      <c r="N384" s="1" t="s">
        <v>5190</v>
      </c>
      <c r="O384" s="2" t="s">
        <v>516</v>
      </c>
      <c r="Q384" s="2" t="s">
        <v>11</v>
      </c>
      <c r="R384" s="2" t="s">
        <v>76</v>
      </c>
      <c r="T384" s="2" t="s">
        <v>1367</v>
      </c>
      <c r="U384" s="3">
        <v>2</v>
      </c>
      <c r="V384" s="3">
        <v>2</v>
      </c>
      <c r="W384" s="4" t="s">
        <v>2205</v>
      </c>
      <c r="X384" s="4" t="s">
        <v>2205</v>
      </c>
      <c r="Y384" s="4" t="s">
        <v>1073</v>
      </c>
      <c r="Z384" s="4" t="s">
        <v>1073</v>
      </c>
      <c r="AA384" s="3">
        <v>703</v>
      </c>
      <c r="AB384" s="3">
        <v>661</v>
      </c>
      <c r="AC384" s="3">
        <v>666</v>
      </c>
      <c r="AD384" s="3">
        <v>5</v>
      </c>
      <c r="AE384" s="7">
        <v>5</v>
      </c>
      <c r="AF384" s="7">
        <v>39</v>
      </c>
      <c r="AG384" s="7">
        <v>39</v>
      </c>
      <c r="AH384" s="3">
        <v>11</v>
      </c>
      <c r="AI384" s="3">
        <v>11</v>
      </c>
      <c r="AJ384" s="3">
        <v>6</v>
      </c>
      <c r="AK384" s="3">
        <v>6</v>
      </c>
      <c r="AL384" s="3">
        <v>11</v>
      </c>
      <c r="AM384" s="3">
        <v>11</v>
      </c>
      <c r="AN384" s="3">
        <v>2</v>
      </c>
      <c r="AO384" s="3">
        <v>2</v>
      </c>
      <c r="AP384" s="3">
        <v>16</v>
      </c>
      <c r="AQ384" s="3">
        <v>16</v>
      </c>
      <c r="AR384" s="2" t="s">
        <v>5</v>
      </c>
      <c r="AS384" s="2" t="s">
        <v>16</v>
      </c>
      <c r="AT384" s="5" t="str">
        <f>HYPERLINK("http://catalog.hathitrust.org/Record/001013008","HathiTrust Record")</f>
        <v>HathiTrust Record</v>
      </c>
      <c r="AU384" s="5" t="str">
        <f>HYPERLINK("https://creighton-primo.hosted.exlibrisgroup.com/primo-explore/search?tab=default_tab&amp;search_scope=EVERYTHING&amp;vid=01CRU&amp;lang=en_US&amp;offset=0&amp;query=any,contains,991002883719702656","Catalog Record")</f>
        <v>Catalog Record</v>
      </c>
      <c r="AV384" s="5" t="str">
        <f>HYPERLINK("http://www.worldcat.org/oclc/507190","WorldCat Record")</f>
        <v>WorldCat Record</v>
      </c>
      <c r="AW384" s="2" t="s">
        <v>5191</v>
      </c>
      <c r="AX384" s="2" t="s">
        <v>5192</v>
      </c>
      <c r="AY384" s="2" t="s">
        <v>5193</v>
      </c>
      <c r="AZ384" s="2" t="s">
        <v>5193</v>
      </c>
      <c r="BA384" s="2" t="s">
        <v>5194</v>
      </c>
      <c r="BB384" s="2" t="s">
        <v>21</v>
      </c>
      <c r="BE384" s="2" t="s">
        <v>5195</v>
      </c>
      <c r="BF384" s="2" t="s">
        <v>5196</v>
      </c>
    </row>
    <row r="385" spans="1:58" ht="39.75" customHeight="1" x14ac:dyDescent="0.25">
      <c r="A385" s="1"/>
      <c r="B385" s="1" t="s">
        <v>0</v>
      </c>
      <c r="C385" s="1" t="s">
        <v>1</v>
      </c>
      <c r="D385" s="1" t="s">
        <v>5197</v>
      </c>
      <c r="E385" s="1" t="s">
        <v>5198</v>
      </c>
      <c r="F385" s="1" t="s">
        <v>5199</v>
      </c>
      <c r="H385" s="2" t="s">
        <v>5</v>
      </c>
      <c r="I385" s="2" t="s">
        <v>6</v>
      </c>
      <c r="J385" s="2" t="s">
        <v>5</v>
      </c>
      <c r="K385" s="2" t="s">
        <v>5</v>
      </c>
      <c r="L385" s="2" t="s">
        <v>7</v>
      </c>
      <c r="M385" s="1" t="s">
        <v>5200</v>
      </c>
      <c r="N385" s="1" t="s">
        <v>5201</v>
      </c>
      <c r="O385" s="2" t="s">
        <v>486</v>
      </c>
      <c r="Q385" s="2" t="s">
        <v>11</v>
      </c>
      <c r="R385" s="2" t="s">
        <v>306</v>
      </c>
      <c r="S385" s="1" t="s">
        <v>5202</v>
      </c>
      <c r="T385" s="2" t="s">
        <v>1367</v>
      </c>
      <c r="U385" s="3">
        <v>13</v>
      </c>
      <c r="V385" s="3">
        <v>13</v>
      </c>
      <c r="W385" s="4" t="s">
        <v>5203</v>
      </c>
      <c r="X385" s="4" t="s">
        <v>5203</v>
      </c>
      <c r="Y385" s="4" t="s">
        <v>3936</v>
      </c>
      <c r="Z385" s="4" t="s">
        <v>3936</v>
      </c>
      <c r="AA385" s="3">
        <v>633</v>
      </c>
      <c r="AB385" s="3">
        <v>565</v>
      </c>
      <c r="AC385" s="3">
        <v>576</v>
      </c>
      <c r="AD385" s="3">
        <v>8</v>
      </c>
      <c r="AE385" s="7">
        <v>8</v>
      </c>
      <c r="AF385" s="7">
        <v>45</v>
      </c>
      <c r="AG385" s="7">
        <v>45</v>
      </c>
      <c r="AH385" s="3">
        <v>14</v>
      </c>
      <c r="AI385" s="3">
        <v>14</v>
      </c>
      <c r="AJ385" s="3">
        <v>4</v>
      </c>
      <c r="AK385" s="3">
        <v>4</v>
      </c>
      <c r="AL385" s="3">
        <v>11</v>
      </c>
      <c r="AM385" s="3">
        <v>11</v>
      </c>
      <c r="AN385" s="3">
        <v>6</v>
      </c>
      <c r="AO385" s="3">
        <v>6</v>
      </c>
      <c r="AP385" s="3">
        <v>17</v>
      </c>
      <c r="AQ385" s="3">
        <v>17</v>
      </c>
      <c r="AR385" s="2" t="s">
        <v>5</v>
      </c>
      <c r="AS385" s="2" t="s">
        <v>16</v>
      </c>
      <c r="AT385" s="5" t="str">
        <f>HYPERLINK("http://catalog.hathitrust.org/Record/000471082","HathiTrust Record")</f>
        <v>HathiTrust Record</v>
      </c>
      <c r="AU385" s="5" t="str">
        <f>HYPERLINK("https://creighton-primo.hosted.exlibrisgroup.com/primo-explore/search?tab=default_tab&amp;search_scope=EVERYTHING&amp;vid=01CRU&amp;lang=en_US&amp;offset=0&amp;query=any,contains,991000233639702656","Catalog Record")</f>
        <v>Catalog Record</v>
      </c>
      <c r="AV385" s="5" t="str">
        <f>HYPERLINK("http://www.worldcat.org/oclc/9645669","WorldCat Record")</f>
        <v>WorldCat Record</v>
      </c>
      <c r="AW385" s="2" t="s">
        <v>5204</v>
      </c>
      <c r="AX385" s="2" t="s">
        <v>5205</v>
      </c>
      <c r="AY385" s="2" t="s">
        <v>5206</v>
      </c>
      <c r="AZ385" s="2" t="s">
        <v>5206</v>
      </c>
      <c r="BA385" s="2" t="s">
        <v>5207</v>
      </c>
      <c r="BB385" s="2" t="s">
        <v>21</v>
      </c>
      <c r="BD385" s="2" t="s">
        <v>5208</v>
      </c>
      <c r="BE385" s="2" t="s">
        <v>5209</v>
      </c>
      <c r="BF385" s="2" t="s">
        <v>5210</v>
      </c>
    </row>
    <row r="386" spans="1:58" ht="39.75" customHeight="1" x14ac:dyDescent="0.25">
      <c r="A386" s="1"/>
      <c r="B386" s="1" t="s">
        <v>0</v>
      </c>
      <c r="C386" s="1" t="s">
        <v>1</v>
      </c>
      <c r="D386" s="1" t="s">
        <v>5211</v>
      </c>
      <c r="E386" s="1" t="s">
        <v>5212</v>
      </c>
      <c r="F386" s="1" t="s">
        <v>5213</v>
      </c>
      <c r="H386" s="2" t="s">
        <v>5</v>
      </c>
      <c r="I386" s="2" t="s">
        <v>6</v>
      </c>
      <c r="J386" s="2" t="s">
        <v>5</v>
      </c>
      <c r="K386" s="2" t="s">
        <v>5</v>
      </c>
      <c r="L386" s="2" t="s">
        <v>7</v>
      </c>
      <c r="M386" s="1" t="s">
        <v>5214</v>
      </c>
      <c r="N386" s="1" t="s">
        <v>5215</v>
      </c>
      <c r="O386" s="2" t="s">
        <v>107</v>
      </c>
      <c r="Q386" s="2" t="s">
        <v>11</v>
      </c>
      <c r="R386" s="2" t="s">
        <v>5216</v>
      </c>
      <c r="T386" s="2" t="s">
        <v>1367</v>
      </c>
      <c r="U386" s="3">
        <v>16</v>
      </c>
      <c r="V386" s="3">
        <v>16</v>
      </c>
      <c r="W386" s="4" t="s">
        <v>2205</v>
      </c>
      <c r="X386" s="4" t="s">
        <v>2205</v>
      </c>
      <c r="Y386" s="4" t="s">
        <v>5217</v>
      </c>
      <c r="Z386" s="4" t="s">
        <v>5217</v>
      </c>
      <c r="AA386" s="3">
        <v>591</v>
      </c>
      <c r="AB386" s="3">
        <v>545</v>
      </c>
      <c r="AC386" s="3">
        <v>548</v>
      </c>
      <c r="AD386" s="3">
        <v>7</v>
      </c>
      <c r="AE386" s="7">
        <v>7</v>
      </c>
      <c r="AF386" s="7">
        <v>32</v>
      </c>
      <c r="AG386" s="7">
        <v>32</v>
      </c>
      <c r="AH386" s="3">
        <v>9</v>
      </c>
      <c r="AI386" s="3">
        <v>9</v>
      </c>
      <c r="AJ386" s="3">
        <v>6</v>
      </c>
      <c r="AK386" s="3">
        <v>6</v>
      </c>
      <c r="AL386" s="3">
        <v>12</v>
      </c>
      <c r="AM386" s="3">
        <v>12</v>
      </c>
      <c r="AN386" s="3">
        <v>5</v>
      </c>
      <c r="AO386" s="3">
        <v>5</v>
      </c>
      <c r="AP386" s="3">
        <v>6</v>
      </c>
      <c r="AQ386" s="3">
        <v>6</v>
      </c>
      <c r="AR386" s="2" t="s">
        <v>5</v>
      </c>
      <c r="AS386" s="2" t="s">
        <v>16</v>
      </c>
      <c r="AT386" s="5" t="str">
        <f>HYPERLINK("http://catalog.hathitrust.org/Record/001278721","HathiTrust Record")</f>
        <v>HathiTrust Record</v>
      </c>
      <c r="AU386" s="5" t="str">
        <f>HYPERLINK("https://creighton-primo.hosted.exlibrisgroup.com/primo-explore/search?tab=default_tab&amp;search_scope=EVERYTHING&amp;vid=01CRU&amp;lang=en_US&amp;offset=0&amp;query=any,contains,991001380289702656","Catalog Record")</f>
        <v>Catalog Record</v>
      </c>
      <c r="AV386" s="5" t="str">
        <f>HYPERLINK("http://www.worldcat.org/oclc/226128","WorldCat Record")</f>
        <v>WorldCat Record</v>
      </c>
      <c r="AW386" s="2" t="s">
        <v>5218</v>
      </c>
      <c r="AX386" s="2" t="s">
        <v>5219</v>
      </c>
      <c r="AY386" s="2" t="s">
        <v>5220</v>
      </c>
      <c r="AZ386" s="2" t="s">
        <v>5220</v>
      </c>
      <c r="BA386" s="2" t="s">
        <v>5221</v>
      </c>
      <c r="BB386" s="2" t="s">
        <v>21</v>
      </c>
      <c r="BE386" s="2" t="s">
        <v>5222</v>
      </c>
      <c r="BF386" s="2" t="s">
        <v>5223</v>
      </c>
    </row>
    <row r="387" spans="1:58" ht="39.75" customHeight="1" x14ac:dyDescent="0.25">
      <c r="A387" s="1"/>
      <c r="B387" s="1" t="s">
        <v>0</v>
      </c>
      <c r="C387" s="1" t="s">
        <v>1</v>
      </c>
      <c r="D387" s="1" t="s">
        <v>5224</v>
      </c>
      <c r="E387" s="1" t="s">
        <v>5225</v>
      </c>
      <c r="F387" s="1" t="s">
        <v>5226</v>
      </c>
      <c r="H387" s="2" t="s">
        <v>5</v>
      </c>
      <c r="I387" s="2" t="s">
        <v>6</v>
      </c>
      <c r="J387" s="2" t="s">
        <v>16</v>
      </c>
      <c r="K387" s="2" t="s">
        <v>5</v>
      </c>
      <c r="L387" s="2" t="s">
        <v>7</v>
      </c>
      <c r="M387" s="1" t="s">
        <v>5227</v>
      </c>
      <c r="N387" s="1" t="s">
        <v>515</v>
      </c>
      <c r="O387" s="2" t="s">
        <v>516</v>
      </c>
      <c r="Q387" s="2" t="s">
        <v>11</v>
      </c>
      <c r="R387" s="2" t="s">
        <v>244</v>
      </c>
      <c r="T387" s="2" t="s">
        <v>1367</v>
      </c>
      <c r="U387" s="3">
        <v>2</v>
      </c>
      <c r="V387" s="3">
        <v>2</v>
      </c>
      <c r="W387" s="4" t="s">
        <v>2205</v>
      </c>
      <c r="X387" s="4" t="s">
        <v>2205</v>
      </c>
      <c r="Y387" s="4" t="s">
        <v>5228</v>
      </c>
      <c r="Z387" s="4" t="s">
        <v>5228</v>
      </c>
      <c r="AA387" s="3">
        <v>785</v>
      </c>
      <c r="AB387" s="3">
        <v>735</v>
      </c>
      <c r="AC387" s="3">
        <v>775</v>
      </c>
      <c r="AD387" s="3">
        <v>7</v>
      </c>
      <c r="AE387" s="7">
        <v>7</v>
      </c>
      <c r="AF387" s="7">
        <v>40</v>
      </c>
      <c r="AG387" s="7">
        <v>47</v>
      </c>
      <c r="AH387" s="3">
        <v>10</v>
      </c>
      <c r="AI387" s="3">
        <v>11</v>
      </c>
      <c r="AJ387" s="3">
        <v>5</v>
      </c>
      <c r="AK387" s="3">
        <v>7</v>
      </c>
      <c r="AL387" s="3">
        <v>11</v>
      </c>
      <c r="AM387" s="3">
        <v>14</v>
      </c>
      <c r="AN387" s="3">
        <v>4</v>
      </c>
      <c r="AO387" s="3">
        <v>4</v>
      </c>
      <c r="AP387" s="3">
        <v>15</v>
      </c>
      <c r="AQ387" s="3">
        <v>18</v>
      </c>
      <c r="AR387" s="2" t="s">
        <v>5</v>
      </c>
      <c r="AS387" s="2" t="s">
        <v>16</v>
      </c>
      <c r="AT387" s="5" t="str">
        <f>HYPERLINK("http://catalog.hathitrust.org/Record/001278417","HathiTrust Record")</f>
        <v>HathiTrust Record</v>
      </c>
      <c r="AU387" s="5" t="str">
        <f>HYPERLINK("https://creighton-primo.hosted.exlibrisgroup.com/primo-explore/search?tab=default_tab&amp;search_scope=EVERYTHING&amp;vid=01CRU&amp;lang=en_US&amp;offset=0&amp;query=any,contains,991001647409702656","Catalog Record")</f>
        <v>Catalog Record</v>
      </c>
      <c r="AV387" s="5" t="str">
        <f>HYPERLINK("http://www.worldcat.org/oclc/507182","WorldCat Record")</f>
        <v>WorldCat Record</v>
      </c>
      <c r="AW387" s="2" t="s">
        <v>5229</v>
      </c>
      <c r="AX387" s="2" t="s">
        <v>5230</v>
      </c>
      <c r="AY387" s="2" t="s">
        <v>5231</v>
      </c>
      <c r="AZ387" s="2" t="s">
        <v>5231</v>
      </c>
      <c r="BA387" s="2" t="s">
        <v>5232</v>
      </c>
      <c r="BB387" s="2" t="s">
        <v>21</v>
      </c>
      <c r="BE387" s="2" t="s">
        <v>5233</v>
      </c>
      <c r="BF387" s="2" t="s">
        <v>5234</v>
      </c>
    </row>
    <row r="388" spans="1:58" ht="39.75" customHeight="1" x14ac:dyDescent="0.25">
      <c r="A388" s="1"/>
      <c r="B388" s="1" t="s">
        <v>0</v>
      </c>
      <c r="C388" s="1" t="s">
        <v>1</v>
      </c>
      <c r="D388" s="1" t="s">
        <v>5235</v>
      </c>
      <c r="E388" s="1" t="s">
        <v>5236</v>
      </c>
      <c r="F388" s="1" t="s">
        <v>5237</v>
      </c>
      <c r="H388" s="2" t="s">
        <v>5</v>
      </c>
      <c r="I388" s="2" t="s">
        <v>6</v>
      </c>
      <c r="J388" s="2" t="s">
        <v>5</v>
      </c>
      <c r="K388" s="2" t="s">
        <v>5</v>
      </c>
      <c r="L388" s="2" t="s">
        <v>7</v>
      </c>
      <c r="M388" s="1" t="s">
        <v>5238</v>
      </c>
      <c r="N388" s="1" t="s">
        <v>5239</v>
      </c>
      <c r="O388" s="2" t="s">
        <v>458</v>
      </c>
      <c r="Q388" s="2" t="s">
        <v>11</v>
      </c>
      <c r="R388" s="2" t="s">
        <v>244</v>
      </c>
      <c r="T388" s="2" t="s">
        <v>1367</v>
      </c>
      <c r="U388" s="3">
        <v>11</v>
      </c>
      <c r="V388" s="3">
        <v>11</v>
      </c>
      <c r="W388" s="4" t="s">
        <v>5240</v>
      </c>
      <c r="X388" s="4" t="s">
        <v>5240</v>
      </c>
      <c r="Y388" s="4" t="s">
        <v>445</v>
      </c>
      <c r="Z388" s="4" t="s">
        <v>445</v>
      </c>
      <c r="AA388" s="3">
        <v>292</v>
      </c>
      <c r="AB388" s="3">
        <v>268</v>
      </c>
      <c r="AC388" s="3">
        <v>646</v>
      </c>
      <c r="AD388" s="3">
        <v>3</v>
      </c>
      <c r="AE388" s="7">
        <v>6</v>
      </c>
      <c r="AF388" s="7">
        <v>15</v>
      </c>
      <c r="AG388" s="7">
        <v>32</v>
      </c>
      <c r="AH388" s="3">
        <v>3</v>
      </c>
      <c r="AI388" s="3">
        <v>8</v>
      </c>
      <c r="AJ388" s="3">
        <v>3</v>
      </c>
      <c r="AK388" s="3">
        <v>7</v>
      </c>
      <c r="AL388" s="3">
        <v>8</v>
      </c>
      <c r="AM388" s="3">
        <v>12</v>
      </c>
      <c r="AN388" s="3">
        <v>2</v>
      </c>
      <c r="AO388" s="3">
        <v>5</v>
      </c>
      <c r="AP388" s="3">
        <v>3</v>
      </c>
      <c r="AQ388" s="3">
        <v>7</v>
      </c>
      <c r="AR388" s="2" t="s">
        <v>5</v>
      </c>
      <c r="AS388" s="2" t="s">
        <v>16</v>
      </c>
      <c r="AT388" s="5" t="str">
        <f>HYPERLINK("http://catalog.hathitrust.org/Record/010071251","HathiTrust Record")</f>
        <v>HathiTrust Record</v>
      </c>
      <c r="AU388" s="5" t="str">
        <f>HYPERLINK("https://creighton-primo.hosted.exlibrisgroup.com/primo-explore/search?tab=default_tab&amp;search_scope=EVERYTHING&amp;vid=01CRU&amp;lang=en_US&amp;offset=0&amp;query=any,contains,991002839779702656","Catalog Record")</f>
        <v>Catalog Record</v>
      </c>
      <c r="AV388" s="5" t="str">
        <f>HYPERLINK("http://www.worldcat.org/oclc/481415","WorldCat Record")</f>
        <v>WorldCat Record</v>
      </c>
      <c r="AW388" s="2" t="s">
        <v>5241</v>
      </c>
      <c r="AX388" s="2" t="s">
        <v>5242</v>
      </c>
      <c r="AY388" s="2" t="s">
        <v>5243</v>
      </c>
      <c r="AZ388" s="2" t="s">
        <v>5243</v>
      </c>
      <c r="BA388" s="2" t="s">
        <v>5244</v>
      </c>
      <c r="BB388" s="2" t="s">
        <v>21</v>
      </c>
      <c r="BD388" s="2" t="s">
        <v>5245</v>
      </c>
      <c r="BE388" s="2" t="s">
        <v>5246</v>
      </c>
      <c r="BF388" s="2" t="s">
        <v>5247</v>
      </c>
    </row>
    <row r="389" spans="1:58" ht="39.75" customHeight="1" x14ac:dyDescent="0.25">
      <c r="A389" s="1"/>
      <c r="B389" s="1" t="s">
        <v>0</v>
      </c>
      <c r="C389" s="1" t="s">
        <v>1</v>
      </c>
      <c r="D389" s="1" t="s">
        <v>5248</v>
      </c>
      <c r="E389" s="1" t="s">
        <v>5249</v>
      </c>
      <c r="F389" s="1" t="s">
        <v>5250</v>
      </c>
      <c r="H389" s="2" t="s">
        <v>5</v>
      </c>
      <c r="I389" s="2" t="s">
        <v>6</v>
      </c>
      <c r="J389" s="2" t="s">
        <v>5</v>
      </c>
      <c r="K389" s="2" t="s">
        <v>5</v>
      </c>
      <c r="L389" s="2" t="s">
        <v>7</v>
      </c>
      <c r="M389" s="1" t="s">
        <v>5251</v>
      </c>
      <c r="N389" s="1" t="s">
        <v>5252</v>
      </c>
      <c r="O389" s="2" t="s">
        <v>1469</v>
      </c>
      <c r="Q389" s="2" t="s">
        <v>11</v>
      </c>
      <c r="R389" s="2" t="s">
        <v>76</v>
      </c>
      <c r="S389" s="1" t="s">
        <v>5253</v>
      </c>
      <c r="T389" s="2" t="s">
        <v>1367</v>
      </c>
      <c r="U389" s="3">
        <v>2</v>
      </c>
      <c r="V389" s="3">
        <v>2</v>
      </c>
      <c r="W389" s="4" t="s">
        <v>5254</v>
      </c>
      <c r="X389" s="4" t="s">
        <v>5254</v>
      </c>
      <c r="Y389" s="4" t="s">
        <v>5255</v>
      </c>
      <c r="Z389" s="4" t="s">
        <v>5255</v>
      </c>
      <c r="AA389" s="3">
        <v>671</v>
      </c>
      <c r="AB389" s="3">
        <v>553</v>
      </c>
      <c r="AC389" s="3">
        <v>560</v>
      </c>
      <c r="AD389" s="3">
        <v>5</v>
      </c>
      <c r="AE389" s="7">
        <v>5</v>
      </c>
      <c r="AF389" s="7">
        <v>28</v>
      </c>
      <c r="AG389" s="7">
        <v>28</v>
      </c>
      <c r="AH389" s="3">
        <v>8</v>
      </c>
      <c r="AI389" s="3">
        <v>8</v>
      </c>
      <c r="AJ389" s="3">
        <v>4</v>
      </c>
      <c r="AK389" s="3">
        <v>4</v>
      </c>
      <c r="AL389" s="3">
        <v>12</v>
      </c>
      <c r="AM389" s="3">
        <v>12</v>
      </c>
      <c r="AN389" s="3">
        <v>4</v>
      </c>
      <c r="AO389" s="3">
        <v>4</v>
      </c>
      <c r="AP389" s="3">
        <v>4</v>
      </c>
      <c r="AQ389" s="3">
        <v>4</v>
      </c>
      <c r="AR389" s="2" t="s">
        <v>5</v>
      </c>
      <c r="AS389" s="2" t="s">
        <v>16</v>
      </c>
      <c r="AT389" s="5" t="str">
        <f>HYPERLINK("http://catalog.hathitrust.org/Record/006225328","HathiTrust Record")</f>
        <v>HathiTrust Record</v>
      </c>
      <c r="AU389" s="5" t="str">
        <f>HYPERLINK("https://creighton-primo.hosted.exlibrisgroup.com/primo-explore/search?tab=default_tab&amp;search_scope=EVERYTHING&amp;vid=01CRU&amp;lang=en_US&amp;offset=0&amp;query=any,contains,991001920699702656","Catalog Record")</f>
        <v>Catalog Record</v>
      </c>
      <c r="AV389" s="5" t="str">
        <f>HYPERLINK("http://www.worldcat.org/oclc/244909","WorldCat Record")</f>
        <v>WorldCat Record</v>
      </c>
      <c r="AW389" s="2" t="s">
        <v>5256</v>
      </c>
      <c r="AX389" s="2" t="s">
        <v>5257</v>
      </c>
      <c r="AY389" s="2" t="s">
        <v>5258</v>
      </c>
      <c r="AZ389" s="2" t="s">
        <v>5258</v>
      </c>
      <c r="BA389" s="2" t="s">
        <v>5259</v>
      </c>
      <c r="BB389" s="2" t="s">
        <v>21</v>
      </c>
      <c r="BE389" s="2" t="s">
        <v>5260</v>
      </c>
      <c r="BF389" s="2" t="s">
        <v>5261</v>
      </c>
    </row>
    <row r="390" spans="1:58" ht="39.75" customHeight="1" x14ac:dyDescent="0.25">
      <c r="A390" s="1"/>
      <c r="B390" s="1" t="s">
        <v>0</v>
      </c>
      <c r="C390" s="1" t="s">
        <v>1</v>
      </c>
      <c r="D390" s="1" t="s">
        <v>5262</v>
      </c>
      <c r="E390" s="1" t="s">
        <v>5263</v>
      </c>
      <c r="F390" s="1" t="s">
        <v>5264</v>
      </c>
      <c r="H390" s="2" t="s">
        <v>5</v>
      </c>
      <c r="I390" s="2" t="s">
        <v>6</v>
      </c>
      <c r="J390" s="2" t="s">
        <v>5</v>
      </c>
      <c r="K390" s="2" t="s">
        <v>5</v>
      </c>
      <c r="L390" s="2" t="s">
        <v>7</v>
      </c>
      <c r="M390" s="1" t="s">
        <v>5265</v>
      </c>
      <c r="N390" s="1" t="s">
        <v>5266</v>
      </c>
      <c r="O390" s="2" t="s">
        <v>1001</v>
      </c>
      <c r="Q390" s="2" t="s">
        <v>11</v>
      </c>
      <c r="R390" s="2" t="s">
        <v>244</v>
      </c>
      <c r="T390" s="2" t="s">
        <v>1367</v>
      </c>
      <c r="U390" s="3">
        <v>7</v>
      </c>
      <c r="V390" s="3">
        <v>7</v>
      </c>
      <c r="W390" s="4" t="s">
        <v>5113</v>
      </c>
      <c r="X390" s="4" t="s">
        <v>5113</v>
      </c>
      <c r="Y390" s="4" t="s">
        <v>5267</v>
      </c>
      <c r="Z390" s="4" t="s">
        <v>5267</v>
      </c>
      <c r="AA390" s="3">
        <v>466</v>
      </c>
      <c r="AB390" s="3">
        <v>404</v>
      </c>
      <c r="AC390" s="3">
        <v>409</v>
      </c>
      <c r="AD390" s="3">
        <v>4</v>
      </c>
      <c r="AE390" s="7">
        <v>4</v>
      </c>
      <c r="AF390" s="7">
        <v>20</v>
      </c>
      <c r="AG390" s="7">
        <v>20</v>
      </c>
      <c r="AH390" s="3">
        <v>1</v>
      </c>
      <c r="AI390" s="3">
        <v>1</v>
      </c>
      <c r="AJ390" s="3">
        <v>4</v>
      </c>
      <c r="AK390" s="3">
        <v>4</v>
      </c>
      <c r="AL390" s="3">
        <v>3</v>
      </c>
      <c r="AM390" s="3">
        <v>3</v>
      </c>
      <c r="AN390" s="3">
        <v>2</v>
      </c>
      <c r="AO390" s="3">
        <v>2</v>
      </c>
      <c r="AP390" s="3">
        <v>12</v>
      </c>
      <c r="AQ390" s="3">
        <v>12</v>
      </c>
      <c r="AR390" s="2" t="s">
        <v>5</v>
      </c>
      <c r="AS390" s="2" t="s">
        <v>16</v>
      </c>
      <c r="AT390" s="5" t="str">
        <f>HYPERLINK("http://catalog.hathitrust.org/Record/000689114","HathiTrust Record")</f>
        <v>HathiTrust Record</v>
      </c>
      <c r="AU390" s="5" t="str">
        <f>HYPERLINK("https://creighton-primo.hosted.exlibrisgroup.com/primo-explore/search?tab=default_tab&amp;search_scope=EVERYTHING&amp;vid=01CRU&amp;lang=en_US&amp;offset=0&amp;query=any,contains,991003910419702656","Catalog Record")</f>
        <v>Catalog Record</v>
      </c>
      <c r="AV390" s="5" t="str">
        <f>HYPERLINK("http://www.worldcat.org/oclc/1850245","WorldCat Record")</f>
        <v>WorldCat Record</v>
      </c>
      <c r="AW390" s="2" t="s">
        <v>5268</v>
      </c>
      <c r="AX390" s="2" t="s">
        <v>5269</v>
      </c>
      <c r="AY390" s="2" t="s">
        <v>5270</v>
      </c>
      <c r="AZ390" s="2" t="s">
        <v>5270</v>
      </c>
      <c r="BA390" s="2" t="s">
        <v>5271</v>
      </c>
      <c r="BB390" s="2" t="s">
        <v>21</v>
      </c>
      <c r="BD390" s="2" t="s">
        <v>5272</v>
      </c>
      <c r="BE390" s="2" t="s">
        <v>5273</v>
      </c>
      <c r="BF390" s="2" t="s">
        <v>5274</v>
      </c>
    </row>
    <row r="391" spans="1:58" ht="39.75" customHeight="1" x14ac:dyDescent="0.25">
      <c r="A391" s="1"/>
      <c r="B391" s="1" t="s">
        <v>0</v>
      </c>
      <c r="C391" s="1" t="s">
        <v>1</v>
      </c>
      <c r="D391" s="1" t="s">
        <v>5275</v>
      </c>
      <c r="E391" s="1" t="s">
        <v>5276</v>
      </c>
      <c r="F391" s="1" t="s">
        <v>5277</v>
      </c>
      <c r="H391" s="2" t="s">
        <v>5</v>
      </c>
      <c r="I391" s="2" t="s">
        <v>6</v>
      </c>
      <c r="J391" s="2" t="s">
        <v>5</v>
      </c>
      <c r="K391" s="2" t="s">
        <v>5</v>
      </c>
      <c r="L391" s="2" t="s">
        <v>7</v>
      </c>
      <c r="M391" s="1" t="s">
        <v>5278</v>
      </c>
      <c r="N391" s="1" t="s">
        <v>5279</v>
      </c>
      <c r="O391" s="2" t="s">
        <v>1071</v>
      </c>
      <c r="Q391" s="2" t="s">
        <v>11</v>
      </c>
      <c r="R391" s="2" t="s">
        <v>76</v>
      </c>
      <c r="T391" s="2" t="s">
        <v>1367</v>
      </c>
      <c r="U391" s="3">
        <v>24</v>
      </c>
      <c r="V391" s="3">
        <v>24</v>
      </c>
      <c r="W391" s="4" t="s">
        <v>5280</v>
      </c>
      <c r="X391" s="4" t="s">
        <v>5280</v>
      </c>
      <c r="Y391" s="4" t="s">
        <v>1144</v>
      </c>
      <c r="Z391" s="4" t="s">
        <v>1144</v>
      </c>
      <c r="AA391" s="3">
        <v>393</v>
      </c>
      <c r="AB391" s="3">
        <v>347</v>
      </c>
      <c r="AC391" s="3">
        <v>1102</v>
      </c>
      <c r="AD391" s="3">
        <v>4</v>
      </c>
      <c r="AE391" s="7">
        <v>10</v>
      </c>
      <c r="AF391" s="7">
        <v>12</v>
      </c>
      <c r="AG391" s="7">
        <v>39</v>
      </c>
      <c r="AH391" s="3">
        <v>2</v>
      </c>
      <c r="AI391" s="3">
        <v>9</v>
      </c>
      <c r="AJ391" s="3">
        <v>0</v>
      </c>
      <c r="AK391" s="3">
        <v>3</v>
      </c>
      <c r="AL391" s="3">
        <v>1</v>
      </c>
      <c r="AM391" s="3">
        <v>12</v>
      </c>
      <c r="AN391" s="3">
        <v>2</v>
      </c>
      <c r="AO391" s="3">
        <v>5</v>
      </c>
      <c r="AP391" s="3">
        <v>7</v>
      </c>
      <c r="AQ391" s="3">
        <v>13</v>
      </c>
      <c r="AR391" s="2" t="s">
        <v>5</v>
      </c>
      <c r="AS391" s="2" t="s">
        <v>5</v>
      </c>
      <c r="AU391" s="5" t="str">
        <f>HYPERLINK("https://creighton-primo.hosted.exlibrisgroup.com/primo-explore/search?tab=default_tab&amp;search_scope=EVERYTHING&amp;vid=01CRU&amp;lang=en_US&amp;offset=0&amp;query=any,contains,991002095659702656","Catalog Record")</f>
        <v>Catalog Record</v>
      </c>
      <c r="AV391" s="5" t="str">
        <f>HYPERLINK("http://www.worldcat.org/oclc/265532","WorldCat Record")</f>
        <v>WorldCat Record</v>
      </c>
      <c r="AW391" s="2" t="s">
        <v>5281</v>
      </c>
      <c r="AX391" s="2" t="s">
        <v>5282</v>
      </c>
      <c r="AY391" s="2" t="s">
        <v>5283</v>
      </c>
      <c r="AZ391" s="2" t="s">
        <v>5283</v>
      </c>
      <c r="BA391" s="2" t="s">
        <v>5284</v>
      </c>
      <c r="BB391" s="2" t="s">
        <v>21</v>
      </c>
      <c r="BE391" s="2" t="s">
        <v>5285</v>
      </c>
      <c r="BF391" s="2" t="s">
        <v>5286</v>
      </c>
    </row>
    <row r="392" spans="1:58" ht="39.75" customHeight="1" x14ac:dyDescent="0.25">
      <c r="A392" s="1"/>
      <c r="B392" s="1" t="s">
        <v>0</v>
      </c>
      <c r="C392" s="1" t="s">
        <v>1</v>
      </c>
      <c r="D392" s="1" t="s">
        <v>5287</v>
      </c>
      <c r="E392" s="1" t="s">
        <v>5288</v>
      </c>
      <c r="F392" s="1" t="s">
        <v>5289</v>
      </c>
      <c r="H392" s="2" t="s">
        <v>5</v>
      </c>
      <c r="I392" s="2" t="s">
        <v>6</v>
      </c>
      <c r="J392" s="2" t="s">
        <v>5</v>
      </c>
      <c r="K392" s="2" t="s">
        <v>5</v>
      </c>
      <c r="L392" s="2" t="s">
        <v>7</v>
      </c>
      <c r="M392" s="1" t="s">
        <v>5290</v>
      </c>
      <c r="N392" s="1" t="s">
        <v>5291</v>
      </c>
      <c r="O392" s="2" t="s">
        <v>355</v>
      </c>
      <c r="P392" s="1" t="s">
        <v>1907</v>
      </c>
      <c r="Q392" s="2" t="s">
        <v>11</v>
      </c>
      <c r="R392" s="2" t="s">
        <v>76</v>
      </c>
      <c r="T392" s="2" t="s">
        <v>1367</v>
      </c>
      <c r="U392" s="3">
        <v>19</v>
      </c>
      <c r="V392" s="3">
        <v>19</v>
      </c>
      <c r="W392" s="4" t="s">
        <v>5292</v>
      </c>
      <c r="X392" s="4" t="s">
        <v>5292</v>
      </c>
      <c r="Y392" s="4" t="s">
        <v>5293</v>
      </c>
      <c r="Z392" s="4" t="s">
        <v>5293</v>
      </c>
      <c r="AA392" s="3">
        <v>1096</v>
      </c>
      <c r="AB392" s="3">
        <v>1014</v>
      </c>
      <c r="AC392" s="3">
        <v>1116</v>
      </c>
      <c r="AD392" s="3">
        <v>8</v>
      </c>
      <c r="AE392" s="7">
        <v>9</v>
      </c>
      <c r="AF392" s="7">
        <v>48</v>
      </c>
      <c r="AG392" s="7">
        <v>52</v>
      </c>
      <c r="AH392" s="3">
        <v>11</v>
      </c>
      <c r="AI392" s="3">
        <v>14</v>
      </c>
      <c r="AJ392" s="3">
        <v>8</v>
      </c>
      <c r="AK392" s="3">
        <v>8</v>
      </c>
      <c r="AL392" s="3">
        <v>11</v>
      </c>
      <c r="AM392" s="3">
        <v>12</v>
      </c>
      <c r="AN392" s="3">
        <v>5</v>
      </c>
      <c r="AO392" s="3">
        <v>6</v>
      </c>
      <c r="AP392" s="3">
        <v>21</v>
      </c>
      <c r="AQ392" s="3">
        <v>21</v>
      </c>
      <c r="AR392" s="2" t="s">
        <v>5</v>
      </c>
      <c r="AS392" s="2" t="s">
        <v>16</v>
      </c>
      <c r="AT392" s="5" t="str">
        <f>HYPERLINK("http://catalog.hathitrust.org/Record/001135451","HathiTrust Record")</f>
        <v>HathiTrust Record</v>
      </c>
      <c r="AU392" s="5" t="str">
        <f>HYPERLINK("https://creighton-primo.hosted.exlibrisgroup.com/primo-explore/search?tab=default_tab&amp;search_scope=EVERYTHING&amp;vid=01CRU&amp;lang=en_US&amp;offset=0&amp;query=any,contains,991003061329702656","Catalog Record")</f>
        <v>Catalog Record</v>
      </c>
      <c r="AV392" s="5" t="str">
        <f>HYPERLINK("http://www.worldcat.org/oclc/618361","WorldCat Record")</f>
        <v>WorldCat Record</v>
      </c>
      <c r="AW392" s="2" t="s">
        <v>5294</v>
      </c>
      <c r="AX392" s="2" t="s">
        <v>5295</v>
      </c>
      <c r="AY392" s="2" t="s">
        <v>5296</v>
      </c>
      <c r="AZ392" s="2" t="s">
        <v>5296</v>
      </c>
      <c r="BA392" s="2" t="s">
        <v>5297</v>
      </c>
      <c r="BB392" s="2" t="s">
        <v>21</v>
      </c>
      <c r="BD392" s="2" t="s">
        <v>5298</v>
      </c>
      <c r="BE392" s="2" t="s">
        <v>5299</v>
      </c>
      <c r="BF392" s="2" t="s">
        <v>5300</v>
      </c>
    </row>
    <row r="393" spans="1:58" ht="39.75" customHeight="1" x14ac:dyDescent="0.25">
      <c r="A393" s="1"/>
      <c r="B393" s="1" t="s">
        <v>0</v>
      </c>
      <c r="C393" s="1" t="s">
        <v>1</v>
      </c>
      <c r="D393" s="1" t="s">
        <v>5301</v>
      </c>
      <c r="E393" s="1" t="s">
        <v>5302</v>
      </c>
      <c r="F393" s="1" t="s">
        <v>5303</v>
      </c>
      <c r="H393" s="2" t="s">
        <v>5</v>
      </c>
      <c r="I393" s="2" t="s">
        <v>6</v>
      </c>
      <c r="J393" s="2" t="s">
        <v>5</v>
      </c>
      <c r="K393" s="2" t="s">
        <v>5</v>
      </c>
      <c r="L393" s="2" t="s">
        <v>7</v>
      </c>
      <c r="M393" s="1" t="s">
        <v>5304</v>
      </c>
      <c r="N393" s="1" t="s">
        <v>5305</v>
      </c>
      <c r="O393" s="2" t="s">
        <v>629</v>
      </c>
      <c r="Q393" s="2" t="s">
        <v>11</v>
      </c>
      <c r="R393" s="2" t="s">
        <v>124</v>
      </c>
      <c r="T393" s="2" t="s">
        <v>1367</v>
      </c>
      <c r="U393" s="3">
        <v>36</v>
      </c>
      <c r="V393" s="3">
        <v>36</v>
      </c>
      <c r="W393" s="4" t="s">
        <v>5306</v>
      </c>
      <c r="X393" s="4" t="s">
        <v>5306</v>
      </c>
      <c r="Y393" s="4" t="s">
        <v>156</v>
      </c>
      <c r="Z393" s="4" t="s">
        <v>156</v>
      </c>
      <c r="AA393" s="3">
        <v>624</v>
      </c>
      <c r="AB393" s="3">
        <v>578</v>
      </c>
      <c r="AC393" s="3">
        <v>584</v>
      </c>
      <c r="AD393" s="3">
        <v>3</v>
      </c>
      <c r="AE393" s="7">
        <v>3</v>
      </c>
      <c r="AF393" s="7">
        <v>34</v>
      </c>
      <c r="AG393" s="7">
        <v>34</v>
      </c>
      <c r="AH393" s="3">
        <v>9</v>
      </c>
      <c r="AI393" s="3">
        <v>9</v>
      </c>
      <c r="AJ393" s="3">
        <v>3</v>
      </c>
      <c r="AK393" s="3">
        <v>3</v>
      </c>
      <c r="AL393" s="3">
        <v>9</v>
      </c>
      <c r="AM393" s="3">
        <v>9</v>
      </c>
      <c r="AN393" s="3">
        <v>2</v>
      </c>
      <c r="AO393" s="3">
        <v>2</v>
      </c>
      <c r="AP393" s="3">
        <v>15</v>
      </c>
      <c r="AQ393" s="3">
        <v>15</v>
      </c>
      <c r="AR393" s="2" t="s">
        <v>5</v>
      </c>
      <c r="AS393" s="2" t="s">
        <v>5</v>
      </c>
      <c r="AU393" s="5" t="str">
        <f>HYPERLINK("https://creighton-primo.hosted.exlibrisgroup.com/primo-explore/search?tab=default_tab&amp;search_scope=EVERYTHING&amp;vid=01CRU&amp;lang=en_US&amp;offset=0&amp;query=any,contains,991000850129702656","Catalog Record")</f>
        <v>Catalog Record</v>
      </c>
      <c r="AV393" s="5" t="str">
        <f>HYPERLINK("http://www.worldcat.org/oclc/13581878","WorldCat Record")</f>
        <v>WorldCat Record</v>
      </c>
      <c r="AW393" s="2" t="s">
        <v>5307</v>
      </c>
      <c r="AX393" s="2" t="s">
        <v>5308</v>
      </c>
      <c r="AY393" s="2" t="s">
        <v>5309</v>
      </c>
      <c r="AZ393" s="2" t="s">
        <v>5309</v>
      </c>
      <c r="BA393" s="2" t="s">
        <v>5310</v>
      </c>
      <c r="BB393" s="2" t="s">
        <v>21</v>
      </c>
      <c r="BD393" s="2" t="s">
        <v>5311</v>
      </c>
      <c r="BE393" s="2" t="s">
        <v>5312</v>
      </c>
      <c r="BF393" s="2" t="s">
        <v>5313</v>
      </c>
    </row>
    <row r="394" spans="1:58" ht="39.75" customHeight="1" x14ac:dyDescent="0.25">
      <c r="A394" s="1"/>
      <c r="B394" s="1" t="s">
        <v>0</v>
      </c>
      <c r="C394" s="1" t="s">
        <v>1</v>
      </c>
      <c r="D394" s="1" t="s">
        <v>5314</v>
      </c>
      <c r="E394" s="1" t="s">
        <v>5315</v>
      </c>
      <c r="F394" s="1" t="s">
        <v>5316</v>
      </c>
      <c r="H394" s="2" t="s">
        <v>5</v>
      </c>
      <c r="I394" s="2" t="s">
        <v>6</v>
      </c>
      <c r="J394" s="2" t="s">
        <v>16</v>
      </c>
      <c r="K394" s="2" t="s">
        <v>5</v>
      </c>
      <c r="L394" s="2" t="s">
        <v>7</v>
      </c>
      <c r="M394" s="1" t="s">
        <v>5317</v>
      </c>
      <c r="N394" s="1" t="s">
        <v>5318</v>
      </c>
      <c r="O394" s="2" t="s">
        <v>275</v>
      </c>
      <c r="Q394" s="2" t="s">
        <v>11</v>
      </c>
      <c r="R394" s="2" t="s">
        <v>903</v>
      </c>
      <c r="T394" s="2" t="s">
        <v>1367</v>
      </c>
      <c r="U394" s="3">
        <v>14</v>
      </c>
      <c r="V394" s="3">
        <v>14</v>
      </c>
      <c r="W394" s="4" t="s">
        <v>5319</v>
      </c>
      <c r="X394" s="4" t="s">
        <v>5319</v>
      </c>
      <c r="Y394" s="4" t="s">
        <v>5320</v>
      </c>
      <c r="Z394" s="4" t="s">
        <v>5321</v>
      </c>
      <c r="AA394" s="3">
        <v>642</v>
      </c>
      <c r="AB394" s="3">
        <v>533</v>
      </c>
      <c r="AC394" s="3">
        <v>534</v>
      </c>
      <c r="AD394" s="3">
        <v>5</v>
      </c>
      <c r="AE394" s="7">
        <v>5</v>
      </c>
      <c r="AF394" s="7">
        <v>36</v>
      </c>
      <c r="AG394" s="7">
        <v>36</v>
      </c>
      <c r="AH394" s="3">
        <v>5</v>
      </c>
      <c r="AI394" s="3">
        <v>5</v>
      </c>
      <c r="AJ394" s="3">
        <v>5</v>
      </c>
      <c r="AK394" s="3">
        <v>5</v>
      </c>
      <c r="AL394" s="3">
        <v>7</v>
      </c>
      <c r="AM394" s="3">
        <v>7</v>
      </c>
      <c r="AN394" s="3">
        <v>3</v>
      </c>
      <c r="AO394" s="3">
        <v>3</v>
      </c>
      <c r="AP394" s="3">
        <v>18</v>
      </c>
      <c r="AQ394" s="3">
        <v>18</v>
      </c>
      <c r="AR394" s="2" t="s">
        <v>5</v>
      </c>
      <c r="AS394" s="2" t="s">
        <v>5</v>
      </c>
      <c r="AU394" s="5" t="str">
        <f>HYPERLINK("https://creighton-primo.hosted.exlibrisgroup.com/primo-explore/search?tab=default_tab&amp;search_scope=EVERYTHING&amp;vid=01CRU&amp;lang=en_US&amp;offset=0&amp;query=any,contains,991001805529702656","Catalog Record")</f>
        <v>Catalog Record</v>
      </c>
      <c r="AV394" s="5" t="str">
        <f>HYPERLINK("http://www.worldcat.org/oclc/5107099","WorldCat Record")</f>
        <v>WorldCat Record</v>
      </c>
      <c r="AW394" s="2" t="s">
        <v>5322</v>
      </c>
      <c r="AX394" s="2" t="s">
        <v>5323</v>
      </c>
      <c r="AY394" s="2" t="s">
        <v>5324</v>
      </c>
      <c r="AZ394" s="2" t="s">
        <v>5324</v>
      </c>
      <c r="BA394" s="2" t="s">
        <v>5325</v>
      </c>
      <c r="BB394" s="2" t="s">
        <v>21</v>
      </c>
      <c r="BD394" s="2" t="s">
        <v>5326</v>
      </c>
      <c r="BE394" s="2" t="s">
        <v>5327</v>
      </c>
      <c r="BF394" s="2" t="s">
        <v>5328</v>
      </c>
    </row>
    <row r="395" spans="1:58" ht="39.75" customHeight="1" x14ac:dyDescent="0.25">
      <c r="A395" s="1"/>
      <c r="B395" s="1" t="s">
        <v>0</v>
      </c>
      <c r="C395" s="1" t="s">
        <v>1</v>
      </c>
      <c r="D395" s="1" t="s">
        <v>5329</v>
      </c>
      <c r="E395" s="1" t="s">
        <v>5330</v>
      </c>
      <c r="F395" s="1" t="s">
        <v>5331</v>
      </c>
      <c r="H395" s="2" t="s">
        <v>5</v>
      </c>
      <c r="I395" s="2" t="s">
        <v>6</v>
      </c>
      <c r="J395" s="2" t="s">
        <v>5</v>
      </c>
      <c r="K395" s="2" t="s">
        <v>5</v>
      </c>
      <c r="L395" s="2" t="s">
        <v>7</v>
      </c>
      <c r="M395" s="1" t="s">
        <v>5332</v>
      </c>
      <c r="N395" s="1" t="s">
        <v>5333</v>
      </c>
      <c r="O395" s="2" t="s">
        <v>486</v>
      </c>
      <c r="Q395" s="2" t="s">
        <v>11</v>
      </c>
      <c r="R395" s="2" t="s">
        <v>76</v>
      </c>
      <c r="T395" s="2" t="s">
        <v>1367</v>
      </c>
      <c r="U395" s="3">
        <v>21</v>
      </c>
      <c r="V395" s="3">
        <v>21</v>
      </c>
      <c r="W395" s="4" t="s">
        <v>5334</v>
      </c>
      <c r="X395" s="4" t="s">
        <v>5334</v>
      </c>
      <c r="Y395" s="4" t="s">
        <v>5141</v>
      </c>
      <c r="Z395" s="4" t="s">
        <v>5141</v>
      </c>
      <c r="AA395" s="3">
        <v>607</v>
      </c>
      <c r="AB395" s="3">
        <v>577</v>
      </c>
      <c r="AC395" s="3">
        <v>583</v>
      </c>
      <c r="AD395" s="3">
        <v>6</v>
      </c>
      <c r="AE395" s="7">
        <v>6</v>
      </c>
      <c r="AF395" s="7">
        <v>25</v>
      </c>
      <c r="AG395" s="7">
        <v>25</v>
      </c>
      <c r="AH395" s="3">
        <v>4</v>
      </c>
      <c r="AI395" s="3">
        <v>4</v>
      </c>
      <c r="AJ395" s="3">
        <v>1</v>
      </c>
      <c r="AK395" s="3">
        <v>1</v>
      </c>
      <c r="AL395" s="3">
        <v>4</v>
      </c>
      <c r="AM395" s="3">
        <v>4</v>
      </c>
      <c r="AN395" s="3">
        <v>3</v>
      </c>
      <c r="AO395" s="3">
        <v>3</v>
      </c>
      <c r="AP395" s="3">
        <v>16</v>
      </c>
      <c r="AQ395" s="3">
        <v>16</v>
      </c>
      <c r="AR395" s="2" t="s">
        <v>5</v>
      </c>
      <c r="AS395" s="2" t="s">
        <v>5</v>
      </c>
      <c r="AU395" s="5" t="str">
        <f>HYPERLINK("https://creighton-primo.hosted.exlibrisgroup.com/primo-explore/search?tab=default_tab&amp;search_scope=EVERYTHING&amp;vid=01CRU&amp;lang=en_US&amp;offset=0&amp;query=any,contains,991000257189702656","Catalog Record")</f>
        <v>Catalog Record</v>
      </c>
      <c r="AV395" s="5" t="str">
        <f>HYPERLINK("http://www.worldcat.org/oclc/9783918","WorldCat Record")</f>
        <v>WorldCat Record</v>
      </c>
      <c r="AW395" s="2" t="s">
        <v>5335</v>
      </c>
      <c r="AX395" s="2" t="s">
        <v>5336</v>
      </c>
      <c r="AY395" s="2" t="s">
        <v>5337</v>
      </c>
      <c r="AZ395" s="2" t="s">
        <v>5337</v>
      </c>
      <c r="BA395" s="2" t="s">
        <v>5338</v>
      </c>
      <c r="BB395" s="2" t="s">
        <v>21</v>
      </c>
      <c r="BD395" s="2" t="s">
        <v>5339</v>
      </c>
      <c r="BE395" s="2" t="s">
        <v>5340</v>
      </c>
      <c r="BF395" s="2" t="s">
        <v>5341</v>
      </c>
    </row>
    <row r="396" spans="1:58" ht="39.75" customHeight="1" x14ac:dyDescent="0.25">
      <c r="A396" s="1"/>
      <c r="B396" s="1" t="s">
        <v>0</v>
      </c>
      <c r="C396" s="1" t="s">
        <v>1</v>
      </c>
      <c r="D396" s="1" t="s">
        <v>5342</v>
      </c>
      <c r="E396" s="1" t="s">
        <v>5343</v>
      </c>
      <c r="F396" s="1" t="s">
        <v>5344</v>
      </c>
      <c r="H396" s="2" t="s">
        <v>5</v>
      </c>
      <c r="I396" s="2" t="s">
        <v>6</v>
      </c>
      <c r="J396" s="2" t="s">
        <v>16</v>
      </c>
      <c r="K396" s="2" t="s">
        <v>5</v>
      </c>
      <c r="L396" s="2" t="s">
        <v>7</v>
      </c>
      <c r="M396" s="1" t="s">
        <v>5345</v>
      </c>
      <c r="N396" s="1" t="s">
        <v>5346</v>
      </c>
      <c r="O396" s="2" t="s">
        <v>259</v>
      </c>
      <c r="Q396" s="2" t="s">
        <v>11</v>
      </c>
      <c r="R396" s="2" t="s">
        <v>4323</v>
      </c>
      <c r="T396" s="2" t="s">
        <v>1367</v>
      </c>
      <c r="U396" s="3">
        <v>18</v>
      </c>
      <c r="V396" s="3">
        <v>25</v>
      </c>
      <c r="W396" s="4" t="s">
        <v>5347</v>
      </c>
      <c r="X396" s="4" t="s">
        <v>5347</v>
      </c>
      <c r="Y396" s="4" t="s">
        <v>5348</v>
      </c>
      <c r="Z396" s="4" t="s">
        <v>5349</v>
      </c>
      <c r="AA396" s="3">
        <v>116</v>
      </c>
      <c r="AB396" s="3">
        <v>104</v>
      </c>
      <c r="AC396" s="3">
        <v>104</v>
      </c>
      <c r="AD396" s="3">
        <v>2</v>
      </c>
      <c r="AE396" s="7">
        <v>2</v>
      </c>
      <c r="AF396" s="7">
        <v>10</v>
      </c>
      <c r="AG396" s="7">
        <v>10</v>
      </c>
      <c r="AH396" s="3">
        <v>1</v>
      </c>
      <c r="AI396" s="3">
        <v>1</v>
      </c>
      <c r="AJ396" s="3">
        <v>1</v>
      </c>
      <c r="AK396" s="3">
        <v>1</v>
      </c>
      <c r="AL396" s="3">
        <v>3</v>
      </c>
      <c r="AM396" s="3">
        <v>3</v>
      </c>
      <c r="AN396" s="3">
        <v>0</v>
      </c>
      <c r="AO396" s="3">
        <v>0</v>
      </c>
      <c r="AP396" s="3">
        <v>6</v>
      </c>
      <c r="AQ396" s="3">
        <v>6</v>
      </c>
      <c r="AR396" s="2" t="s">
        <v>5</v>
      </c>
      <c r="AS396" s="2" t="s">
        <v>5</v>
      </c>
      <c r="AU396" s="5" t="str">
        <f>HYPERLINK("https://creighton-primo.hosted.exlibrisgroup.com/primo-explore/search?tab=default_tab&amp;search_scope=EVERYTHING&amp;vid=01CRU&amp;lang=en_US&amp;offset=0&amp;query=any,contains,991001640999702656","Catalog Record")</f>
        <v>Catalog Record</v>
      </c>
      <c r="AV396" s="5" t="str">
        <f>HYPERLINK("http://www.worldcat.org/oclc/19378828","WorldCat Record")</f>
        <v>WorldCat Record</v>
      </c>
      <c r="AW396" s="2" t="s">
        <v>5350</v>
      </c>
      <c r="AX396" s="2" t="s">
        <v>5351</v>
      </c>
      <c r="AY396" s="2" t="s">
        <v>5352</v>
      </c>
      <c r="AZ396" s="2" t="s">
        <v>5352</v>
      </c>
      <c r="BA396" s="2" t="s">
        <v>5353</v>
      </c>
      <c r="BB396" s="2" t="s">
        <v>21</v>
      </c>
      <c r="BD396" s="2" t="s">
        <v>5354</v>
      </c>
      <c r="BE396" s="2" t="s">
        <v>5355</v>
      </c>
      <c r="BF396" s="2" t="s">
        <v>5356</v>
      </c>
    </row>
    <row r="397" spans="1:58" ht="39.75" customHeight="1" x14ac:dyDescent="0.25">
      <c r="A397" s="1"/>
      <c r="B397" s="1" t="s">
        <v>0</v>
      </c>
      <c r="C397" s="1" t="s">
        <v>1</v>
      </c>
      <c r="D397" s="1" t="s">
        <v>5357</v>
      </c>
      <c r="E397" s="1" t="s">
        <v>5358</v>
      </c>
      <c r="F397" s="1" t="s">
        <v>5359</v>
      </c>
      <c r="H397" s="2" t="s">
        <v>5</v>
      </c>
      <c r="I397" s="2" t="s">
        <v>6</v>
      </c>
      <c r="J397" s="2" t="s">
        <v>5</v>
      </c>
      <c r="K397" s="2" t="s">
        <v>5</v>
      </c>
      <c r="L397" s="2" t="s">
        <v>7</v>
      </c>
      <c r="M397" s="1" t="s">
        <v>5360</v>
      </c>
      <c r="N397" s="1" t="s">
        <v>5361</v>
      </c>
      <c r="O397" s="2" t="s">
        <v>486</v>
      </c>
      <c r="Q397" s="2" t="s">
        <v>11</v>
      </c>
      <c r="R397" s="2" t="s">
        <v>501</v>
      </c>
      <c r="T397" s="2" t="s">
        <v>1367</v>
      </c>
      <c r="U397" s="3">
        <v>29</v>
      </c>
      <c r="V397" s="3">
        <v>29</v>
      </c>
      <c r="W397" s="4" t="s">
        <v>5362</v>
      </c>
      <c r="X397" s="4" t="s">
        <v>5362</v>
      </c>
      <c r="Y397" s="4" t="s">
        <v>2537</v>
      </c>
      <c r="Z397" s="4" t="s">
        <v>2537</v>
      </c>
      <c r="AA397" s="3">
        <v>420</v>
      </c>
      <c r="AB397" s="3">
        <v>383</v>
      </c>
      <c r="AC397" s="3">
        <v>384</v>
      </c>
      <c r="AD397" s="3">
        <v>4</v>
      </c>
      <c r="AE397" s="7">
        <v>4</v>
      </c>
      <c r="AF397" s="7">
        <v>26</v>
      </c>
      <c r="AG397" s="7">
        <v>26</v>
      </c>
      <c r="AH397" s="3">
        <v>4</v>
      </c>
      <c r="AI397" s="3">
        <v>4</v>
      </c>
      <c r="AJ397" s="3">
        <v>3</v>
      </c>
      <c r="AK397" s="3">
        <v>3</v>
      </c>
      <c r="AL397" s="3">
        <v>5</v>
      </c>
      <c r="AM397" s="3">
        <v>5</v>
      </c>
      <c r="AN397" s="3">
        <v>2</v>
      </c>
      <c r="AO397" s="3">
        <v>2</v>
      </c>
      <c r="AP397" s="3">
        <v>16</v>
      </c>
      <c r="AQ397" s="3">
        <v>16</v>
      </c>
      <c r="AR397" s="2" t="s">
        <v>5</v>
      </c>
      <c r="AS397" s="2" t="s">
        <v>16</v>
      </c>
      <c r="AT397" s="5" t="str">
        <f>HYPERLINK("http://catalog.hathitrust.org/Record/000239785","HathiTrust Record")</f>
        <v>HathiTrust Record</v>
      </c>
      <c r="AU397" s="5" t="str">
        <f>HYPERLINK("https://creighton-primo.hosted.exlibrisgroup.com/primo-explore/search?tab=default_tab&amp;search_scope=EVERYTHING&amp;vid=01CRU&amp;lang=en_US&amp;offset=0&amp;query=any,contains,991000092549702656","Catalog Record")</f>
        <v>Catalog Record</v>
      </c>
      <c r="AV397" s="5" t="str">
        <f>HYPERLINK("http://www.worldcat.org/oclc/8907439","WorldCat Record")</f>
        <v>WorldCat Record</v>
      </c>
      <c r="AW397" s="2" t="s">
        <v>5363</v>
      </c>
      <c r="AX397" s="2" t="s">
        <v>5364</v>
      </c>
      <c r="AY397" s="2" t="s">
        <v>5365</v>
      </c>
      <c r="AZ397" s="2" t="s">
        <v>5365</v>
      </c>
      <c r="BA397" s="2" t="s">
        <v>5366</v>
      </c>
      <c r="BB397" s="2" t="s">
        <v>21</v>
      </c>
      <c r="BD397" s="2" t="s">
        <v>5367</v>
      </c>
      <c r="BE397" s="2" t="s">
        <v>5368</v>
      </c>
      <c r="BF397" s="2" t="s">
        <v>5369</v>
      </c>
    </row>
    <row r="398" spans="1:58" ht="39.75" customHeight="1" x14ac:dyDescent="0.25">
      <c r="A398" s="1"/>
      <c r="B398" s="1" t="s">
        <v>0</v>
      </c>
      <c r="C398" s="1" t="s">
        <v>1</v>
      </c>
      <c r="D398" s="1" t="s">
        <v>5370</v>
      </c>
      <c r="E398" s="1" t="s">
        <v>5371</v>
      </c>
      <c r="F398" s="1" t="s">
        <v>5372</v>
      </c>
      <c r="H398" s="2" t="s">
        <v>5</v>
      </c>
      <c r="I398" s="2" t="s">
        <v>6</v>
      </c>
      <c r="J398" s="2" t="s">
        <v>5</v>
      </c>
      <c r="K398" s="2" t="s">
        <v>5</v>
      </c>
      <c r="L398" s="2" t="s">
        <v>7</v>
      </c>
      <c r="M398" s="1" t="s">
        <v>5373</v>
      </c>
      <c r="N398" s="1" t="s">
        <v>5374</v>
      </c>
      <c r="O398" s="2" t="s">
        <v>387</v>
      </c>
      <c r="Q398" s="2" t="s">
        <v>11</v>
      </c>
      <c r="R398" s="2" t="s">
        <v>1672</v>
      </c>
      <c r="S398" s="1" t="s">
        <v>5375</v>
      </c>
      <c r="T398" s="2" t="s">
        <v>1367</v>
      </c>
      <c r="U398" s="3">
        <v>17</v>
      </c>
      <c r="V398" s="3">
        <v>17</v>
      </c>
      <c r="W398" s="4" t="s">
        <v>5376</v>
      </c>
      <c r="X398" s="4" t="s">
        <v>5376</v>
      </c>
      <c r="Y398" s="4" t="s">
        <v>5377</v>
      </c>
      <c r="Z398" s="4" t="s">
        <v>5377</v>
      </c>
      <c r="AA398" s="3">
        <v>98</v>
      </c>
      <c r="AB398" s="3">
        <v>87</v>
      </c>
      <c r="AC398" s="3">
        <v>89</v>
      </c>
      <c r="AD398" s="3">
        <v>3</v>
      </c>
      <c r="AE398" s="7">
        <v>3</v>
      </c>
      <c r="AF398" s="7">
        <v>7</v>
      </c>
      <c r="AG398" s="7">
        <v>7</v>
      </c>
      <c r="AH398" s="3">
        <v>1</v>
      </c>
      <c r="AI398" s="3">
        <v>1</v>
      </c>
      <c r="AJ398" s="3">
        <v>1</v>
      </c>
      <c r="AK398" s="3">
        <v>1</v>
      </c>
      <c r="AL398" s="3">
        <v>1</v>
      </c>
      <c r="AM398" s="3">
        <v>1</v>
      </c>
      <c r="AN398" s="3">
        <v>2</v>
      </c>
      <c r="AO398" s="3">
        <v>2</v>
      </c>
      <c r="AP398" s="3">
        <v>3</v>
      </c>
      <c r="AQ398" s="3">
        <v>3</v>
      </c>
      <c r="AR398" s="2" t="s">
        <v>5</v>
      </c>
      <c r="AS398" s="2" t="s">
        <v>16</v>
      </c>
      <c r="AT398" s="5" t="str">
        <f>HYPERLINK("http://catalog.hathitrust.org/Record/008307050","HathiTrust Record")</f>
        <v>HathiTrust Record</v>
      </c>
      <c r="AU398" s="5" t="str">
        <f>HYPERLINK("https://creighton-primo.hosted.exlibrisgroup.com/primo-explore/search?tab=default_tab&amp;search_scope=EVERYTHING&amp;vid=01CRU&amp;lang=en_US&amp;offset=0&amp;query=any,contains,991000339719702656","Catalog Record")</f>
        <v>Catalog Record</v>
      </c>
      <c r="AV398" s="5" t="str">
        <f>HYPERLINK("http://www.worldcat.org/oclc/10251619","WorldCat Record")</f>
        <v>WorldCat Record</v>
      </c>
      <c r="AW398" s="2" t="s">
        <v>5378</v>
      </c>
      <c r="AX398" s="2" t="s">
        <v>5379</v>
      </c>
      <c r="AY398" s="2" t="s">
        <v>5380</v>
      </c>
      <c r="AZ398" s="2" t="s">
        <v>5380</v>
      </c>
      <c r="BA398" s="2" t="s">
        <v>5381</v>
      </c>
      <c r="BB398" s="2" t="s">
        <v>21</v>
      </c>
      <c r="BD398" s="2" t="s">
        <v>5382</v>
      </c>
      <c r="BE398" s="2" t="s">
        <v>5383</v>
      </c>
      <c r="BF398" s="2" t="s">
        <v>5384</v>
      </c>
    </row>
    <row r="399" spans="1:58" ht="39.75" customHeight="1" x14ac:dyDescent="0.25">
      <c r="A399" s="1"/>
      <c r="B399" s="1" t="s">
        <v>0</v>
      </c>
      <c r="C399" s="1" t="s">
        <v>1</v>
      </c>
      <c r="D399" s="1" t="s">
        <v>5385</v>
      </c>
      <c r="E399" s="1" t="s">
        <v>5386</v>
      </c>
      <c r="F399" s="1" t="s">
        <v>5387</v>
      </c>
      <c r="H399" s="2" t="s">
        <v>5</v>
      </c>
      <c r="I399" s="2" t="s">
        <v>6</v>
      </c>
      <c r="J399" s="2" t="s">
        <v>16</v>
      </c>
      <c r="K399" s="2" t="s">
        <v>5</v>
      </c>
      <c r="L399" s="2" t="s">
        <v>7</v>
      </c>
      <c r="M399" s="1" t="s">
        <v>5388</v>
      </c>
      <c r="N399" s="1" t="s">
        <v>5389</v>
      </c>
      <c r="O399" s="2" t="s">
        <v>45</v>
      </c>
      <c r="P399" s="1" t="s">
        <v>229</v>
      </c>
      <c r="Q399" s="2" t="s">
        <v>11</v>
      </c>
      <c r="R399" s="2" t="s">
        <v>76</v>
      </c>
      <c r="T399" s="2" t="s">
        <v>1367</v>
      </c>
      <c r="U399" s="3">
        <v>27</v>
      </c>
      <c r="V399" s="3">
        <v>31</v>
      </c>
      <c r="W399" s="4" t="s">
        <v>5376</v>
      </c>
      <c r="X399" s="4" t="s">
        <v>5376</v>
      </c>
      <c r="Y399" s="4" t="s">
        <v>5390</v>
      </c>
      <c r="Z399" s="4" t="s">
        <v>5391</v>
      </c>
      <c r="AA399" s="3">
        <v>939</v>
      </c>
      <c r="AB399" s="3">
        <v>882</v>
      </c>
      <c r="AC399" s="3">
        <v>885</v>
      </c>
      <c r="AD399" s="3">
        <v>5</v>
      </c>
      <c r="AE399" s="7">
        <v>5</v>
      </c>
      <c r="AF399" s="7">
        <v>35</v>
      </c>
      <c r="AG399" s="7">
        <v>35</v>
      </c>
      <c r="AH399" s="3">
        <v>9</v>
      </c>
      <c r="AI399" s="3">
        <v>9</v>
      </c>
      <c r="AJ399" s="3">
        <v>4</v>
      </c>
      <c r="AK399" s="3">
        <v>4</v>
      </c>
      <c r="AL399" s="3">
        <v>8</v>
      </c>
      <c r="AM399" s="3">
        <v>8</v>
      </c>
      <c r="AN399" s="3">
        <v>3</v>
      </c>
      <c r="AO399" s="3">
        <v>3</v>
      </c>
      <c r="AP399" s="3">
        <v>16</v>
      </c>
      <c r="AQ399" s="3">
        <v>16</v>
      </c>
      <c r="AR399" s="2" t="s">
        <v>5</v>
      </c>
      <c r="AS399" s="2" t="s">
        <v>16</v>
      </c>
      <c r="AT399" s="5" t="str">
        <f>HYPERLINK("http://catalog.hathitrust.org/Record/000608923","HathiTrust Record")</f>
        <v>HathiTrust Record</v>
      </c>
      <c r="AU399" s="5" t="str">
        <f>HYPERLINK("https://creighton-primo.hosted.exlibrisgroup.com/primo-explore/search?tab=default_tab&amp;search_scope=EVERYTHING&amp;vid=01CRU&amp;lang=en_US&amp;offset=0&amp;query=any,contains,991001630039702656","Catalog Record")</f>
        <v>Catalog Record</v>
      </c>
      <c r="AV399" s="5" t="str">
        <f>HYPERLINK("http://www.worldcat.org/oclc/11842551","WorldCat Record")</f>
        <v>WorldCat Record</v>
      </c>
      <c r="AW399" s="2" t="s">
        <v>5392</v>
      </c>
      <c r="AX399" s="2" t="s">
        <v>5393</v>
      </c>
      <c r="AY399" s="2" t="s">
        <v>5394</v>
      </c>
      <c r="AZ399" s="2" t="s">
        <v>5394</v>
      </c>
      <c r="BA399" s="2" t="s">
        <v>5395</v>
      </c>
      <c r="BB399" s="2" t="s">
        <v>21</v>
      </c>
      <c r="BD399" s="2" t="s">
        <v>5396</v>
      </c>
      <c r="BE399" s="2" t="s">
        <v>5397</v>
      </c>
      <c r="BF399" s="2" t="s">
        <v>5398</v>
      </c>
    </row>
    <row r="400" spans="1:58" ht="39.75" customHeight="1" x14ac:dyDescent="0.25">
      <c r="A400" s="1"/>
      <c r="B400" s="1" t="s">
        <v>0</v>
      </c>
      <c r="C400" s="1" t="s">
        <v>1</v>
      </c>
      <c r="D400" s="1" t="s">
        <v>5399</v>
      </c>
      <c r="E400" s="1" t="s">
        <v>5400</v>
      </c>
      <c r="F400" s="1" t="s">
        <v>5401</v>
      </c>
      <c r="H400" s="2" t="s">
        <v>5</v>
      </c>
      <c r="I400" s="2" t="s">
        <v>6</v>
      </c>
      <c r="J400" s="2" t="s">
        <v>16</v>
      </c>
      <c r="K400" s="2" t="s">
        <v>5</v>
      </c>
      <c r="L400" s="2" t="s">
        <v>7</v>
      </c>
      <c r="M400" s="1" t="s">
        <v>2174</v>
      </c>
      <c r="N400" s="1" t="s">
        <v>5402</v>
      </c>
      <c r="O400" s="2" t="s">
        <v>3521</v>
      </c>
      <c r="Q400" s="2" t="s">
        <v>11</v>
      </c>
      <c r="R400" s="2" t="s">
        <v>1483</v>
      </c>
      <c r="T400" s="2" t="s">
        <v>1367</v>
      </c>
      <c r="U400" s="3">
        <v>1</v>
      </c>
      <c r="V400" s="3">
        <v>1</v>
      </c>
      <c r="W400" s="4" t="s">
        <v>5403</v>
      </c>
      <c r="X400" s="4" t="s">
        <v>5403</v>
      </c>
      <c r="Y400" s="4" t="s">
        <v>1073</v>
      </c>
      <c r="Z400" s="4" t="s">
        <v>3562</v>
      </c>
      <c r="AA400" s="3">
        <v>396</v>
      </c>
      <c r="AB400" s="3">
        <v>363</v>
      </c>
      <c r="AC400" s="3">
        <v>833</v>
      </c>
      <c r="AD400" s="3">
        <v>5</v>
      </c>
      <c r="AE400" s="7">
        <v>9</v>
      </c>
      <c r="AF400" s="7">
        <v>26</v>
      </c>
      <c r="AG400" s="7">
        <v>53</v>
      </c>
      <c r="AH400" s="3">
        <v>5</v>
      </c>
      <c r="AI400" s="3">
        <v>17</v>
      </c>
      <c r="AJ400" s="3">
        <v>3</v>
      </c>
      <c r="AK400" s="3">
        <v>9</v>
      </c>
      <c r="AL400" s="3">
        <v>8</v>
      </c>
      <c r="AM400" s="3">
        <v>17</v>
      </c>
      <c r="AN400" s="3">
        <v>2</v>
      </c>
      <c r="AO400" s="3">
        <v>6</v>
      </c>
      <c r="AP400" s="3">
        <v>12</v>
      </c>
      <c r="AQ400" s="3">
        <v>13</v>
      </c>
      <c r="AR400" s="2" t="s">
        <v>5</v>
      </c>
      <c r="AS400" s="2" t="s">
        <v>5</v>
      </c>
      <c r="AT400" s="5" t="str">
        <f>HYPERLINK("http://catalog.hathitrust.org/Record/001142447","HathiTrust Record")</f>
        <v>HathiTrust Record</v>
      </c>
      <c r="AU400" s="5" t="str">
        <f>HYPERLINK("https://creighton-primo.hosted.exlibrisgroup.com/primo-explore/search?tab=default_tab&amp;search_scope=EVERYTHING&amp;vid=01CRU&amp;lang=en_US&amp;offset=0&amp;query=any,contains,991001628569702656","Catalog Record")</f>
        <v>Catalog Record</v>
      </c>
      <c r="AV400" s="5" t="str">
        <f>HYPERLINK("http://www.worldcat.org/oclc/264998","WorldCat Record")</f>
        <v>WorldCat Record</v>
      </c>
      <c r="AW400" s="2" t="s">
        <v>5404</v>
      </c>
      <c r="AX400" s="2" t="s">
        <v>5405</v>
      </c>
      <c r="AY400" s="2" t="s">
        <v>5406</v>
      </c>
      <c r="AZ400" s="2" t="s">
        <v>5406</v>
      </c>
      <c r="BA400" s="2" t="s">
        <v>5407</v>
      </c>
      <c r="BB400" s="2" t="s">
        <v>21</v>
      </c>
      <c r="BE400" s="2" t="s">
        <v>5408</v>
      </c>
      <c r="BF400" s="2" t="s">
        <v>5409</v>
      </c>
    </row>
    <row r="401" spans="1:58" ht="39.75" customHeight="1" x14ac:dyDescent="0.25">
      <c r="A401" s="1"/>
      <c r="B401" s="1" t="s">
        <v>0</v>
      </c>
      <c r="C401" s="1" t="s">
        <v>1</v>
      </c>
      <c r="D401" s="1" t="s">
        <v>5410</v>
      </c>
      <c r="E401" s="1" t="s">
        <v>5411</v>
      </c>
      <c r="F401" s="1" t="s">
        <v>5412</v>
      </c>
      <c r="H401" s="2" t="s">
        <v>5</v>
      </c>
      <c r="I401" s="2" t="s">
        <v>6</v>
      </c>
      <c r="J401" s="2" t="s">
        <v>5</v>
      </c>
      <c r="K401" s="2" t="s">
        <v>5</v>
      </c>
      <c r="L401" s="2" t="s">
        <v>7</v>
      </c>
      <c r="M401" s="1" t="s">
        <v>5413</v>
      </c>
      <c r="N401" s="1" t="s">
        <v>5414</v>
      </c>
      <c r="O401" s="2" t="s">
        <v>45</v>
      </c>
      <c r="Q401" s="2" t="s">
        <v>11</v>
      </c>
      <c r="R401" s="2" t="s">
        <v>153</v>
      </c>
      <c r="S401" s="1" t="s">
        <v>5415</v>
      </c>
      <c r="T401" s="2" t="s">
        <v>1367</v>
      </c>
      <c r="U401" s="3">
        <v>1</v>
      </c>
      <c r="V401" s="3">
        <v>1</v>
      </c>
      <c r="W401" s="4" t="s">
        <v>1425</v>
      </c>
      <c r="X401" s="4" t="s">
        <v>1425</v>
      </c>
      <c r="Y401" s="4" t="s">
        <v>5141</v>
      </c>
      <c r="Z401" s="4" t="s">
        <v>5141</v>
      </c>
      <c r="AA401" s="3">
        <v>546</v>
      </c>
      <c r="AB401" s="3">
        <v>501</v>
      </c>
      <c r="AC401" s="3">
        <v>502</v>
      </c>
      <c r="AD401" s="3">
        <v>3</v>
      </c>
      <c r="AE401" s="7">
        <v>3</v>
      </c>
      <c r="AF401" s="7">
        <v>36</v>
      </c>
      <c r="AG401" s="7">
        <v>36</v>
      </c>
      <c r="AH401" s="3">
        <v>8</v>
      </c>
      <c r="AI401" s="3">
        <v>8</v>
      </c>
      <c r="AJ401" s="3">
        <v>9</v>
      </c>
      <c r="AK401" s="3">
        <v>9</v>
      </c>
      <c r="AL401" s="3">
        <v>10</v>
      </c>
      <c r="AM401" s="3">
        <v>10</v>
      </c>
      <c r="AN401" s="3">
        <v>2</v>
      </c>
      <c r="AO401" s="3">
        <v>2</v>
      </c>
      <c r="AP401" s="3">
        <v>16</v>
      </c>
      <c r="AQ401" s="3">
        <v>16</v>
      </c>
      <c r="AR401" s="2" t="s">
        <v>5</v>
      </c>
      <c r="AS401" s="2" t="s">
        <v>5</v>
      </c>
      <c r="AU401" s="5" t="str">
        <f>HYPERLINK("https://creighton-primo.hosted.exlibrisgroup.com/primo-explore/search?tab=default_tab&amp;search_scope=EVERYTHING&amp;vid=01CRU&amp;lang=en_US&amp;offset=0&amp;query=any,contains,991000584209702656","Catalog Record")</f>
        <v>Catalog Record</v>
      </c>
      <c r="AV401" s="5" t="str">
        <f>HYPERLINK("http://www.worldcat.org/oclc/11755697","WorldCat Record")</f>
        <v>WorldCat Record</v>
      </c>
      <c r="AW401" s="2" t="s">
        <v>5416</v>
      </c>
      <c r="AX401" s="2" t="s">
        <v>5417</v>
      </c>
      <c r="AY401" s="2" t="s">
        <v>5418</v>
      </c>
      <c r="AZ401" s="2" t="s">
        <v>5418</v>
      </c>
      <c r="BA401" s="2" t="s">
        <v>5419</v>
      </c>
      <c r="BB401" s="2" t="s">
        <v>21</v>
      </c>
      <c r="BD401" s="2" t="s">
        <v>5420</v>
      </c>
      <c r="BE401" s="2" t="s">
        <v>5421</v>
      </c>
      <c r="BF401" s="2" t="s">
        <v>5422</v>
      </c>
    </row>
    <row r="402" spans="1:58" ht="39.75" customHeight="1" x14ac:dyDescent="0.25">
      <c r="A402" s="1"/>
      <c r="B402" s="1" t="s">
        <v>0</v>
      </c>
      <c r="C402" s="1" t="s">
        <v>1</v>
      </c>
      <c r="D402" s="1" t="s">
        <v>5423</v>
      </c>
      <c r="E402" s="1" t="s">
        <v>5424</v>
      </c>
      <c r="F402" s="1" t="s">
        <v>5425</v>
      </c>
      <c r="H402" s="2" t="s">
        <v>5</v>
      </c>
      <c r="I402" s="2" t="s">
        <v>6</v>
      </c>
      <c r="J402" s="2" t="s">
        <v>16</v>
      </c>
      <c r="K402" s="2" t="s">
        <v>5</v>
      </c>
      <c r="L402" s="2" t="s">
        <v>7</v>
      </c>
      <c r="M402" s="1" t="s">
        <v>5426</v>
      </c>
      <c r="N402" s="1" t="s">
        <v>5427</v>
      </c>
      <c r="O402" s="2" t="s">
        <v>1071</v>
      </c>
      <c r="Q402" s="2" t="s">
        <v>11</v>
      </c>
      <c r="R402" s="2" t="s">
        <v>1365</v>
      </c>
      <c r="S402" s="1" t="s">
        <v>5428</v>
      </c>
      <c r="T402" s="2" t="s">
        <v>1367</v>
      </c>
      <c r="U402" s="3">
        <v>6</v>
      </c>
      <c r="V402" s="3">
        <v>6</v>
      </c>
      <c r="W402" s="4" t="s">
        <v>4839</v>
      </c>
      <c r="X402" s="4" t="s">
        <v>4839</v>
      </c>
      <c r="Y402" s="4" t="s">
        <v>2848</v>
      </c>
      <c r="Z402" s="4" t="s">
        <v>3562</v>
      </c>
      <c r="AA402" s="3">
        <v>716</v>
      </c>
      <c r="AB402" s="3">
        <v>649</v>
      </c>
      <c r="AC402" s="3">
        <v>662</v>
      </c>
      <c r="AD402" s="3">
        <v>6</v>
      </c>
      <c r="AE402" s="7">
        <v>6</v>
      </c>
      <c r="AF402" s="7">
        <v>41</v>
      </c>
      <c r="AG402" s="7">
        <v>41</v>
      </c>
      <c r="AH402" s="3">
        <v>6</v>
      </c>
      <c r="AI402" s="3">
        <v>6</v>
      </c>
      <c r="AJ402" s="3">
        <v>7</v>
      </c>
      <c r="AK402" s="3">
        <v>7</v>
      </c>
      <c r="AL402" s="3">
        <v>14</v>
      </c>
      <c r="AM402" s="3">
        <v>14</v>
      </c>
      <c r="AN402" s="3">
        <v>4</v>
      </c>
      <c r="AO402" s="3">
        <v>4</v>
      </c>
      <c r="AP402" s="3">
        <v>16</v>
      </c>
      <c r="AQ402" s="3">
        <v>16</v>
      </c>
      <c r="AR402" s="2" t="s">
        <v>5</v>
      </c>
      <c r="AS402" s="2" t="s">
        <v>5</v>
      </c>
      <c r="AU402" s="5" t="str">
        <f>HYPERLINK("https://creighton-primo.hosted.exlibrisgroup.com/primo-explore/search?tab=default_tab&amp;search_scope=EVERYTHING&amp;vid=01CRU&amp;lang=en_US&amp;offset=0&amp;query=any,contains,991001629179702656","Catalog Record")</f>
        <v>Catalog Record</v>
      </c>
      <c r="AV402" s="5" t="str">
        <f>HYPERLINK("http://www.worldcat.org/oclc/272691","WorldCat Record")</f>
        <v>WorldCat Record</v>
      </c>
      <c r="AW402" s="2" t="s">
        <v>5429</v>
      </c>
      <c r="AX402" s="2" t="s">
        <v>5430</v>
      </c>
      <c r="AY402" s="2" t="s">
        <v>5431</v>
      </c>
      <c r="AZ402" s="2" t="s">
        <v>5431</v>
      </c>
      <c r="BA402" s="2" t="s">
        <v>5432</v>
      </c>
      <c r="BB402" s="2" t="s">
        <v>21</v>
      </c>
      <c r="BE402" s="2" t="s">
        <v>5433</v>
      </c>
      <c r="BF402" s="2" t="s">
        <v>5434</v>
      </c>
    </row>
    <row r="403" spans="1:58" ht="39.75" customHeight="1" x14ac:dyDescent="0.25">
      <c r="A403" s="1"/>
      <c r="B403" s="1" t="s">
        <v>0</v>
      </c>
      <c r="C403" s="1" t="s">
        <v>1</v>
      </c>
      <c r="D403" s="1" t="s">
        <v>5435</v>
      </c>
      <c r="E403" s="1" t="s">
        <v>5436</v>
      </c>
      <c r="F403" s="1" t="s">
        <v>5437</v>
      </c>
      <c r="H403" s="2" t="s">
        <v>5</v>
      </c>
      <c r="I403" s="2" t="s">
        <v>6</v>
      </c>
      <c r="J403" s="2" t="s">
        <v>16</v>
      </c>
      <c r="K403" s="2" t="s">
        <v>5</v>
      </c>
      <c r="L403" s="2" t="s">
        <v>7</v>
      </c>
      <c r="M403" s="1" t="s">
        <v>5438</v>
      </c>
      <c r="N403" s="1" t="s">
        <v>5439</v>
      </c>
      <c r="O403" s="2" t="s">
        <v>836</v>
      </c>
      <c r="Q403" s="2" t="s">
        <v>11</v>
      </c>
      <c r="R403" s="2" t="s">
        <v>501</v>
      </c>
      <c r="T403" s="2" t="s">
        <v>1367</v>
      </c>
      <c r="U403" s="3">
        <v>6</v>
      </c>
      <c r="V403" s="3">
        <v>9</v>
      </c>
      <c r="W403" s="4" t="s">
        <v>1266</v>
      </c>
      <c r="X403" s="4" t="s">
        <v>1266</v>
      </c>
      <c r="Y403" s="4" t="s">
        <v>5440</v>
      </c>
      <c r="Z403" s="4" t="s">
        <v>5441</v>
      </c>
      <c r="AA403" s="3">
        <v>945</v>
      </c>
      <c r="AB403" s="3">
        <v>850</v>
      </c>
      <c r="AC403" s="3">
        <v>861</v>
      </c>
      <c r="AD403" s="3">
        <v>6</v>
      </c>
      <c r="AE403" s="7">
        <v>6</v>
      </c>
      <c r="AF403" s="7">
        <v>44</v>
      </c>
      <c r="AG403" s="7">
        <v>46</v>
      </c>
      <c r="AH403" s="3">
        <v>11</v>
      </c>
      <c r="AI403" s="3">
        <v>12</v>
      </c>
      <c r="AJ403" s="3">
        <v>5</v>
      </c>
      <c r="AK403" s="3">
        <v>5</v>
      </c>
      <c r="AL403" s="3">
        <v>14</v>
      </c>
      <c r="AM403" s="3">
        <v>15</v>
      </c>
      <c r="AN403" s="3">
        <v>4</v>
      </c>
      <c r="AO403" s="3">
        <v>4</v>
      </c>
      <c r="AP403" s="3">
        <v>15</v>
      </c>
      <c r="AQ403" s="3">
        <v>16</v>
      </c>
      <c r="AR403" s="2" t="s">
        <v>5</v>
      </c>
      <c r="AS403" s="2" t="s">
        <v>16</v>
      </c>
      <c r="AT403" s="5" t="str">
        <f>HYPERLINK("http://catalog.hathitrust.org/Record/000710669","HathiTrust Record")</f>
        <v>HathiTrust Record</v>
      </c>
      <c r="AU403" s="5" t="str">
        <f>HYPERLINK("https://creighton-primo.hosted.exlibrisgroup.com/primo-explore/search?tab=default_tab&amp;search_scope=EVERYTHING&amp;vid=01CRU&amp;lang=en_US&amp;offset=0&amp;query=any,contains,991001740089702656","Catalog Record")</f>
        <v>Catalog Record</v>
      </c>
      <c r="AV403" s="5" t="str">
        <f>HYPERLINK("http://www.worldcat.org/oclc/1959650","WorldCat Record")</f>
        <v>WorldCat Record</v>
      </c>
      <c r="AW403" s="2" t="s">
        <v>5442</v>
      </c>
      <c r="AX403" s="2" t="s">
        <v>5443</v>
      </c>
      <c r="AY403" s="2" t="s">
        <v>5444</v>
      </c>
      <c r="AZ403" s="2" t="s">
        <v>5444</v>
      </c>
      <c r="BA403" s="2" t="s">
        <v>5445</v>
      </c>
      <c r="BB403" s="2" t="s">
        <v>21</v>
      </c>
      <c r="BD403" s="2" t="s">
        <v>5446</v>
      </c>
      <c r="BE403" s="2" t="s">
        <v>5447</v>
      </c>
      <c r="BF403" s="2" t="s">
        <v>5448</v>
      </c>
    </row>
    <row r="404" spans="1:58" ht="39.75" customHeight="1" x14ac:dyDescent="0.25">
      <c r="A404" s="1"/>
      <c r="B404" s="1" t="s">
        <v>0</v>
      </c>
      <c r="C404" s="1" t="s">
        <v>1</v>
      </c>
      <c r="D404" s="1" t="s">
        <v>5449</v>
      </c>
      <c r="E404" s="1" t="s">
        <v>5450</v>
      </c>
      <c r="F404" s="1" t="s">
        <v>5451</v>
      </c>
      <c r="H404" s="2" t="s">
        <v>5</v>
      </c>
      <c r="I404" s="2" t="s">
        <v>6</v>
      </c>
      <c r="J404" s="2" t="s">
        <v>5</v>
      </c>
      <c r="K404" s="2" t="s">
        <v>16</v>
      </c>
      <c r="L404" s="2" t="s">
        <v>7</v>
      </c>
      <c r="M404" s="1" t="s">
        <v>5452</v>
      </c>
      <c r="N404" s="1" t="s">
        <v>5453</v>
      </c>
      <c r="O404" s="2" t="s">
        <v>401</v>
      </c>
      <c r="Q404" s="2" t="s">
        <v>11</v>
      </c>
      <c r="R404" s="2" t="s">
        <v>76</v>
      </c>
      <c r="T404" s="2" t="s">
        <v>1367</v>
      </c>
      <c r="U404" s="3">
        <v>1</v>
      </c>
      <c r="V404" s="3">
        <v>1</v>
      </c>
      <c r="W404" s="4" t="s">
        <v>1266</v>
      </c>
      <c r="X404" s="4" t="s">
        <v>1266</v>
      </c>
      <c r="Y404" s="4" t="s">
        <v>5454</v>
      </c>
      <c r="Z404" s="4" t="s">
        <v>5454</v>
      </c>
      <c r="AA404" s="3">
        <v>1198</v>
      </c>
      <c r="AB404" s="3">
        <v>1108</v>
      </c>
      <c r="AC404" s="3">
        <v>1271</v>
      </c>
      <c r="AD404" s="3">
        <v>9</v>
      </c>
      <c r="AE404" s="7">
        <v>10</v>
      </c>
      <c r="AF404" s="7">
        <v>58</v>
      </c>
      <c r="AG404" s="7">
        <v>65</v>
      </c>
      <c r="AH404" s="3">
        <v>19</v>
      </c>
      <c r="AI404" s="3">
        <v>23</v>
      </c>
      <c r="AJ404" s="3">
        <v>7</v>
      </c>
      <c r="AK404" s="3">
        <v>7</v>
      </c>
      <c r="AL404" s="3">
        <v>18</v>
      </c>
      <c r="AM404" s="3">
        <v>20</v>
      </c>
      <c r="AN404" s="3">
        <v>5</v>
      </c>
      <c r="AO404" s="3">
        <v>5</v>
      </c>
      <c r="AP404" s="3">
        <v>20</v>
      </c>
      <c r="AQ404" s="3">
        <v>22</v>
      </c>
      <c r="AR404" s="2" t="s">
        <v>5</v>
      </c>
      <c r="AS404" s="2" t="s">
        <v>16</v>
      </c>
      <c r="AT404" s="5" t="str">
        <f>HYPERLINK("http://catalog.hathitrust.org/Record/001107332","HathiTrust Record")</f>
        <v>HathiTrust Record</v>
      </c>
      <c r="AU404" s="5" t="str">
        <f>HYPERLINK("https://creighton-primo.hosted.exlibrisgroup.com/primo-explore/search?tab=default_tab&amp;search_scope=EVERYTHING&amp;vid=01CRU&amp;lang=en_US&amp;offset=0&amp;query=any,contains,991001527579702656","Catalog Record")</f>
        <v>Catalog Record</v>
      </c>
      <c r="AV404" s="5" t="str">
        <f>HYPERLINK("http://www.worldcat.org/oclc/232256","WorldCat Record")</f>
        <v>WorldCat Record</v>
      </c>
      <c r="AW404" s="2" t="s">
        <v>5455</v>
      </c>
      <c r="AX404" s="2" t="s">
        <v>5456</v>
      </c>
      <c r="AY404" s="2" t="s">
        <v>5457</v>
      </c>
      <c r="AZ404" s="2" t="s">
        <v>5457</v>
      </c>
      <c r="BA404" s="2" t="s">
        <v>5458</v>
      </c>
      <c r="BB404" s="2" t="s">
        <v>21</v>
      </c>
      <c r="BE404" s="2" t="s">
        <v>5459</v>
      </c>
      <c r="BF404" s="2" t="s">
        <v>5460</v>
      </c>
    </row>
    <row r="405" spans="1:58" ht="39.75" customHeight="1" x14ac:dyDescent="0.25">
      <c r="A405" s="1"/>
      <c r="B405" s="1" t="s">
        <v>0</v>
      </c>
      <c r="C405" s="1" t="s">
        <v>1</v>
      </c>
      <c r="D405" s="1" t="s">
        <v>5461</v>
      </c>
      <c r="E405" s="1" t="s">
        <v>5462</v>
      </c>
      <c r="F405" s="1" t="s">
        <v>5463</v>
      </c>
      <c r="H405" s="2" t="s">
        <v>5</v>
      </c>
      <c r="I405" s="2" t="s">
        <v>6</v>
      </c>
      <c r="J405" s="2" t="s">
        <v>16</v>
      </c>
      <c r="K405" s="2" t="s">
        <v>5</v>
      </c>
      <c r="L405" s="2" t="s">
        <v>7</v>
      </c>
      <c r="M405" s="1" t="s">
        <v>5464</v>
      </c>
      <c r="N405" s="1" t="s">
        <v>5465</v>
      </c>
      <c r="O405" s="2" t="s">
        <v>836</v>
      </c>
      <c r="Q405" s="2" t="s">
        <v>11</v>
      </c>
      <c r="R405" s="2" t="s">
        <v>260</v>
      </c>
      <c r="T405" s="2" t="s">
        <v>1367</v>
      </c>
      <c r="U405" s="3">
        <v>10</v>
      </c>
      <c r="V405" s="3">
        <v>14</v>
      </c>
      <c r="W405" s="4" t="s">
        <v>1266</v>
      </c>
      <c r="X405" s="4" t="s">
        <v>1266</v>
      </c>
      <c r="Y405" s="4" t="s">
        <v>3741</v>
      </c>
      <c r="Z405" s="4" t="s">
        <v>5441</v>
      </c>
      <c r="AA405" s="3">
        <v>496</v>
      </c>
      <c r="AB405" s="3">
        <v>451</v>
      </c>
      <c r="AC405" s="3">
        <v>458</v>
      </c>
      <c r="AD405" s="3">
        <v>5</v>
      </c>
      <c r="AE405" s="7">
        <v>5</v>
      </c>
      <c r="AF405" s="7">
        <v>32</v>
      </c>
      <c r="AG405" s="7">
        <v>32</v>
      </c>
      <c r="AH405" s="3">
        <v>6</v>
      </c>
      <c r="AI405" s="3">
        <v>6</v>
      </c>
      <c r="AJ405" s="3">
        <v>5</v>
      </c>
      <c r="AK405" s="3">
        <v>5</v>
      </c>
      <c r="AL405" s="3">
        <v>7</v>
      </c>
      <c r="AM405" s="3">
        <v>7</v>
      </c>
      <c r="AN405" s="3">
        <v>2</v>
      </c>
      <c r="AO405" s="3">
        <v>2</v>
      </c>
      <c r="AP405" s="3">
        <v>18</v>
      </c>
      <c r="AQ405" s="3">
        <v>18</v>
      </c>
      <c r="AR405" s="2" t="s">
        <v>5</v>
      </c>
      <c r="AS405" s="2" t="s">
        <v>16</v>
      </c>
      <c r="AT405" s="5" t="str">
        <f>HYPERLINK("http://catalog.hathitrust.org/Record/004510082","HathiTrust Record")</f>
        <v>HathiTrust Record</v>
      </c>
      <c r="AU405" s="5" t="str">
        <f>HYPERLINK("https://creighton-primo.hosted.exlibrisgroup.com/primo-explore/search?tab=default_tab&amp;search_scope=EVERYTHING&amp;vid=01CRU&amp;lang=en_US&amp;offset=0&amp;query=any,contains,991001761009702656","Catalog Record")</f>
        <v>Catalog Record</v>
      </c>
      <c r="AV405" s="5" t="str">
        <f>HYPERLINK("http://www.worldcat.org/oclc/2372658","WorldCat Record")</f>
        <v>WorldCat Record</v>
      </c>
      <c r="AW405" s="2" t="s">
        <v>5466</v>
      </c>
      <c r="AX405" s="2" t="s">
        <v>5467</v>
      </c>
      <c r="AY405" s="2" t="s">
        <v>5468</v>
      </c>
      <c r="AZ405" s="2" t="s">
        <v>5468</v>
      </c>
      <c r="BA405" s="2" t="s">
        <v>5469</v>
      </c>
      <c r="BB405" s="2" t="s">
        <v>21</v>
      </c>
      <c r="BD405" s="2" t="s">
        <v>5470</v>
      </c>
      <c r="BE405" s="2" t="s">
        <v>5471</v>
      </c>
      <c r="BF405" s="2" t="s">
        <v>5472</v>
      </c>
    </row>
    <row r="406" spans="1:58" ht="39.75" customHeight="1" x14ac:dyDescent="0.25">
      <c r="A406" s="1"/>
      <c r="B406" s="1" t="s">
        <v>0</v>
      </c>
      <c r="C406" s="1" t="s">
        <v>1</v>
      </c>
      <c r="D406" s="1" t="s">
        <v>5473</v>
      </c>
      <c r="E406" s="1" t="s">
        <v>5474</v>
      </c>
      <c r="F406" s="1" t="s">
        <v>5475</v>
      </c>
      <c r="H406" s="2" t="s">
        <v>5</v>
      </c>
      <c r="I406" s="2" t="s">
        <v>6</v>
      </c>
      <c r="J406" s="2" t="s">
        <v>5</v>
      </c>
      <c r="K406" s="2" t="s">
        <v>5</v>
      </c>
      <c r="L406" s="2" t="s">
        <v>7</v>
      </c>
      <c r="M406" s="1" t="s">
        <v>5476</v>
      </c>
      <c r="N406" s="1" t="s">
        <v>5477</v>
      </c>
      <c r="O406" s="2" t="s">
        <v>1001</v>
      </c>
      <c r="Q406" s="2" t="s">
        <v>11</v>
      </c>
      <c r="R406" s="2" t="s">
        <v>260</v>
      </c>
      <c r="S406" s="1" t="s">
        <v>5478</v>
      </c>
      <c r="T406" s="2" t="s">
        <v>1367</v>
      </c>
      <c r="U406" s="3">
        <v>1</v>
      </c>
      <c r="V406" s="3">
        <v>1</v>
      </c>
      <c r="W406" s="4" t="s">
        <v>1266</v>
      </c>
      <c r="X406" s="4" t="s">
        <v>1266</v>
      </c>
      <c r="Y406" s="4" t="s">
        <v>1073</v>
      </c>
      <c r="Z406" s="4" t="s">
        <v>1073</v>
      </c>
      <c r="AA406" s="3">
        <v>605</v>
      </c>
      <c r="AB406" s="3">
        <v>554</v>
      </c>
      <c r="AC406" s="3">
        <v>595</v>
      </c>
      <c r="AD406" s="3">
        <v>4</v>
      </c>
      <c r="AE406" s="7">
        <v>4</v>
      </c>
      <c r="AF406" s="7">
        <v>34</v>
      </c>
      <c r="AG406" s="7">
        <v>35</v>
      </c>
      <c r="AH406" s="3">
        <v>5</v>
      </c>
      <c r="AI406" s="3">
        <v>5</v>
      </c>
      <c r="AJ406" s="3">
        <v>6</v>
      </c>
      <c r="AK406" s="3">
        <v>6</v>
      </c>
      <c r="AL406" s="3">
        <v>9</v>
      </c>
      <c r="AM406" s="3">
        <v>9</v>
      </c>
      <c r="AN406" s="3">
        <v>3</v>
      </c>
      <c r="AO406" s="3">
        <v>3</v>
      </c>
      <c r="AP406" s="3">
        <v>15</v>
      </c>
      <c r="AQ406" s="3">
        <v>16</v>
      </c>
      <c r="AR406" s="2" t="s">
        <v>5</v>
      </c>
      <c r="AS406" s="2" t="s">
        <v>16</v>
      </c>
      <c r="AT406" s="5" t="str">
        <f>HYPERLINK("http://catalog.hathitrust.org/Record/001109897","HathiTrust Record")</f>
        <v>HathiTrust Record</v>
      </c>
      <c r="AU406" s="5" t="str">
        <f>HYPERLINK("https://creighton-primo.hosted.exlibrisgroup.com/primo-explore/search?tab=default_tab&amp;search_scope=EVERYTHING&amp;vid=01CRU&amp;lang=en_US&amp;offset=0&amp;query=any,contains,991003652319702656","Catalog Record")</f>
        <v>Catalog Record</v>
      </c>
      <c r="AV406" s="5" t="str">
        <f>HYPERLINK("http://www.worldcat.org/oclc/1256108","WorldCat Record")</f>
        <v>WorldCat Record</v>
      </c>
      <c r="AW406" s="2" t="s">
        <v>5479</v>
      </c>
      <c r="AX406" s="2" t="s">
        <v>5480</v>
      </c>
      <c r="AY406" s="2" t="s">
        <v>5481</v>
      </c>
      <c r="AZ406" s="2" t="s">
        <v>5481</v>
      </c>
      <c r="BA406" s="2" t="s">
        <v>5482</v>
      </c>
      <c r="BB406" s="2" t="s">
        <v>21</v>
      </c>
      <c r="BD406" s="2" t="s">
        <v>5483</v>
      </c>
      <c r="BE406" s="2" t="s">
        <v>5484</v>
      </c>
      <c r="BF406" s="2" t="s">
        <v>5485</v>
      </c>
    </row>
    <row r="407" spans="1:58" ht="39.75" customHeight="1" x14ac:dyDescent="0.25">
      <c r="A407" s="1"/>
      <c r="B407" s="1" t="s">
        <v>0</v>
      </c>
      <c r="C407" s="1" t="s">
        <v>1</v>
      </c>
      <c r="D407" s="1" t="s">
        <v>5486</v>
      </c>
      <c r="E407" s="1" t="s">
        <v>5487</v>
      </c>
      <c r="F407" s="1" t="s">
        <v>5488</v>
      </c>
      <c r="H407" s="2" t="s">
        <v>5</v>
      </c>
      <c r="I407" s="2" t="s">
        <v>6</v>
      </c>
      <c r="J407" s="2" t="s">
        <v>5</v>
      </c>
      <c r="K407" s="2" t="s">
        <v>5</v>
      </c>
      <c r="L407" s="2" t="s">
        <v>7</v>
      </c>
      <c r="M407" s="1" t="s">
        <v>5489</v>
      </c>
      <c r="N407" s="1" t="s">
        <v>5490</v>
      </c>
      <c r="O407" s="2" t="s">
        <v>918</v>
      </c>
      <c r="Q407" s="2" t="s">
        <v>11</v>
      </c>
      <c r="R407" s="2" t="s">
        <v>76</v>
      </c>
      <c r="T407" s="2" t="s">
        <v>1367</v>
      </c>
      <c r="U407" s="3">
        <v>2</v>
      </c>
      <c r="V407" s="3">
        <v>2</v>
      </c>
      <c r="W407" s="4" t="s">
        <v>5491</v>
      </c>
      <c r="X407" s="4" t="s">
        <v>5491</v>
      </c>
      <c r="Y407" s="4" t="s">
        <v>5492</v>
      </c>
      <c r="Z407" s="4" t="s">
        <v>5492</v>
      </c>
      <c r="AA407" s="3">
        <v>84</v>
      </c>
      <c r="AB407" s="3">
        <v>79</v>
      </c>
      <c r="AC407" s="3">
        <v>79</v>
      </c>
      <c r="AD407" s="3">
        <v>2</v>
      </c>
      <c r="AE407" s="7">
        <v>2</v>
      </c>
      <c r="AF407" s="7">
        <v>3</v>
      </c>
      <c r="AG407" s="7">
        <v>3</v>
      </c>
      <c r="AH407" s="3">
        <v>1</v>
      </c>
      <c r="AI407" s="3">
        <v>1</v>
      </c>
      <c r="AJ407" s="3">
        <v>1</v>
      </c>
      <c r="AK407" s="3">
        <v>1</v>
      </c>
      <c r="AL407" s="3">
        <v>1</v>
      </c>
      <c r="AM407" s="3">
        <v>1</v>
      </c>
      <c r="AN407" s="3">
        <v>1</v>
      </c>
      <c r="AO407" s="3">
        <v>1</v>
      </c>
      <c r="AP407" s="3">
        <v>0</v>
      </c>
      <c r="AQ407" s="3">
        <v>0</v>
      </c>
      <c r="AR407" s="2" t="s">
        <v>5</v>
      </c>
      <c r="AS407" s="2" t="s">
        <v>5</v>
      </c>
      <c r="AU407" s="5" t="str">
        <f>HYPERLINK("https://creighton-primo.hosted.exlibrisgroup.com/primo-explore/search?tab=default_tab&amp;search_scope=EVERYTHING&amp;vid=01CRU&amp;lang=en_US&amp;offset=0&amp;query=any,contains,991002752539702656","Catalog Record")</f>
        <v>Catalog Record</v>
      </c>
      <c r="AV407" s="5" t="str">
        <f>HYPERLINK("http://www.worldcat.org/oclc/36121801","WorldCat Record")</f>
        <v>WorldCat Record</v>
      </c>
      <c r="AW407" s="2" t="s">
        <v>5493</v>
      </c>
      <c r="AX407" s="2" t="s">
        <v>5494</v>
      </c>
      <c r="AY407" s="2" t="s">
        <v>5495</v>
      </c>
      <c r="AZ407" s="2" t="s">
        <v>5495</v>
      </c>
      <c r="BA407" s="2" t="s">
        <v>5496</v>
      </c>
      <c r="BB407" s="2" t="s">
        <v>21</v>
      </c>
      <c r="BD407" s="2" t="s">
        <v>5497</v>
      </c>
      <c r="BE407" s="2" t="s">
        <v>5498</v>
      </c>
      <c r="BF407" s="2" t="s">
        <v>5499</v>
      </c>
    </row>
    <row r="408" spans="1:58" ht="39.75" customHeight="1" x14ac:dyDescent="0.25">
      <c r="A408" s="1"/>
      <c r="B408" s="1" t="s">
        <v>0</v>
      </c>
      <c r="C408" s="1" t="s">
        <v>1</v>
      </c>
      <c r="D408" s="1" t="s">
        <v>5500</v>
      </c>
      <c r="E408" s="1" t="s">
        <v>5501</v>
      </c>
      <c r="F408" s="1" t="s">
        <v>5502</v>
      </c>
      <c r="H408" s="2" t="s">
        <v>5</v>
      </c>
      <c r="I408" s="2" t="s">
        <v>6</v>
      </c>
      <c r="J408" s="2" t="s">
        <v>16</v>
      </c>
      <c r="K408" s="2" t="s">
        <v>5</v>
      </c>
      <c r="L408" s="2" t="s">
        <v>7</v>
      </c>
      <c r="M408" s="1" t="s">
        <v>753</v>
      </c>
      <c r="N408" s="1" t="s">
        <v>5503</v>
      </c>
      <c r="O408" s="2" t="s">
        <v>213</v>
      </c>
      <c r="Q408" s="2" t="s">
        <v>11</v>
      </c>
      <c r="R408" s="2" t="s">
        <v>76</v>
      </c>
      <c r="T408" s="2" t="s">
        <v>1367</v>
      </c>
      <c r="U408" s="3">
        <v>5</v>
      </c>
      <c r="V408" s="3">
        <v>5</v>
      </c>
      <c r="W408" s="4" t="s">
        <v>5504</v>
      </c>
      <c r="X408" s="4" t="s">
        <v>5504</v>
      </c>
      <c r="Y408" s="4" t="s">
        <v>5505</v>
      </c>
      <c r="Z408" s="4" t="s">
        <v>5506</v>
      </c>
      <c r="AA408" s="3">
        <v>878</v>
      </c>
      <c r="AB408" s="3">
        <v>793</v>
      </c>
      <c r="AC408" s="3">
        <v>817</v>
      </c>
      <c r="AD408" s="3">
        <v>6</v>
      </c>
      <c r="AE408" s="7">
        <v>6</v>
      </c>
      <c r="AF408" s="7">
        <v>40</v>
      </c>
      <c r="AG408" s="7">
        <v>41</v>
      </c>
      <c r="AH408" s="3">
        <v>5</v>
      </c>
      <c r="AI408" s="3">
        <v>5</v>
      </c>
      <c r="AJ408" s="3">
        <v>4</v>
      </c>
      <c r="AK408" s="3">
        <v>5</v>
      </c>
      <c r="AL408" s="3">
        <v>10</v>
      </c>
      <c r="AM408" s="3">
        <v>11</v>
      </c>
      <c r="AN408" s="3">
        <v>3</v>
      </c>
      <c r="AO408" s="3">
        <v>3</v>
      </c>
      <c r="AP408" s="3">
        <v>22</v>
      </c>
      <c r="AQ408" s="3">
        <v>22</v>
      </c>
      <c r="AR408" s="2" t="s">
        <v>5</v>
      </c>
      <c r="AS408" s="2" t="s">
        <v>16</v>
      </c>
      <c r="AT408" s="5" t="str">
        <f>HYPERLINK("http://catalog.hathitrust.org/Record/004510095","HathiTrust Record")</f>
        <v>HathiTrust Record</v>
      </c>
      <c r="AU408" s="5" t="str">
        <f>HYPERLINK("https://creighton-primo.hosted.exlibrisgroup.com/primo-explore/search?tab=default_tab&amp;search_scope=EVERYTHING&amp;vid=01CRU&amp;lang=en_US&amp;offset=0&amp;query=any,contains,991001655549702656","Catalog Record")</f>
        <v>Catalog Record</v>
      </c>
      <c r="AV408" s="5" t="str">
        <f>HYPERLINK("http://www.worldcat.org/oclc/2598067","WorldCat Record")</f>
        <v>WorldCat Record</v>
      </c>
      <c r="AW408" s="2" t="s">
        <v>5507</v>
      </c>
      <c r="AX408" s="2" t="s">
        <v>5508</v>
      </c>
      <c r="AY408" s="2" t="s">
        <v>5509</v>
      </c>
      <c r="AZ408" s="2" t="s">
        <v>5509</v>
      </c>
      <c r="BA408" s="2" t="s">
        <v>5510</v>
      </c>
      <c r="BB408" s="2" t="s">
        <v>21</v>
      </c>
      <c r="BD408" s="2" t="s">
        <v>5511</v>
      </c>
      <c r="BE408" s="2" t="s">
        <v>5512</v>
      </c>
      <c r="BF408" s="2" t="s">
        <v>5513</v>
      </c>
    </row>
    <row r="409" spans="1:58" ht="39.75" customHeight="1" x14ac:dyDescent="0.25">
      <c r="A409" s="1"/>
      <c r="B409" s="1" t="s">
        <v>0</v>
      </c>
      <c r="C409" s="1" t="s">
        <v>1</v>
      </c>
      <c r="D409" s="1" t="s">
        <v>5514</v>
      </c>
      <c r="E409" s="1" t="s">
        <v>5515</v>
      </c>
      <c r="F409" s="1" t="s">
        <v>5516</v>
      </c>
      <c r="H409" s="2" t="s">
        <v>5</v>
      </c>
      <c r="I409" s="2" t="s">
        <v>6</v>
      </c>
      <c r="J409" s="2" t="s">
        <v>5</v>
      </c>
      <c r="K409" s="2" t="s">
        <v>5</v>
      </c>
      <c r="L409" s="2" t="s">
        <v>7</v>
      </c>
      <c r="M409" s="1" t="s">
        <v>5517</v>
      </c>
      <c r="N409" s="1" t="s">
        <v>5518</v>
      </c>
      <c r="O409" s="2" t="s">
        <v>291</v>
      </c>
      <c r="P409" s="1" t="s">
        <v>1671</v>
      </c>
      <c r="Q409" s="2" t="s">
        <v>11</v>
      </c>
      <c r="R409" s="2" t="s">
        <v>1672</v>
      </c>
      <c r="T409" s="2" t="s">
        <v>1367</v>
      </c>
      <c r="U409" s="3">
        <v>3</v>
      </c>
      <c r="V409" s="3">
        <v>3</v>
      </c>
      <c r="W409" s="4" t="s">
        <v>5519</v>
      </c>
      <c r="X409" s="4" t="s">
        <v>5519</v>
      </c>
      <c r="Y409" s="4" t="s">
        <v>5520</v>
      </c>
      <c r="Z409" s="4" t="s">
        <v>5520</v>
      </c>
      <c r="AA409" s="3">
        <v>92</v>
      </c>
      <c r="AB409" s="3">
        <v>92</v>
      </c>
      <c r="AC409" s="3">
        <v>369</v>
      </c>
      <c r="AD409" s="3">
        <v>2</v>
      </c>
      <c r="AE409" s="7">
        <v>4</v>
      </c>
      <c r="AF409" s="7">
        <v>2</v>
      </c>
      <c r="AG409" s="7">
        <v>16</v>
      </c>
      <c r="AH409" s="3">
        <v>0</v>
      </c>
      <c r="AI409" s="3">
        <v>3</v>
      </c>
      <c r="AJ409" s="3">
        <v>0</v>
      </c>
      <c r="AK409" s="3">
        <v>1</v>
      </c>
      <c r="AL409" s="3">
        <v>0</v>
      </c>
      <c r="AM409" s="3">
        <v>3</v>
      </c>
      <c r="AN409" s="3">
        <v>1</v>
      </c>
      <c r="AO409" s="3">
        <v>3</v>
      </c>
      <c r="AP409" s="3">
        <v>1</v>
      </c>
      <c r="AQ409" s="3">
        <v>7</v>
      </c>
      <c r="AR409" s="2" t="s">
        <v>5</v>
      </c>
      <c r="AS409" s="2" t="s">
        <v>5</v>
      </c>
      <c r="AU409" s="5" t="str">
        <f>HYPERLINK("https://creighton-primo.hosted.exlibrisgroup.com/primo-explore/search?tab=default_tab&amp;search_scope=EVERYTHING&amp;vid=01CRU&amp;lang=en_US&amp;offset=0&amp;query=any,contains,991002949889702656","Catalog Record")</f>
        <v>Catalog Record</v>
      </c>
      <c r="AV409" s="5" t="str">
        <f>HYPERLINK("http://www.worldcat.org/oclc/39307421","WorldCat Record")</f>
        <v>WorldCat Record</v>
      </c>
      <c r="AW409" s="2" t="s">
        <v>5521</v>
      </c>
      <c r="AX409" s="2" t="s">
        <v>5522</v>
      </c>
      <c r="AY409" s="2" t="s">
        <v>5523</v>
      </c>
      <c r="AZ409" s="2" t="s">
        <v>5523</v>
      </c>
      <c r="BA409" s="2" t="s">
        <v>5524</v>
      </c>
      <c r="BB409" s="2" t="s">
        <v>21</v>
      </c>
      <c r="BD409" s="2" t="s">
        <v>5525</v>
      </c>
      <c r="BE409" s="2" t="s">
        <v>5526</v>
      </c>
      <c r="BF409" s="2" t="s">
        <v>5527</v>
      </c>
    </row>
    <row r="410" spans="1:58" ht="39.75" customHeight="1" x14ac:dyDescent="0.25">
      <c r="A410" s="1"/>
      <c r="B410" s="1" t="s">
        <v>0</v>
      </c>
      <c r="C410" s="1" t="s">
        <v>1</v>
      </c>
      <c r="D410" s="1" t="s">
        <v>5528</v>
      </c>
      <c r="E410" s="1" t="s">
        <v>5529</v>
      </c>
      <c r="F410" s="1" t="s">
        <v>5530</v>
      </c>
      <c r="H410" s="2" t="s">
        <v>5</v>
      </c>
      <c r="I410" s="2" t="s">
        <v>6</v>
      </c>
      <c r="J410" s="2" t="s">
        <v>5</v>
      </c>
      <c r="K410" s="2" t="s">
        <v>5</v>
      </c>
      <c r="L410" s="2" t="s">
        <v>7</v>
      </c>
      <c r="M410" s="1" t="s">
        <v>5531</v>
      </c>
      <c r="N410" s="1" t="s">
        <v>5532</v>
      </c>
      <c r="O410" s="2" t="s">
        <v>486</v>
      </c>
      <c r="P410" s="1" t="s">
        <v>229</v>
      </c>
      <c r="Q410" s="2" t="s">
        <v>11</v>
      </c>
      <c r="R410" s="2" t="s">
        <v>76</v>
      </c>
      <c r="T410" s="2" t="s">
        <v>1367</v>
      </c>
      <c r="U410" s="3">
        <v>3</v>
      </c>
      <c r="V410" s="3">
        <v>3</v>
      </c>
      <c r="W410" s="4" t="s">
        <v>5533</v>
      </c>
      <c r="X410" s="4" t="s">
        <v>5533</v>
      </c>
      <c r="Y410" s="4" t="s">
        <v>559</v>
      </c>
      <c r="Z410" s="4" t="s">
        <v>559</v>
      </c>
      <c r="AA410" s="3">
        <v>1050</v>
      </c>
      <c r="AB410" s="3">
        <v>995</v>
      </c>
      <c r="AC410" s="3">
        <v>1023</v>
      </c>
      <c r="AD410" s="3">
        <v>5</v>
      </c>
      <c r="AE410" s="7">
        <v>5</v>
      </c>
      <c r="AF410" s="7">
        <v>43</v>
      </c>
      <c r="AG410" s="7">
        <v>43</v>
      </c>
      <c r="AH410" s="3">
        <v>10</v>
      </c>
      <c r="AI410" s="3">
        <v>10</v>
      </c>
      <c r="AJ410" s="3">
        <v>5</v>
      </c>
      <c r="AK410" s="3">
        <v>5</v>
      </c>
      <c r="AL410" s="3">
        <v>10</v>
      </c>
      <c r="AM410" s="3">
        <v>10</v>
      </c>
      <c r="AN410" s="3">
        <v>3</v>
      </c>
      <c r="AO410" s="3">
        <v>3</v>
      </c>
      <c r="AP410" s="3">
        <v>19</v>
      </c>
      <c r="AQ410" s="3">
        <v>19</v>
      </c>
      <c r="AR410" s="2" t="s">
        <v>5</v>
      </c>
      <c r="AS410" s="2" t="s">
        <v>5</v>
      </c>
      <c r="AU410" s="5" t="str">
        <f>HYPERLINK("https://creighton-primo.hosted.exlibrisgroup.com/primo-explore/search?tab=default_tab&amp;search_scope=EVERYTHING&amp;vid=01CRU&amp;lang=en_US&amp;offset=0&amp;query=any,contains,991000123079702656","Catalog Record")</f>
        <v>Catalog Record</v>
      </c>
      <c r="AV410" s="5" t="str">
        <f>HYPERLINK("http://www.worldcat.org/oclc/9081250","WorldCat Record")</f>
        <v>WorldCat Record</v>
      </c>
      <c r="AW410" s="2" t="s">
        <v>5534</v>
      </c>
      <c r="AX410" s="2" t="s">
        <v>5535</v>
      </c>
      <c r="AY410" s="2" t="s">
        <v>5536</v>
      </c>
      <c r="AZ410" s="2" t="s">
        <v>5536</v>
      </c>
      <c r="BA410" s="2" t="s">
        <v>5537</v>
      </c>
      <c r="BB410" s="2" t="s">
        <v>21</v>
      </c>
      <c r="BD410" s="2" t="s">
        <v>5538</v>
      </c>
      <c r="BE410" s="2" t="s">
        <v>5539</v>
      </c>
      <c r="BF410" s="2" t="s">
        <v>5540</v>
      </c>
    </row>
    <row r="411" spans="1:58" ht="39.75" customHeight="1" x14ac:dyDescent="0.25">
      <c r="A411" s="1"/>
      <c r="B411" s="1" t="s">
        <v>0</v>
      </c>
      <c r="C411" s="1" t="s">
        <v>1</v>
      </c>
      <c r="D411" s="1" t="s">
        <v>5541</v>
      </c>
      <c r="E411" s="1" t="s">
        <v>5542</v>
      </c>
      <c r="F411" s="1" t="s">
        <v>5543</v>
      </c>
      <c r="H411" s="2" t="s">
        <v>5</v>
      </c>
      <c r="I411" s="2" t="s">
        <v>6</v>
      </c>
      <c r="J411" s="2" t="s">
        <v>5</v>
      </c>
      <c r="K411" s="2" t="s">
        <v>5</v>
      </c>
      <c r="L411" s="2" t="s">
        <v>7</v>
      </c>
      <c r="M411" s="1" t="s">
        <v>5544</v>
      </c>
      <c r="N411" s="1" t="s">
        <v>5545</v>
      </c>
      <c r="O411" s="2" t="s">
        <v>5546</v>
      </c>
      <c r="Q411" s="2" t="s">
        <v>11</v>
      </c>
      <c r="R411" s="2" t="s">
        <v>62</v>
      </c>
      <c r="T411" s="2" t="s">
        <v>1367</v>
      </c>
      <c r="U411" s="3">
        <v>7</v>
      </c>
      <c r="V411" s="3">
        <v>7</v>
      </c>
      <c r="W411" s="4" t="s">
        <v>5547</v>
      </c>
      <c r="X411" s="4" t="s">
        <v>5547</v>
      </c>
      <c r="Y411" s="4" t="s">
        <v>2021</v>
      </c>
      <c r="Z411" s="4" t="s">
        <v>2021</v>
      </c>
      <c r="AA411" s="3">
        <v>379</v>
      </c>
      <c r="AB411" s="3">
        <v>351</v>
      </c>
      <c r="AC411" s="3">
        <v>365</v>
      </c>
      <c r="AD411" s="3">
        <v>3</v>
      </c>
      <c r="AE411" s="7">
        <v>3</v>
      </c>
      <c r="AF411" s="7">
        <v>21</v>
      </c>
      <c r="AG411" s="7">
        <v>21</v>
      </c>
      <c r="AH411" s="3">
        <v>3</v>
      </c>
      <c r="AI411" s="3">
        <v>3</v>
      </c>
      <c r="AJ411" s="3">
        <v>1</v>
      </c>
      <c r="AK411" s="3">
        <v>1</v>
      </c>
      <c r="AL411" s="3">
        <v>5</v>
      </c>
      <c r="AM411" s="3">
        <v>5</v>
      </c>
      <c r="AN411" s="3">
        <v>2</v>
      </c>
      <c r="AO411" s="3">
        <v>2</v>
      </c>
      <c r="AP411" s="3">
        <v>11</v>
      </c>
      <c r="AQ411" s="3">
        <v>11</v>
      </c>
      <c r="AR411" s="2" t="s">
        <v>5</v>
      </c>
      <c r="AS411" s="2" t="s">
        <v>16</v>
      </c>
      <c r="AT411" s="5" t="str">
        <f>HYPERLINK("http://catalog.hathitrust.org/Record/001120397","HathiTrust Record")</f>
        <v>HathiTrust Record</v>
      </c>
      <c r="AU411" s="5" t="str">
        <f>HYPERLINK("https://creighton-primo.hosted.exlibrisgroup.com/primo-explore/search?tab=default_tab&amp;search_scope=EVERYTHING&amp;vid=01CRU&amp;lang=en_US&amp;offset=0&amp;query=any,contains,991003633449702656","Catalog Record")</f>
        <v>Catalog Record</v>
      </c>
      <c r="AV411" s="5" t="str">
        <f>HYPERLINK("http://www.worldcat.org/oclc/1227493","WorldCat Record")</f>
        <v>WorldCat Record</v>
      </c>
      <c r="AW411" s="2" t="s">
        <v>5548</v>
      </c>
      <c r="AX411" s="2" t="s">
        <v>5549</v>
      </c>
      <c r="AY411" s="2" t="s">
        <v>5550</v>
      </c>
      <c r="AZ411" s="2" t="s">
        <v>5550</v>
      </c>
      <c r="BA411" s="2" t="s">
        <v>5551</v>
      </c>
      <c r="BB411" s="2" t="s">
        <v>21</v>
      </c>
      <c r="BE411" s="2" t="s">
        <v>5552</v>
      </c>
      <c r="BF411" s="2" t="s">
        <v>5553</v>
      </c>
    </row>
    <row r="412" spans="1:58" ht="39.75" customHeight="1" x14ac:dyDescent="0.25">
      <c r="A412" s="1"/>
      <c r="B412" s="1" t="s">
        <v>0</v>
      </c>
      <c r="C412" s="1" t="s">
        <v>1</v>
      </c>
      <c r="D412" s="1" t="s">
        <v>5554</v>
      </c>
      <c r="E412" s="1" t="s">
        <v>5555</v>
      </c>
      <c r="F412" s="1" t="s">
        <v>5556</v>
      </c>
      <c r="H412" s="2" t="s">
        <v>5</v>
      </c>
      <c r="I412" s="2" t="s">
        <v>6</v>
      </c>
      <c r="J412" s="2" t="s">
        <v>16</v>
      </c>
      <c r="K412" s="2" t="s">
        <v>5</v>
      </c>
      <c r="L412" s="2" t="s">
        <v>7</v>
      </c>
      <c r="M412" s="1" t="s">
        <v>5557</v>
      </c>
      <c r="N412" s="1" t="s">
        <v>5558</v>
      </c>
      <c r="O412" s="2" t="s">
        <v>458</v>
      </c>
      <c r="Q412" s="2" t="s">
        <v>11</v>
      </c>
      <c r="R412" s="2" t="s">
        <v>903</v>
      </c>
      <c r="S412" s="1" t="s">
        <v>5559</v>
      </c>
      <c r="T412" s="2" t="s">
        <v>1367</v>
      </c>
      <c r="U412" s="3">
        <v>8</v>
      </c>
      <c r="V412" s="3">
        <v>9</v>
      </c>
      <c r="W412" s="4" t="s">
        <v>5547</v>
      </c>
      <c r="X412" s="4" t="s">
        <v>5547</v>
      </c>
      <c r="Y412" s="4" t="s">
        <v>5505</v>
      </c>
      <c r="Z412" s="4" t="s">
        <v>5560</v>
      </c>
      <c r="AA412" s="3">
        <v>631</v>
      </c>
      <c r="AB412" s="3">
        <v>546</v>
      </c>
      <c r="AC412" s="3">
        <v>552</v>
      </c>
      <c r="AD412" s="3">
        <v>5</v>
      </c>
      <c r="AE412" s="7">
        <v>5</v>
      </c>
      <c r="AF412" s="7">
        <v>30</v>
      </c>
      <c r="AG412" s="7">
        <v>30</v>
      </c>
      <c r="AH412" s="3">
        <v>10</v>
      </c>
      <c r="AI412" s="3">
        <v>10</v>
      </c>
      <c r="AJ412" s="3">
        <v>5</v>
      </c>
      <c r="AK412" s="3">
        <v>5</v>
      </c>
      <c r="AL412" s="3">
        <v>10</v>
      </c>
      <c r="AM412" s="3">
        <v>10</v>
      </c>
      <c r="AN412" s="3">
        <v>2</v>
      </c>
      <c r="AO412" s="3">
        <v>2</v>
      </c>
      <c r="AP412" s="3">
        <v>11</v>
      </c>
      <c r="AQ412" s="3">
        <v>11</v>
      </c>
      <c r="AR412" s="2" t="s">
        <v>5</v>
      </c>
      <c r="AS412" s="2" t="s">
        <v>16</v>
      </c>
      <c r="AT412" s="5" t="str">
        <f>HYPERLINK("http://catalog.hathitrust.org/Record/000007975","HathiTrust Record")</f>
        <v>HathiTrust Record</v>
      </c>
      <c r="AU412" s="5" t="str">
        <f>HYPERLINK("https://creighton-primo.hosted.exlibrisgroup.com/primo-explore/search?tab=default_tab&amp;search_scope=EVERYTHING&amp;vid=01CRU&amp;lang=en_US&amp;offset=0&amp;query=any,contains,991001658899702656","Catalog Record")</f>
        <v>Catalog Record</v>
      </c>
      <c r="AV412" s="5" t="str">
        <f>HYPERLINK("http://www.worldcat.org/oclc/589116","WorldCat Record")</f>
        <v>WorldCat Record</v>
      </c>
      <c r="AW412" s="2" t="s">
        <v>5561</v>
      </c>
      <c r="AX412" s="2" t="s">
        <v>5562</v>
      </c>
      <c r="AY412" s="2" t="s">
        <v>5563</v>
      </c>
      <c r="AZ412" s="2" t="s">
        <v>5563</v>
      </c>
      <c r="BA412" s="2" t="s">
        <v>5564</v>
      </c>
      <c r="BB412" s="2" t="s">
        <v>21</v>
      </c>
      <c r="BD412" s="2" t="s">
        <v>5565</v>
      </c>
      <c r="BE412" s="2" t="s">
        <v>5566</v>
      </c>
      <c r="BF412" s="2" t="s">
        <v>5567</v>
      </c>
    </row>
    <row r="413" spans="1:58" ht="39.75" customHeight="1" x14ac:dyDescent="0.25">
      <c r="A413" s="1"/>
      <c r="B413" s="1" t="s">
        <v>0</v>
      </c>
      <c r="C413" s="1" t="s">
        <v>1</v>
      </c>
      <c r="D413" s="1" t="s">
        <v>5568</v>
      </c>
      <c r="E413" s="1" t="s">
        <v>5569</v>
      </c>
      <c r="F413" s="1" t="s">
        <v>5570</v>
      </c>
      <c r="H413" s="2" t="s">
        <v>5</v>
      </c>
      <c r="I413" s="2" t="s">
        <v>6</v>
      </c>
      <c r="J413" s="2" t="s">
        <v>5</v>
      </c>
      <c r="K413" s="2" t="s">
        <v>5</v>
      </c>
      <c r="L413" s="2" t="s">
        <v>7</v>
      </c>
      <c r="M413" s="1" t="s">
        <v>3105</v>
      </c>
      <c r="N413" s="1" t="s">
        <v>5571</v>
      </c>
      <c r="O413" s="2" t="s">
        <v>629</v>
      </c>
      <c r="Q413" s="2" t="s">
        <v>11</v>
      </c>
      <c r="R413" s="2" t="s">
        <v>3107</v>
      </c>
      <c r="T413" s="2" t="s">
        <v>1367</v>
      </c>
      <c r="U413" s="3">
        <v>8</v>
      </c>
      <c r="V413" s="3">
        <v>8</v>
      </c>
      <c r="W413" s="4" t="s">
        <v>5572</v>
      </c>
      <c r="X413" s="4" t="s">
        <v>5572</v>
      </c>
      <c r="Y413" s="4" t="s">
        <v>3936</v>
      </c>
      <c r="Z413" s="4" t="s">
        <v>3936</v>
      </c>
      <c r="AA413" s="3">
        <v>122</v>
      </c>
      <c r="AB413" s="3">
        <v>121</v>
      </c>
      <c r="AC413" s="3">
        <v>315</v>
      </c>
      <c r="AD413" s="3">
        <v>3</v>
      </c>
      <c r="AE413" s="7">
        <v>3</v>
      </c>
      <c r="AF413" s="7">
        <v>11</v>
      </c>
      <c r="AG413" s="7">
        <v>27</v>
      </c>
      <c r="AH413" s="3">
        <v>1</v>
      </c>
      <c r="AI413" s="3">
        <v>4</v>
      </c>
      <c r="AJ413" s="3">
        <v>0</v>
      </c>
      <c r="AK413" s="3">
        <v>1</v>
      </c>
      <c r="AL413" s="3">
        <v>1</v>
      </c>
      <c r="AM413" s="3">
        <v>4</v>
      </c>
      <c r="AN413" s="3">
        <v>2</v>
      </c>
      <c r="AO413" s="3">
        <v>2</v>
      </c>
      <c r="AP413" s="3">
        <v>7</v>
      </c>
      <c r="AQ413" s="3">
        <v>18</v>
      </c>
      <c r="AR413" s="2" t="s">
        <v>5</v>
      </c>
      <c r="AS413" s="2" t="s">
        <v>16</v>
      </c>
      <c r="AT413" s="5" t="str">
        <f>HYPERLINK("http://catalog.hathitrust.org/Record/009498067","HathiTrust Record")</f>
        <v>HathiTrust Record</v>
      </c>
      <c r="AU413" s="5" t="str">
        <f>HYPERLINK("https://creighton-primo.hosted.exlibrisgroup.com/primo-explore/search?tab=default_tab&amp;search_scope=EVERYTHING&amp;vid=01CRU&amp;lang=en_US&amp;offset=0&amp;query=any,contains,991001030089702656","Catalog Record")</f>
        <v>Catalog Record</v>
      </c>
      <c r="AV413" s="5" t="str">
        <f>HYPERLINK("http://www.worldcat.org/oclc/15494756","WorldCat Record")</f>
        <v>WorldCat Record</v>
      </c>
      <c r="AW413" s="2" t="s">
        <v>5573</v>
      </c>
      <c r="AX413" s="2" t="s">
        <v>5574</v>
      </c>
      <c r="AY413" s="2" t="s">
        <v>5575</v>
      </c>
      <c r="AZ413" s="2" t="s">
        <v>5575</v>
      </c>
      <c r="BA413" s="2" t="s">
        <v>5576</v>
      </c>
      <c r="BB413" s="2" t="s">
        <v>21</v>
      </c>
      <c r="BE413" s="2" t="s">
        <v>5577</v>
      </c>
      <c r="BF413" s="2" t="s">
        <v>5578</v>
      </c>
    </row>
    <row r="414" spans="1:58" ht="39.75" customHeight="1" x14ac:dyDescent="0.25">
      <c r="A414" s="1"/>
      <c r="B414" s="1" t="s">
        <v>0</v>
      </c>
      <c r="C414" s="1" t="s">
        <v>1</v>
      </c>
      <c r="D414" s="1" t="s">
        <v>5579</v>
      </c>
      <c r="E414" s="1" t="s">
        <v>5580</v>
      </c>
      <c r="F414" s="1" t="s">
        <v>5581</v>
      </c>
      <c r="H414" s="2" t="s">
        <v>5</v>
      </c>
      <c r="I414" s="2" t="s">
        <v>1685</v>
      </c>
      <c r="J414" s="2" t="s">
        <v>5</v>
      </c>
      <c r="K414" s="2" t="s">
        <v>5</v>
      </c>
      <c r="L414" s="2" t="s">
        <v>7</v>
      </c>
      <c r="M414" s="1" t="s">
        <v>5582</v>
      </c>
      <c r="N414" s="1" t="s">
        <v>5583</v>
      </c>
      <c r="O414" s="2" t="s">
        <v>500</v>
      </c>
      <c r="Q414" s="2" t="s">
        <v>11</v>
      </c>
      <c r="R414" s="2" t="s">
        <v>46</v>
      </c>
      <c r="T414" s="2" t="s">
        <v>1367</v>
      </c>
      <c r="U414" s="3">
        <v>2</v>
      </c>
      <c r="V414" s="3">
        <v>2</v>
      </c>
      <c r="W414" s="4" t="s">
        <v>2345</v>
      </c>
      <c r="X414" s="4" t="s">
        <v>2345</v>
      </c>
      <c r="Y414" s="4" t="s">
        <v>727</v>
      </c>
      <c r="Z414" s="4" t="s">
        <v>727</v>
      </c>
      <c r="AA414" s="3">
        <v>641</v>
      </c>
      <c r="AB414" s="3">
        <v>580</v>
      </c>
      <c r="AC414" s="3">
        <v>581</v>
      </c>
      <c r="AD414" s="3">
        <v>4</v>
      </c>
      <c r="AE414" s="7">
        <v>4</v>
      </c>
      <c r="AF414" s="7">
        <v>43</v>
      </c>
      <c r="AG414" s="7">
        <v>43</v>
      </c>
      <c r="AH414" s="3">
        <v>12</v>
      </c>
      <c r="AI414" s="3">
        <v>12</v>
      </c>
      <c r="AJ414" s="3">
        <v>5</v>
      </c>
      <c r="AK414" s="3">
        <v>5</v>
      </c>
      <c r="AL414" s="3">
        <v>13</v>
      </c>
      <c r="AM414" s="3">
        <v>13</v>
      </c>
      <c r="AN414" s="3">
        <v>3</v>
      </c>
      <c r="AO414" s="3">
        <v>3</v>
      </c>
      <c r="AP414" s="3">
        <v>19</v>
      </c>
      <c r="AQ414" s="3">
        <v>19</v>
      </c>
      <c r="AR414" s="2" t="s">
        <v>5</v>
      </c>
      <c r="AS414" s="2" t="s">
        <v>16</v>
      </c>
      <c r="AT414" s="5" t="str">
        <f>HYPERLINK("http://catalog.hathitrust.org/Record/007883648","HathiTrust Record")</f>
        <v>HathiTrust Record</v>
      </c>
      <c r="AU414" s="5" t="str">
        <f>HYPERLINK("https://creighton-primo.hosted.exlibrisgroup.com/primo-explore/search?tab=default_tab&amp;search_scope=EVERYTHING&amp;vid=01CRU&amp;lang=en_US&amp;offset=0&amp;query=any,contains,991004375289702656","Catalog Record")</f>
        <v>Catalog Record</v>
      </c>
      <c r="AV414" s="5" t="str">
        <f>HYPERLINK("http://www.worldcat.org/oclc/3204537","WorldCat Record")</f>
        <v>WorldCat Record</v>
      </c>
      <c r="AW414" s="2" t="s">
        <v>5584</v>
      </c>
      <c r="AX414" s="2" t="s">
        <v>5585</v>
      </c>
      <c r="AY414" s="2" t="s">
        <v>5586</v>
      </c>
      <c r="AZ414" s="2" t="s">
        <v>5586</v>
      </c>
      <c r="BA414" s="2" t="s">
        <v>5587</v>
      </c>
      <c r="BB414" s="2" t="s">
        <v>21</v>
      </c>
      <c r="BD414" s="2" t="s">
        <v>5588</v>
      </c>
      <c r="BE414" s="2" t="s">
        <v>5589</v>
      </c>
      <c r="BF414" s="2" t="s">
        <v>5590</v>
      </c>
    </row>
    <row r="415" spans="1:58" ht="39.75" customHeight="1" x14ac:dyDescent="0.25">
      <c r="A415" s="1"/>
      <c r="B415" s="1" t="s">
        <v>0</v>
      </c>
      <c r="C415" s="1" t="s">
        <v>1</v>
      </c>
      <c r="D415" s="1" t="s">
        <v>5591</v>
      </c>
      <c r="E415" s="1" t="s">
        <v>5592</v>
      </c>
      <c r="F415" s="1" t="s">
        <v>5593</v>
      </c>
      <c r="H415" s="2" t="s">
        <v>5</v>
      </c>
      <c r="I415" s="2" t="s">
        <v>6</v>
      </c>
      <c r="J415" s="2" t="s">
        <v>16</v>
      </c>
      <c r="K415" s="2" t="s">
        <v>5</v>
      </c>
      <c r="L415" s="2" t="s">
        <v>7</v>
      </c>
      <c r="N415" s="1" t="s">
        <v>5594</v>
      </c>
      <c r="O415" s="2" t="s">
        <v>275</v>
      </c>
      <c r="Q415" s="2" t="s">
        <v>11</v>
      </c>
      <c r="R415" s="2" t="s">
        <v>903</v>
      </c>
      <c r="S415" s="1" t="s">
        <v>5595</v>
      </c>
      <c r="T415" s="2" t="s">
        <v>1367</v>
      </c>
      <c r="U415" s="3">
        <v>3</v>
      </c>
      <c r="V415" s="3">
        <v>9</v>
      </c>
      <c r="W415" s="4" t="s">
        <v>5596</v>
      </c>
      <c r="X415" s="4" t="s">
        <v>5596</v>
      </c>
      <c r="Y415" s="4" t="s">
        <v>5597</v>
      </c>
      <c r="Z415" s="4" t="s">
        <v>5598</v>
      </c>
      <c r="AA415" s="3">
        <v>541</v>
      </c>
      <c r="AB415" s="3">
        <v>469</v>
      </c>
      <c r="AC415" s="3">
        <v>475</v>
      </c>
      <c r="AD415" s="3">
        <v>5</v>
      </c>
      <c r="AE415" s="7">
        <v>5</v>
      </c>
      <c r="AF415" s="7">
        <v>29</v>
      </c>
      <c r="AG415" s="7">
        <v>29</v>
      </c>
      <c r="AH415" s="3">
        <v>6</v>
      </c>
      <c r="AI415" s="3">
        <v>6</v>
      </c>
      <c r="AJ415" s="3">
        <v>3</v>
      </c>
      <c r="AK415" s="3">
        <v>3</v>
      </c>
      <c r="AL415" s="3">
        <v>11</v>
      </c>
      <c r="AM415" s="3">
        <v>11</v>
      </c>
      <c r="AN415" s="3">
        <v>3</v>
      </c>
      <c r="AO415" s="3">
        <v>3</v>
      </c>
      <c r="AP415" s="3">
        <v>13</v>
      </c>
      <c r="AQ415" s="3">
        <v>13</v>
      </c>
      <c r="AR415" s="2" t="s">
        <v>5</v>
      </c>
      <c r="AS415" s="2" t="s">
        <v>16</v>
      </c>
      <c r="AT415" s="5" t="str">
        <f>HYPERLINK("http://catalog.hathitrust.org/Record/000703685","HathiTrust Record")</f>
        <v>HathiTrust Record</v>
      </c>
      <c r="AU415" s="5" t="str">
        <f>HYPERLINK("https://creighton-primo.hosted.exlibrisgroup.com/primo-explore/search?tab=default_tab&amp;search_scope=EVERYTHING&amp;vid=01CRU&amp;lang=en_US&amp;offset=0&amp;query=any,contains,991001801269702656","Catalog Record")</f>
        <v>Catalog Record</v>
      </c>
      <c r="AV415" s="5" t="str">
        <f>HYPERLINK("http://www.worldcat.org/oclc/4907858","WorldCat Record")</f>
        <v>WorldCat Record</v>
      </c>
      <c r="AW415" s="2" t="s">
        <v>5599</v>
      </c>
      <c r="AX415" s="2" t="s">
        <v>5600</v>
      </c>
      <c r="AY415" s="2" t="s">
        <v>5601</v>
      </c>
      <c r="AZ415" s="2" t="s">
        <v>5601</v>
      </c>
      <c r="BA415" s="2" t="s">
        <v>5602</v>
      </c>
      <c r="BB415" s="2" t="s">
        <v>21</v>
      </c>
      <c r="BD415" s="2" t="s">
        <v>5603</v>
      </c>
      <c r="BE415" s="2" t="s">
        <v>5604</v>
      </c>
      <c r="BF415" s="2" t="s">
        <v>5605</v>
      </c>
    </row>
    <row r="416" spans="1:58" ht="39.75" customHeight="1" x14ac:dyDescent="0.25">
      <c r="A416" s="1"/>
      <c r="B416" s="1" t="s">
        <v>0</v>
      </c>
      <c r="C416" s="1" t="s">
        <v>1</v>
      </c>
      <c r="D416" s="1" t="s">
        <v>5606</v>
      </c>
      <c r="E416" s="1" t="s">
        <v>5607</v>
      </c>
      <c r="F416" s="1" t="s">
        <v>5608</v>
      </c>
      <c r="H416" s="2" t="s">
        <v>5</v>
      </c>
      <c r="I416" s="2" t="s">
        <v>6</v>
      </c>
      <c r="J416" s="2" t="s">
        <v>5</v>
      </c>
      <c r="K416" s="2" t="s">
        <v>5</v>
      </c>
      <c r="L416" s="2" t="s">
        <v>7</v>
      </c>
      <c r="M416" s="1" t="s">
        <v>5609</v>
      </c>
      <c r="N416" s="1" t="s">
        <v>5610</v>
      </c>
      <c r="O416" s="2" t="s">
        <v>387</v>
      </c>
      <c r="Q416" s="2" t="s">
        <v>11</v>
      </c>
      <c r="R416" s="2" t="s">
        <v>76</v>
      </c>
      <c r="T416" s="2" t="s">
        <v>1367</v>
      </c>
      <c r="U416" s="3">
        <v>6</v>
      </c>
      <c r="V416" s="3">
        <v>6</v>
      </c>
      <c r="W416" s="4" t="s">
        <v>5611</v>
      </c>
      <c r="X416" s="4" t="s">
        <v>5611</v>
      </c>
      <c r="Y416" s="4" t="s">
        <v>5141</v>
      </c>
      <c r="Z416" s="4" t="s">
        <v>5141</v>
      </c>
      <c r="AA416" s="3">
        <v>500</v>
      </c>
      <c r="AB416" s="3">
        <v>401</v>
      </c>
      <c r="AC416" s="3">
        <v>407</v>
      </c>
      <c r="AD416" s="3">
        <v>5</v>
      </c>
      <c r="AE416" s="7">
        <v>5</v>
      </c>
      <c r="AF416" s="7">
        <v>30</v>
      </c>
      <c r="AG416" s="7">
        <v>30</v>
      </c>
      <c r="AH416" s="3">
        <v>5</v>
      </c>
      <c r="AI416" s="3">
        <v>5</v>
      </c>
      <c r="AJ416" s="3">
        <v>5</v>
      </c>
      <c r="AK416" s="3">
        <v>5</v>
      </c>
      <c r="AL416" s="3">
        <v>3</v>
      </c>
      <c r="AM416" s="3">
        <v>3</v>
      </c>
      <c r="AN416" s="3">
        <v>3</v>
      </c>
      <c r="AO416" s="3">
        <v>3</v>
      </c>
      <c r="AP416" s="3">
        <v>17</v>
      </c>
      <c r="AQ416" s="3">
        <v>17</v>
      </c>
      <c r="AR416" s="2" t="s">
        <v>5</v>
      </c>
      <c r="AS416" s="2" t="s">
        <v>5</v>
      </c>
      <c r="AU416" s="5" t="str">
        <f>HYPERLINK("https://creighton-primo.hosted.exlibrisgroup.com/primo-explore/search?tab=default_tab&amp;search_scope=EVERYTHING&amp;vid=01CRU&amp;lang=en_US&amp;offset=0&amp;query=any,contains,991000429069702656","Catalog Record")</f>
        <v>Catalog Record</v>
      </c>
      <c r="AV416" s="5" t="str">
        <f>HYPERLINK("http://www.worldcat.org/oclc/10777310","WorldCat Record")</f>
        <v>WorldCat Record</v>
      </c>
      <c r="AW416" s="2" t="s">
        <v>5612</v>
      </c>
      <c r="AX416" s="2" t="s">
        <v>5613</v>
      </c>
      <c r="AY416" s="2" t="s">
        <v>5614</v>
      </c>
      <c r="AZ416" s="2" t="s">
        <v>5614</v>
      </c>
      <c r="BA416" s="2" t="s">
        <v>5615</v>
      </c>
      <c r="BB416" s="2" t="s">
        <v>21</v>
      </c>
      <c r="BD416" s="2" t="s">
        <v>5616</v>
      </c>
      <c r="BE416" s="2" t="s">
        <v>5617</v>
      </c>
      <c r="BF416" s="2" t="s">
        <v>5618</v>
      </c>
    </row>
    <row r="417" spans="1:58" ht="39.75" customHeight="1" x14ac:dyDescent="0.25">
      <c r="A417" s="1"/>
      <c r="B417" s="1" t="s">
        <v>0</v>
      </c>
      <c r="C417" s="1" t="s">
        <v>1</v>
      </c>
      <c r="D417" s="1" t="s">
        <v>5619</v>
      </c>
      <c r="E417" s="1" t="s">
        <v>5620</v>
      </c>
      <c r="F417" s="1" t="s">
        <v>5621</v>
      </c>
      <c r="H417" s="2" t="s">
        <v>5</v>
      </c>
      <c r="I417" s="2" t="s">
        <v>6</v>
      </c>
      <c r="J417" s="2" t="s">
        <v>16</v>
      </c>
      <c r="K417" s="2" t="s">
        <v>5</v>
      </c>
      <c r="L417" s="2" t="s">
        <v>7</v>
      </c>
      <c r="M417" s="1" t="s">
        <v>5622</v>
      </c>
      <c r="N417" s="1" t="s">
        <v>5623</v>
      </c>
      <c r="O417" s="2" t="s">
        <v>836</v>
      </c>
      <c r="Q417" s="2" t="s">
        <v>11</v>
      </c>
      <c r="R417" s="2" t="s">
        <v>124</v>
      </c>
      <c r="T417" s="2" t="s">
        <v>1367</v>
      </c>
      <c r="U417" s="3">
        <v>2</v>
      </c>
      <c r="V417" s="3">
        <v>6</v>
      </c>
      <c r="W417" s="4" t="s">
        <v>5611</v>
      </c>
      <c r="X417" s="4" t="s">
        <v>5611</v>
      </c>
      <c r="Y417" s="4" t="s">
        <v>5624</v>
      </c>
      <c r="Z417" s="4" t="s">
        <v>5625</v>
      </c>
      <c r="AA417" s="3">
        <v>1031</v>
      </c>
      <c r="AB417" s="3">
        <v>962</v>
      </c>
      <c r="AC417" s="3">
        <v>970</v>
      </c>
      <c r="AD417" s="3">
        <v>9</v>
      </c>
      <c r="AE417" s="7">
        <v>9</v>
      </c>
      <c r="AF417" s="7">
        <v>55</v>
      </c>
      <c r="AG417" s="7">
        <v>55</v>
      </c>
      <c r="AH417" s="3">
        <v>15</v>
      </c>
      <c r="AI417" s="3">
        <v>15</v>
      </c>
      <c r="AJ417" s="3">
        <v>8</v>
      </c>
      <c r="AK417" s="3">
        <v>8</v>
      </c>
      <c r="AL417" s="3">
        <v>14</v>
      </c>
      <c r="AM417" s="3">
        <v>14</v>
      </c>
      <c r="AN417" s="3">
        <v>6</v>
      </c>
      <c r="AO417" s="3">
        <v>6</v>
      </c>
      <c r="AP417" s="3">
        <v>21</v>
      </c>
      <c r="AQ417" s="3">
        <v>21</v>
      </c>
      <c r="AR417" s="2" t="s">
        <v>5</v>
      </c>
      <c r="AS417" s="2" t="s">
        <v>16</v>
      </c>
      <c r="AT417" s="5" t="str">
        <f>HYPERLINK("http://catalog.hathitrust.org/Record/000709182","HathiTrust Record")</f>
        <v>HathiTrust Record</v>
      </c>
      <c r="AU417" s="5" t="str">
        <f>HYPERLINK("https://creighton-primo.hosted.exlibrisgroup.com/primo-explore/search?tab=default_tab&amp;search_scope=EVERYTHING&amp;vid=01CRU&amp;lang=en_US&amp;offset=0&amp;query=any,contains,991001740019702656","Catalog Record")</f>
        <v>Catalog Record</v>
      </c>
      <c r="AV417" s="5" t="str">
        <f>HYPERLINK("http://www.worldcat.org/oclc/1958480","WorldCat Record")</f>
        <v>WorldCat Record</v>
      </c>
      <c r="AW417" s="2" t="s">
        <v>5626</v>
      </c>
      <c r="AX417" s="2" t="s">
        <v>5627</v>
      </c>
      <c r="AY417" s="2" t="s">
        <v>5628</v>
      </c>
      <c r="AZ417" s="2" t="s">
        <v>5628</v>
      </c>
      <c r="BA417" s="2" t="s">
        <v>5629</v>
      </c>
      <c r="BB417" s="2" t="s">
        <v>21</v>
      </c>
      <c r="BD417" s="2" t="s">
        <v>5630</v>
      </c>
      <c r="BE417" s="2" t="s">
        <v>5631</v>
      </c>
      <c r="BF417" s="2" t="s">
        <v>5632</v>
      </c>
    </row>
    <row r="418" spans="1:58" ht="39.75" customHeight="1" x14ac:dyDescent="0.25">
      <c r="A418" s="1"/>
      <c r="B418" s="1" t="s">
        <v>0</v>
      </c>
      <c r="C418" s="1" t="s">
        <v>1</v>
      </c>
      <c r="D418" s="1" t="s">
        <v>5633</v>
      </c>
      <c r="E418" s="1" t="s">
        <v>5634</v>
      </c>
      <c r="F418" s="1" t="s">
        <v>5635</v>
      </c>
      <c r="H418" s="2" t="s">
        <v>5</v>
      </c>
      <c r="I418" s="2" t="s">
        <v>6</v>
      </c>
      <c r="J418" s="2" t="s">
        <v>5</v>
      </c>
      <c r="K418" s="2" t="s">
        <v>5</v>
      </c>
      <c r="L418" s="2" t="s">
        <v>7</v>
      </c>
      <c r="N418" s="1" t="s">
        <v>5636</v>
      </c>
      <c r="O418" s="2" t="s">
        <v>5546</v>
      </c>
      <c r="Q418" s="2" t="s">
        <v>11</v>
      </c>
      <c r="R418" s="2" t="s">
        <v>153</v>
      </c>
      <c r="T418" s="2" t="s">
        <v>1367</v>
      </c>
      <c r="U418" s="3">
        <v>2</v>
      </c>
      <c r="V418" s="3">
        <v>2</v>
      </c>
      <c r="W418" s="4" t="s">
        <v>2060</v>
      </c>
      <c r="X418" s="4" t="s">
        <v>2060</v>
      </c>
      <c r="Y418" s="4" t="s">
        <v>1073</v>
      </c>
      <c r="Z418" s="4" t="s">
        <v>1073</v>
      </c>
      <c r="AA418" s="3">
        <v>666</v>
      </c>
      <c r="AB418" s="3">
        <v>635</v>
      </c>
      <c r="AC418" s="3">
        <v>692</v>
      </c>
      <c r="AD418" s="3">
        <v>2</v>
      </c>
      <c r="AE418" s="7">
        <v>3</v>
      </c>
      <c r="AF418" s="7">
        <v>28</v>
      </c>
      <c r="AG418" s="7">
        <v>32</v>
      </c>
      <c r="AH418" s="3">
        <v>9</v>
      </c>
      <c r="AI418" s="3">
        <v>9</v>
      </c>
      <c r="AJ418" s="3">
        <v>5</v>
      </c>
      <c r="AK418" s="3">
        <v>6</v>
      </c>
      <c r="AL418" s="3">
        <v>13</v>
      </c>
      <c r="AM418" s="3">
        <v>13</v>
      </c>
      <c r="AN418" s="3">
        <v>1</v>
      </c>
      <c r="AO418" s="3">
        <v>1</v>
      </c>
      <c r="AP418" s="3">
        <v>6</v>
      </c>
      <c r="AQ418" s="3">
        <v>9</v>
      </c>
      <c r="AR418" s="2" t="s">
        <v>5</v>
      </c>
      <c r="AS418" s="2" t="s">
        <v>16</v>
      </c>
      <c r="AT418" s="5" t="str">
        <f>HYPERLINK("http://catalog.hathitrust.org/Record/001134366","HathiTrust Record")</f>
        <v>HathiTrust Record</v>
      </c>
      <c r="AU418" s="5" t="str">
        <f>HYPERLINK("https://creighton-primo.hosted.exlibrisgroup.com/primo-explore/search?tab=default_tab&amp;search_scope=EVERYTHING&amp;vid=01CRU&amp;lang=en_US&amp;offset=0&amp;query=any,contains,991002426279702656","Catalog Record")</f>
        <v>Catalog Record</v>
      </c>
      <c r="AV418" s="5" t="str">
        <f>HYPERLINK("http://www.worldcat.org/oclc/344989","WorldCat Record")</f>
        <v>WorldCat Record</v>
      </c>
      <c r="AW418" s="2" t="s">
        <v>5637</v>
      </c>
      <c r="AX418" s="2" t="s">
        <v>5638</v>
      </c>
      <c r="AY418" s="2" t="s">
        <v>5639</v>
      </c>
      <c r="AZ418" s="2" t="s">
        <v>5639</v>
      </c>
      <c r="BA418" s="2" t="s">
        <v>5640</v>
      </c>
      <c r="BB418" s="2" t="s">
        <v>21</v>
      </c>
      <c r="BE418" s="2" t="s">
        <v>5641</v>
      </c>
      <c r="BF418" s="2" t="s">
        <v>5642</v>
      </c>
    </row>
    <row r="419" spans="1:58" ht="39.75" customHeight="1" x14ac:dyDescent="0.25">
      <c r="A419" s="1"/>
      <c r="B419" s="1" t="s">
        <v>0</v>
      </c>
      <c r="C419" s="1" t="s">
        <v>1</v>
      </c>
      <c r="D419" s="1" t="s">
        <v>5643</v>
      </c>
      <c r="E419" s="1" t="s">
        <v>5644</v>
      </c>
      <c r="F419" s="1" t="s">
        <v>5645</v>
      </c>
      <c r="H419" s="2" t="s">
        <v>5</v>
      </c>
      <c r="I419" s="2" t="s">
        <v>6</v>
      </c>
      <c r="J419" s="2" t="s">
        <v>5</v>
      </c>
      <c r="K419" s="2" t="s">
        <v>16</v>
      </c>
      <c r="L419" s="2" t="s">
        <v>7</v>
      </c>
      <c r="M419" s="1" t="s">
        <v>3454</v>
      </c>
      <c r="N419" s="1" t="s">
        <v>5646</v>
      </c>
      <c r="O419" s="2" t="s">
        <v>291</v>
      </c>
      <c r="P419" s="1" t="s">
        <v>5647</v>
      </c>
      <c r="Q419" s="2" t="s">
        <v>11</v>
      </c>
      <c r="R419" s="2" t="s">
        <v>501</v>
      </c>
      <c r="T419" s="2" t="s">
        <v>1367</v>
      </c>
      <c r="U419" s="3">
        <v>2</v>
      </c>
      <c r="V419" s="3">
        <v>2</v>
      </c>
      <c r="W419" s="4" t="s">
        <v>4623</v>
      </c>
      <c r="X419" s="4" t="s">
        <v>4623</v>
      </c>
      <c r="Y419" s="4" t="s">
        <v>4623</v>
      </c>
      <c r="Z419" s="4" t="s">
        <v>4623</v>
      </c>
      <c r="AA419" s="3">
        <v>175</v>
      </c>
      <c r="AB419" s="3">
        <v>163</v>
      </c>
      <c r="AC419" s="3">
        <v>1572</v>
      </c>
      <c r="AD419" s="3">
        <v>1</v>
      </c>
      <c r="AE419" s="7">
        <v>12</v>
      </c>
      <c r="AF419" s="7">
        <v>3</v>
      </c>
      <c r="AG419" s="7">
        <v>76</v>
      </c>
      <c r="AH419" s="3">
        <v>1</v>
      </c>
      <c r="AI419" s="3">
        <v>24</v>
      </c>
      <c r="AJ419" s="3">
        <v>0</v>
      </c>
      <c r="AK419" s="3">
        <v>9</v>
      </c>
      <c r="AL419" s="3">
        <v>1</v>
      </c>
      <c r="AM419" s="3">
        <v>24</v>
      </c>
      <c r="AN419" s="3">
        <v>0</v>
      </c>
      <c r="AO419" s="3">
        <v>8</v>
      </c>
      <c r="AP419" s="3">
        <v>1</v>
      </c>
      <c r="AQ419" s="3">
        <v>23</v>
      </c>
      <c r="AR419" s="2" t="s">
        <v>5</v>
      </c>
      <c r="AS419" s="2" t="s">
        <v>5</v>
      </c>
      <c r="AU419" s="5" t="str">
        <f>HYPERLINK("https://creighton-primo.hosted.exlibrisgroup.com/primo-explore/search?tab=default_tab&amp;search_scope=EVERYTHING&amp;vid=01CRU&amp;lang=en_US&amp;offset=0&amp;query=any,contains,991003345679702656","Catalog Record")</f>
        <v>Catalog Record</v>
      </c>
      <c r="AV419" s="5" t="str">
        <f>HYPERLINK("http://www.worldcat.org/oclc/41431753","WorldCat Record")</f>
        <v>WorldCat Record</v>
      </c>
      <c r="AW419" s="2" t="s">
        <v>5648</v>
      </c>
      <c r="AX419" s="2" t="s">
        <v>5649</v>
      </c>
      <c r="AY419" s="2" t="s">
        <v>5650</v>
      </c>
      <c r="AZ419" s="2" t="s">
        <v>5650</v>
      </c>
      <c r="BA419" s="2" t="s">
        <v>5651</v>
      </c>
      <c r="BB419" s="2" t="s">
        <v>21</v>
      </c>
      <c r="BD419" s="2" t="s">
        <v>5652</v>
      </c>
      <c r="BE419" s="2" t="s">
        <v>5653</v>
      </c>
      <c r="BF419" s="2" t="s">
        <v>5654</v>
      </c>
    </row>
    <row r="420" spans="1:58" ht="39.75" customHeight="1" x14ac:dyDescent="0.25">
      <c r="A420" s="1"/>
      <c r="B420" s="1" t="s">
        <v>0</v>
      </c>
      <c r="C420" s="1" t="s">
        <v>1</v>
      </c>
      <c r="D420" s="1" t="s">
        <v>5655</v>
      </c>
      <c r="E420" s="1" t="s">
        <v>5656</v>
      </c>
      <c r="F420" s="1" t="s">
        <v>5657</v>
      </c>
      <c r="H420" s="2" t="s">
        <v>5</v>
      </c>
      <c r="I420" s="2" t="s">
        <v>6</v>
      </c>
      <c r="J420" s="2" t="s">
        <v>5</v>
      </c>
      <c r="K420" s="2" t="s">
        <v>5</v>
      </c>
      <c r="L420" s="2" t="s">
        <v>7</v>
      </c>
      <c r="M420" s="1" t="s">
        <v>5658</v>
      </c>
      <c r="N420" s="1" t="s">
        <v>5659</v>
      </c>
      <c r="O420" s="2" t="s">
        <v>355</v>
      </c>
      <c r="Q420" s="2" t="s">
        <v>11</v>
      </c>
      <c r="R420" s="2" t="s">
        <v>153</v>
      </c>
      <c r="T420" s="2" t="s">
        <v>1367</v>
      </c>
      <c r="U420" s="3">
        <v>1</v>
      </c>
      <c r="V420" s="3">
        <v>1</v>
      </c>
      <c r="W420" s="4" t="s">
        <v>5660</v>
      </c>
      <c r="X420" s="4" t="s">
        <v>5660</v>
      </c>
      <c r="Y420" s="4" t="s">
        <v>5661</v>
      </c>
      <c r="Z420" s="4" t="s">
        <v>5661</v>
      </c>
      <c r="AA420" s="3">
        <v>606</v>
      </c>
      <c r="AB420" s="3">
        <v>572</v>
      </c>
      <c r="AC420" s="3">
        <v>579</v>
      </c>
      <c r="AD420" s="3">
        <v>6</v>
      </c>
      <c r="AE420" s="7">
        <v>6</v>
      </c>
      <c r="AF420" s="7">
        <v>22</v>
      </c>
      <c r="AG420" s="7">
        <v>22</v>
      </c>
      <c r="AH420" s="3">
        <v>5</v>
      </c>
      <c r="AI420" s="3">
        <v>5</v>
      </c>
      <c r="AJ420" s="3">
        <v>2</v>
      </c>
      <c r="AK420" s="3">
        <v>2</v>
      </c>
      <c r="AL420" s="3">
        <v>8</v>
      </c>
      <c r="AM420" s="3">
        <v>8</v>
      </c>
      <c r="AN420" s="3">
        <v>4</v>
      </c>
      <c r="AO420" s="3">
        <v>4</v>
      </c>
      <c r="AP420" s="3">
        <v>6</v>
      </c>
      <c r="AQ420" s="3">
        <v>6</v>
      </c>
      <c r="AR420" s="2" t="s">
        <v>5</v>
      </c>
      <c r="AS420" s="2" t="s">
        <v>16</v>
      </c>
      <c r="AT420" s="5" t="str">
        <f>HYPERLINK("http://catalog.hathitrust.org/Record/007848110","HathiTrust Record")</f>
        <v>HathiTrust Record</v>
      </c>
      <c r="AU420" s="5" t="str">
        <f>HYPERLINK("https://creighton-primo.hosted.exlibrisgroup.com/primo-explore/search?tab=default_tab&amp;search_scope=EVERYTHING&amp;vid=01CRU&amp;lang=en_US&amp;offset=0&amp;query=any,contains,991003198469702656","Catalog Record")</f>
        <v>Catalog Record</v>
      </c>
      <c r="AV420" s="5" t="str">
        <f>HYPERLINK("http://www.worldcat.org/oclc/723040","WorldCat Record")</f>
        <v>WorldCat Record</v>
      </c>
      <c r="AW420" s="2" t="s">
        <v>5662</v>
      </c>
      <c r="AX420" s="2" t="s">
        <v>5663</v>
      </c>
      <c r="AY420" s="2" t="s">
        <v>5664</v>
      </c>
      <c r="AZ420" s="2" t="s">
        <v>5664</v>
      </c>
      <c r="BA420" s="2" t="s">
        <v>5665</v>
      </c>
      <c r="BB420" s="2" t="s">
        <v>21</v>
      </c>
      <c r="BE420" s="2" t="s">
        <v>5666</v>
      </c>
      <c r="BF420" s="2" t="s">
        <v>5667</v>
      </c>
    </row>
    <row r="421" spans="1:58" ht="39.75" customHeight="1" x14ac:dyDescent="0.25">
      <c r="A421" s="1"/>
      <c r="B421" s="1" t="s">
        <v>0</v>
      </c>
      <c r="C421" s="1" t="s">
        <v>1</v>
      </c>
      <c r="D421" s="1" t="s">
        <v>5668</v>
      </c>
      <c r="E421" s="1" t="s">
        <v>5669</v>
      </c>
      <c r="F421" s="1" t="s">
        <v>5670</v>
      </c>
      <c r="H421" s="2" t="s">
        <v>5</v>
      </c>
      <c r="I421" s="2" t="s">
        <v>6</v>
      </c>
      <c r="J421" s="2" t="s">
        <v>16</v>
      </c>
      <c r="K421" s="2" t="s">
        <v>5</v>
      </c>
      <c r="L421" s="2" t="s">
        <v>7</v>
      </c>
      <c r="M421" s="1" t="s">
        <v>5671</v>
      </c>
      <c r="N421" s="1" t="s">
        <v>5672</v>
      </c>
      <c r="O421" s="2" t="s">
        <v>169</v>
      </c>
      <c r="P421" s="1" t="s">
        <v>229</v>
      </c>
      <c r="Q421" s="2" t="s">
        <v>11</v>
      </c>
      <c r="R421" s="2" t="s">
        <v>76</v>
      </c>
      <c r="T421" s="2" t="s">
        <v>1367</v>
      </c>
      <c r="U421" s="3">
        <v>30</v>
      </c>
      <c r="V421" s="3">
        <v>34</v>
      </c>
      <c r="W421" s="4" t="s">
        <v>5673</v>
      </c>
      <c r="X421" s="4" t="s">
        <v>5673</v>
      </c>
      <c r="Y421" s="4" t="s">
        <v>5598</v>
      </c>
      <c r="Z421" s="4" t="s">
        <v>1936</v>
      </c>
      <c r="AA421" s="3">
        <v>816</v>
      </c>
      <c r="AB421" s="3">
        <v>739</v>
      </c>
      <c r="AC421" s="3">
        <v>807</v>
      </c>
      <c r="AD421" s="3">
        <v>4</v>
      </c>
      <c r="AE421" s="7">
        <v>5</v>
      </c>
      <c r="AF421" s="7">
        <v>33</v>
      </c>
      <c r="AG421" s="7">
        <v>34</v>
      </c>
      <c r="AH421" s="3">
        <v>7</v>
      </c>
      <c r="AI421" s="3">
        <v>7</v>
      </c>
      <c r="AJ421" s="3">
        <v>4</v>
      </c>
      <c r="AK421" s="3">
        <v>4</v>
      </c>
      <c r="AL421" s="3">
        <v>5</v>
      </c>
      <c r="AM421" s="3">
        <v>5</v>
      </c>
      <c r="AN421" s="3">
        <v>2</v>
      </c>
      <c r="AO421" s="3">
        <v>3</v>
      </c>
      <c r="AP421" s="3">
        <v>17</v>
      </c>
      <c r="AQ421" s="3">
        <v>17</v>
      </c>
      <c r="AR421" s="2" t="s">
        <v>5</v>
      </c>
      <c r="AS421" s="2" t="s">
        <v>5</v>
      </c>
      <c r="AU421" s="5" t="str">
        <f>HYPERLINK("https://creighton-primo.hosted.exlibrisgroup.com/primo-explore/search?tab=default_tab&amp;search_scope=EVERYTHING&amp;vid=01CRU&amp;lang=en_US&amp;offset=0&amp;query=any,contains,991001646729702656","Catalog Record")</f>
        <v>Catalog Record</v>
      </c>
      <c r="AV421" s="5" t="str">
        <f>HYPERLINK("http://www.worldcat.org/oclc/22489732","WorldCat Record")</f>
        <v>WorldCat Record</v>
      </c>
      <c r="AW421" s="2" t="s">
        <v>5674</v>
      </c>
      <c r="AX421" s="2" t="s">
        <v>5675</v>
      </c>
      <c r="AY421" s="2" t="s">
        <v>5676</v>
      </c>
      <c r="AZ421" s="2" t="s">
        <v>5676</v>
      </c>
      <c r="BA421" s="2" t="s">
        <v>5677</v>
      </c>
      <c r="BB421" s="2" t="s">
        <v>21</v>
      </c>
      <c r="BD421" s="2" t="s">
        <v>5678</v>
      </c>
      <c r="BE421" s="2" t="s">
        <v>5679</v>
      </c>
      <c r="BF421" s="2" t="s">
        <v>5680</v>
      </c>
    </row>
    <row r="422" spans="1:58" ht="39.75" customHeight="1" x14ac:dyDescent="0.25">
      <c r="A422" s="1"/>
      <c r="B422" s="1" t="s">
        <v>0</v>
      </c>
      <c r="C422" s="1" t="s">
        <v>1</v>
      </c>
      <c r="D422" s="1" t="s">
        <v>5681</v>
      </c>
      <c r="E422" s="1" t="s">
        <v>5682</v>
      </c>
      <c r="F422" s="1" t="s">
        <v>5683</v>
      </c>
      <c r="H422" s="2" t="s">
        <v>5</v>
      </c>
      <c r="I422" s="2" t="s">
        <v>6</v>
      </c>
      <c r="J422" s="2" t="s">
        <v>16</v>
      </c>
      <c r="K422" s="2" t="s">
        <v>5</v>
      </c>
      <c r="L422" s="2" t="s">
        <v>7</v>
      </c>
      <c r="M422" s="1" t="s">
        <v>5684</v>
      </c>
      <c r="N422" s="1" t="s">
        <v>5685</v>
      </c>
      <c r="O422" s="2" t="s">
        <v>169</v>
      </c>
      <c r="Q422" s="2" t="s">
        <v>11</v>
      </c>
      <c r="R422" s="2" t="s">
        <v>903</v>
      </c>
      <c r="T422" s="2" t="s">
        <v>1367</v>
      </c>
      <c r="U422" s="3">
        <v>30</v>
      </c>
      <c r="V422" s="3">
        <v>50</v>
      </c>
      <c r="W422" s="4" t="s">
        <v>5686</v>
      </c>
      <c r="X422" s="4" t="s">
        <v>5687</v>
      </c>
      <c r="Y422" s="4" t="s">
        <v>5688</v>
      </c>
      <c r="Z422" s="4" t="s">
        <v>2551</v>
      </c>
      <c r="AA422" s="3">
        <v>568</v>
      </c>
      <c r="AB422" s="3">
        <v>431</v>
      </c>
      <c r="AC422" s="3">
        <v>436</v>
      </c>
      <c r="AD422" s="3">
        <v>4</v>
      </c>
      <c r="AE422" s="7">
        <v>4</v>
      </c>
      <c r="AF422" s="7">
        <v>35</v>
      </c>
      <c r="AG422" s="7">
        <v>35</v>
      </c>
      <c r="AH422" s="3">
        <v>6</v>
      </c>
      <c r="AI422" s="3">
        <v>6</v>
      </c>
      <c r="AJ422" s="3">
        <v>2</v>
      </c>
      <c r="AK422" s="3">
        <v>2</v>
      </c>
      <c r="AL422" s="3">
        <v>9</v>
      </c>
      <c r="AM422" s="3">
        <v>9</v>
      </c>
      <c r="AN422" s="3">
        <v>2</v>
      </c>
      <c r="AO422" s="3">
        <v>2</v>
      </c>
      <c r="AP422" s="3">
        <v>20</v>
      </c>
      <c r="AQ422" s="3">
        <v>20</v>
      </c>
      <c r="AR422" s="2" t="s">
        <v>5</v>
      </c>
      <c r="AS422" s="2" t="s">
        <v>16</v>
      </c>
      <c r="AT422" s="5" t="str">
        <f>HYPERLINK("http://catalog.hathitrust.org/Record/002463615","HathiTrust Record")</f>
        <v>HathiTrust Record</v>
      </c>
      <c r="AU422" s="5" t="str">
        <f>HYPERLINK("https://creighton-primo.hosted.exlibrisgroup.com/primo-explore/search?tab=default_tab&amp;search_scope=EVERYTHING&amp;vid=01CRU&amp;lang=en_US&amp;offset=0&amp;query=any,contains,991001648199702656","Catalog Record")</f>
        <v>Catalog Record</v>
      </c>
      <c r="AV422" s="5" t="str">
        <f>HYPERLINK("http://www.worldcat.org/oclc/23143910","WorldCat Record")</f>
        <v>WorldCat Record</v>
      </c>
      <c r="AW422" s="2" t="s">
        <v>5689</v>
      </c>
      <c r="AX422" s="2" t="s">
        <v>5690</v>
      </c>
      <c r="AY422" s="2" t="s">
        <v>5691</v>
      </c>
      <c r="AZ422" s="2" t="s">
        <v>5691</v>
      </c>
      <c r="BA422" s="2" t="s">
        <v>5692</v>
      </c>
      <c r="BB422" s="2" t="s">
        <v>21</v>
      </c>
      <c r="BD422" s="2" t="s">
        <v>5693</v>
      </c>
      <c r="BE422" s="2" t="s">
        <v>5694</v>
      </c>
      <c r="BF422" s="2" t="s">
        <v>5695</v>
      </c>
    </row>
    <row r="423" spans="1:58" ht="39.75" customHeight="1" x14ac:dyDescent="0.25">
      <c r="A423" s="1"/>
      <c r="B423" s="1" t="s">
        <v>0</v>
      </c>
      <c r="C423" s="1" t="s">
        <v>1</v>
      </c>
      <c r="D423" s="1" t="s">
        <v>5696</v>
      </c>
      <c r="E423" s="1" t="s">
        <v>5697</v>
      </c>
      <c r="F423" s="1" t="s">
        <v>5698</v>
      </c>
      <c r="H423" s="2" t="s">
        <v>5</v>
      </c>
      <c r="I423" s="2" t="s">
        <v>6</v>
      </c>
      <c r="J423" s="2" t="s">
        <v>5</v>
      </c>
      <c r="K423" s="2" t="s">
        <v>5</v>
      </c>
      <c r="L423" s="2" t="s">
        <v>7</v>
      </c>
      <c r="N423" s="1" t="s">
        <v>5699</v>
      </c>
      <c r="O423" s="2" t="s">
        <v>228</v>
      </c>
      <c r="Q423" s="2" t="s">
        <v>11</v>
      </c>
      <c r="R423" s="2" t="s">
        <v>76</v>
      </c>
      <c r="T423" s="2" t="s">
        <v>1367</v>
      </c>
      <c r="U423" s="3">
        <v>23</v>
      </c>
      <c r="V423" s="3">
        <v>23</v>
      </c>
      <c r="W423" s="4" t="s">
        <v>5686</v>
      </c>
      <c r="X423" s="4" t="s">
        <v>5686</v>
      </c>
      <c r="Y423" s="4" t="s">
        <v>5700</v>
      </c>
      <c r="Z423" s="4" t="s">
        <v>5700</v>
      </c>
      <c r="AA423" s="3">
        <v>333</v>
      </c>
      <c r="AB423" s="3">
        <v>246</v>
      </c>
      <c r="AC423" s="3">
        <v>275</v>
      </c>
      <c r="AD423" s="3">
        <v>3</v>
      </c>
      <c r="AE423" s="7">
        <v>3</v>
      </c>
      <c r="AF423" s="7">
        <v>15</v>
      </c>
      <c r="AG423" s="7">
        <v>17</v>
      </c>
      <c r="AH423" s="3">
        <v>2</v>
      </c>
      <c r="AI423" s="3">
        <v>4</v>
      </c>
      <c r="AJ423" s="3">
        <v>3</v>
      </c>
      <c r="AK423" s="3">
        <v>3</v>
      </c>
      <c r="AL423" s="3">
        <v>2</v>
      </c>
      <c r="AM423" s="3">
        <v>3</v>
      </c>
      <c r="AN423" s="3">
        <v>2</v>
      </c>
      <c r="AO423" s="3">
        <v>2</v>
      </c>
      <c r="AP423" s="3">
        <v>7</v>
      </c>
      <c r="AQ423" s="3">
        <v>7</v>
      </c>
      <c r="AR423" s="2" t="s">
        <v>5</v>
      </c>
      <c r="AS423" s="2" t="s">
        <v>16</v>
      </c>
      <c r="AT423" s="5" t="str">
        <f>HYPERLINK("http://catalog.hathitrust.org/Record/001528319","HathiTrust Record")</f>
        <v>HathiTrust Record</v>
      </c>
      <c r="AU423" s="5" t="str">
        <f>HYPERLINK("https://creighton-primo.hosted.exlibrisgroup.com/primo-explore/search?tab=default_tab&amp;search_scope=EVERYTHING&amp;vid=01CRU&amp;lang=en_US&amp;offset=0&amp;query=any,contains,991001359649702656","Catalog Record")</f>
        <v>Catalog Record</v>
      </c>
      <c r="AV423" s="5" t="str">
        <f>HYPERLINK("http://www.worldcat.org/oclc/18520237","WorldCat Record")</f>
        <v>WorldCat Record</v>
      </c>
      <c r="AW423" s="2" t="s">
        <v>5701</v>
      </c>
      <c r="AX423" s="2" t="s">
        <v>5702</v>
      </c>
      <c r="AY423" s="2" t="s">
        <v>5703</v>
      </c>
      <c r="AZ423" s="2" t="s">
        <v>5703</v>
      </c>
      <c r="BA423" s="2" t="s">
        <v>5704</v>
      </c>
      <c r="BB423" s="2" t="s">
        <v>21</v>
      </c>
      <c r="BD423" s="2" t="s">
        <v>5705</v>
      </c>
      <c r="BE423" s="2" t="s">
        <v>5706</v>
      </c>
      <c r="BF423" s="2" t="s">
        <v>5707</v>
      </c>
    </row>
    <row r="424" spans="1:58" ht="39.75" customHeight="1" x14ac:dyDescent="0.25">
      <c r="A424" s="1"/>
      <c r="B424" s="1" t="s">
        <v>0</v>
      </c>
      <c r="C424" s="1" t="s">
        <v>1</v>
      </c>
      <c r="D424" s="1" t="s">
        <v>5708</v>
      </c>
      <c r="E424" s="1" t="s">
        <v>5709</v>
      </c>
      <c r="F424" s="1" t="s">
        <v>5710</v>
      </c>
      <c r="H424" s="2" t="s">
        <v>5</v>
      </c>
      <c r="I424" s="2" t="s">
        <v>6</v>
      </c>
      <c r="J424" s="2" t="s">
        <v>5</v>
      </c>
      <c r="K424" s="2" t="s">
        <v>5</v>
      </c>
      <c r="L424" s="2" t="s">
        <v>7</v>
      </c>
      <c r="M424" s="1" t="s">
        <v>5711</v>
      </c>
      <c r="N424" s="1" t="s">
        <v>5712</v>
      </c>
      <c r="O424" s="2" t="s">
        <v>713</v>
      </c>
      <c r="Q424" s="2" t="s">
        <v>11</v>
      </c>
      <c r="R424" s="2" t="s">
        <v>501</v>
      </c>
      <c r="T424" s="2" t="s">
        <v>1367</v>
      </c>
      <c r="U424" s="3">
        <v>11</v>
      </c>
      <c r="V424" s="3">
        <v>11</v>
      </c>
      <c r="W424" s="4" t="s">
        <v>5713</v>
      </c>
      <c r="X424" s="4" t="s">
        <v>5713</v>
      </c>
      <c r="Y424" s="4" t="s">
        <v>5714</v>
      </c>
      <c r="Z424" s="4" t="s">
        <v>5714</v>
      </c>
      <c r="AA424" s="3">
        <v>338</v>
      </c>
      <c r="AB424" s="3">
        <v>305</v>
      </c>
      <c r="AC424" s="3">
        <v>501</v>
      </c>
      <c r="AD424" s="3">
        <v>3</v>
      </c>
      <c r="AE424" s="7">
        <v>3</v>
      </c>
      <c r="AF424" s="7">
        <v>22</v>
      </c>
      <c r="AG424" s="7">
        <v>32</v>
      </c>
      <c r="AH424" s="3">
        <v>3</v>
      </c>
      <c r="AI424" s="3">
        <v>5</v>
      </c>
      <c r="AJ424" s="3">
        <v>0</v>
      </c>
      <c r="AK424" s="3">
        <v>4</v>
      </c>
      <c r="AL424" s="3">
        <v>3</v>
      </c>
      <c r="AM424" s="3">
        <v>5</v>
      </c>
      <c r="AN424" s="3">
        <v>1</v>
      </c>
      <c r="AO424" s="3">
        <v>1</v>
      </c>
      <c r="AP424" s="3">
        <v>15</v>
      </c>
      <c r="AQ424" s="3">
        <v>19</v>
      </c>
      <c r="AR424" s="2" t="s">
        <v>5</v>
      </c>
      <c r="AS424" s="2" t="s">
        <v>16</v>
      </c>
      <c r="AT424" s="5" t="str">
        <f>HYPERLINK("http://catalog.hathitrust.org/Record/006750028","HathiTrust Record")</f>
        <v>HathiTrust Record</v>
      </c>
      <c r="AU424" s="5" t="str">
        <f>HYPERLINK("https://creighton-primo.hosted.exlibrisgroup.com/primo-explore/search?tab=default_tab&amp;search_scope=EVERYTHING&amp;vid=01CRU&amp;lang=en_US&amp;offset=0&amp;query=any,contains,991003249399702656","Catalog Record")</f>
        <v>Catalog Record</v>
      </c>
      <c r="AV424" s="5" t="str">
        <f>HYPERLINK("http://www.worldcat.org/oclc/774320","WorldCat Record")</f>
        <v>WorldCat Record</v>
      </c>
      <c r="AW424" s="2" t="s">
        <v>5715</v>
      </c>
      <c r="AX424" s="2" t="s">
        <v>5716</v>
      </c>
      <c r="AY424" s="2" t="s">
        <v>5717</v>
      </c>
      <c r="AZ424" s="2" t="s">
        <v>5717</v>
      </c>
      <c r="BA424" s="2" t="s">
        <v>5718</v>
      </c>
      <c r="BB424" s="2" t="s">
        <v>21</v>
      </c>
      <c r="BE424" s="2" t="s">
        <v>5719</v>
      </c>
      <c r="BF424" s="2" t="s">
        <v>5720</v>
      </c>
    </row>
    <row r="425" spans="1:58" ht="39.75" customHeight="1" x14ac:dyDescent="0.25">
      <c r="A425" s="1"/>
      <c r="B425" s="1" t="s">
        <v>0</v>
      </c>
      <c r="C425" s="1" t="s">
        <v>1</v>
      </c>
      <c r="D425" s="1" t="s">
        <v>5721</v>
      </c>
      <c r="E425" s="1" t="s">
        <v>5722</v>
      </c>
      <c r="F425" s="1" t="s">
        <v>5723</v>
      </c>
      <c r="H425" s="2" t="s">
        <v>5</v>
      </c>
      <c r="I425" s="2" t="s">
        <v>6</v>
      </c>
      <c r="J425" s="2" t="s">
        <v>16</v>
      </c>
      <c r="K425" s="2" t="s">
        <v>5</v>
      </c>
      <c r="L425" s="2" t="s">
        <v>7</v>
      </c>
      <c r="M425" s="1" t="s">
        <v>5724</v>
      </c>
      <c r="N425" s="1" t="s">
        <v>5725</v>
      </c>
      <c r="O425" s="2" t="s">
        <v>1001</v>
      </c>
      <c r="Q425" s="2" t="s">
        <v>11</v>
      </c>
      <c r="R425" s="2" t="s">
        <v>903</v>
      </c>
      <c r="S425" s="1" t="s">
        <v>5726</v>
      </c>
      <c r="T425" s="2" t="s">
        <v>1367</v>
      </c>
      <c r="U425" s="3">
        <v>13</v>
      </c>
      <c r="V425" s="3">
        <v>13</v>
      </c>
      <c r="W425" s="4" t="s">
        <v>5087</v>
      </c>
      <c r="X425" s="4" t="s">
        <v>5087</v>
      </c>
      <c r="Y425" s="4" t="s">
        <v>5141</v>
      </c>
      <c r="Z425" s="4" t="s">
        <v>5141</v>
      </c>
      <c r="AA425" s="3">
        <v>733</v>
      </c>
      <c r="AB425" s="3">
        <v>657</v>
      </c>
      <c r="AC425" s="3">
        <v>670</v>
      </c>
      <c r="AD425" s="3">
        <v>5</v>
      </c>
      <c r="AE425" s="7">
        <v>5</v>
      </c>
      <c r="AF425" s="7">
        <v>37</v>
      </c>
      <c r="AG425" s="7">
        <v>37</v>
      </c>
      <c r="AH425" s="3">
        <v>12</v>
      </c>
      <c r="AI425" s="3">
        <v>12</v>
      </c>
      <c r="AJ425" s="3">
        <v>3</v>
      </c>
      <c r="AK425" s="3">
        <v>3</v>
      </c>
      <c r="AL425" s="3">
        <v>12</v>
      </c>
      <c r="AM425" s="3">
        <v>12</v>
      </c>
      <c r="AN425" s="3">
        <v>2</v>
      </c>
      <c r="AO425" s="3">
        <v>2</v>
      </c>
      <c r="AP425" s="3">
        <v>15</v>
      </c>
      <c r="AQ425" s="3">
        <v>15</v>
      </c>
      <c r="AR425" s="2" t="s">
        <v>5</v>
      </c>
      <c r="AS425" s="2" t="s">
        <v>16</v>
      </c>
      <c r="AT425" s="5" t="str">
        <f>HYPERLINK("http://catalog.hathitrust.org/Record/000225416","HathiTrust Record")</f>
        <v>HathiTrust Record</v>
      </c>
      <c r="AU425" s="5" t="str">
        <f>HYPERLINK("https://creighton-primo.hosted.exlibrisgroup.com/primo-explore/search?tab=default_tab&amp;search_scope=EVERYTHING&amp;vid=01CRU&amp;lang=en_US&amp;offset=0&amp;query=any,contains,991003886559702656","Catalog Record")</f>
        <v>Catalog Record</v>
      </c>
      <c r="AV425" s="5" t="str">
        <f>HYPERLINK("http://www.worldcat.org/oclc/1818890","WorldCat Record")</f>
        <v>WorldCat Record</v>
      </c>
      <c r="AW425" s="2" t="s">
        <v>5727</v>
      </c>
      <c r="AX425" s="2" t="s">
        <v>5728</v>
      </c>
      <c r="AY425" s="2" t="s">
        <v>5729</v>
      </c>
      <c r="AZ425" s="2" t="s">
        <v>5729</v>
      </c>
      <c r="BA425" s="2" t="s">
        <v>5730</v>
      </c>
      <c r="BB425" s="2" t="s">
        <v>21</v>
      </c>
      <c r="BD425" s="2" t="s">
        <v>5731</v>
      </c>
      <c r="BE425" s="2" t="s">
        <v>5732</v>
      </c>
      <c r="BF425" s="2" t="s">
        <v>5733</v>
      </c>
    </row>
    <row r="426" spans="1:58" ht="39.75" customHeight="1" x14ac:dyDescent="0.25">
      <c r="A426" s="1"/>
      <c r="B426" s="1" t="s">
        <v>0</v>
      </c>
      <c r="C426" s="1" t="s">
        <v>1</v>
      </c>
      <c r="D426" s="1" t="s">
        <v>5734</v>
      </c>
      <c r="E426" s="1" t="s">
        <v>5735</v>
      </c>
      <c r="F426" s="1" t="s">
        <v>5736</v>
      </c>
      <c r="H426" s="2" t="s">
        <v>5</v>
      </c>
      <c r="I426" s="2" t="s">
        <v>6</v>
      </c>
      <c r="J426" s="2" t="s">
        <v>5</v>
      </c>
      <c r="K426" s="2" t="s">
        <v>5</v>
      </c>
      <c r="L426" s="2" t="s">
        <v>7</v>
      </c>
      <c r="M426" s="1" t="s">
        <v>5737</v>
      </c>
      <c r="N426" s="1" t="s">
        <v>5738</v>
      </c>
      <c r="O426" s="2" t="s">
        <v>213</v>
      </c>
      <c r="Q426" s="2" t="s">
        <v>11</v>
      </c>
      <c r="R426" s="2" t="s">
        <v>244</v>
      </c>
      <c r="T426" s="2" t="s">
        <v>1367</v>
      </c>
      <c r="U426" s="3">
        <v>15</v>
      </c>
      <c r="V426" s="3">
        <v>15</v>
      </c>
      <c r="W426" s="4" t="s">
        <v>5087</v>
      </c>
      <c r="X426" s="4" t="s">
        <v>5087</v>
      </c>
      <c r="Y426" s="4" t="s">
        <v>5739</v>
      </c>
      <c r="Z426" s="4" t="s">
        <v>5739</v>
      </c>
      <c r="AA426" s="3">
        <v>635</v>
      </c>
      <c r="AB426" s="3">
        <v>583</v>
      </c>
      <c r="AC426" s="3">
        <v>588</v>
      </c>
      <c r="AD426" s="3">
        <v>4</v>
      </c>
      <c r="AE426" s="7">
        <v>4</v>
      </c>
      <c r="AF426" s="7">
        <v>36</v>
      </c>
      <c r="AG426" s="7">
        <v>36</v>
      </c>
      <c r="AH426" s="3">
        <v>8</v>
      </c>
      <c r="AI426" s="3">
        <v>8</v>
      </c>
      <c r="AJ426" s="3">
        <v>6</v>
      </c>
      <c r="AK426" s="3">
        <v>6</v>
      </c>
      <c r="AL426" s="3">
        <v>9</v>
      </c>
      <c r="AM426" s="3">
        <v>9</v>
      </c>
      <c r="AN426" s="3">
        <v>3</v>
      </c>
      <c r="AO426" s="3">
        <v>3</v>
      </c>
      <c r="AP426" s="3">
        <v>16</v>
      </c>
      <c r="AQ426" s="3">
        <v>16</v>
      </c>
      <c r="AR426" s="2" t="s">
        <v>5</v>
      </c>
      <c r="AS426" s="2" t="s">
        <v>5</v>
      </c>
      <c r="AU426" s="5" t="str">
        <f>HYPERLINK("https://creighton-primo.hosted.exlibrisgroup.com/primo-explore/search?tab=default_tab&amp;search_scope=EVERYTHING&amp;vid=01CRU&amp;lang=en_US&amp;offset=0&amp;query=any,contains,991004138719702656","Catalog Record")</f>
        <v>Catalog Record</v>
      </c>
      <c r="AV426" s="5" t="str">
        <f>HYPERLINK("http://www.worldcat.org/oclc/2493349","WorldCat Record")</f>
        <v>WorldCat Record</v>
      </c>
      <c r="AW426" s="2" t="s">
        <v>5740</v>
      </c>
      <c r="AX426" s="2" t="s">
        <v>5741</v>
      </c>
      <c r="AY426" s="2" t="s">
        <v>5742</v>
      </c>
      <c r="AZ426" s="2" t="s">
        <v>5742</v>
      </c>
      <c r="BA426" s="2" t="s">
        <v>5743</v>
      </c>
      <c r="BB426" s="2" t="s">
        <v>21</v>
      </c>
      <c r="BD426" s="2" t="s">
        <v>5744</v>
      </c>
      <c r="BE426" s="2" t="s">
        <v>5745</v>
      </c>
      <c r="BF426" s="2" t="s">
        <v>5746</v>
      </c>
    </row>
    <row r="427" spans="1:58" ht="39.75" customHeight="1" x14ac:dyDescent="0.25">
      <c r="A427" s="1"/>
      <c r="B427" s="1" t="s">
        <v>0</v>
      </c>
      <c r="C427" s="1" t="s">
        <v>1</v>
      </c>
      <c r="D427" s="1" t="s">
        <v>5747</v>
      </c>
      <c r="E427" s="1" t="s">
        <v>5748</v>
      </c>
      <c r="F427" s="1" t="s">
        <v>5749</v>
      </c>
      <c r="H427" s="2" t="s">
        <v>5</v>
      </c>
      <c r="I427" s="2" t="s">
        <v>6</v>
      </c>
      <c r="J427" s="2" t="s">
        <v>16</v>
      </c>
      <c r="K427" s="2" t="s">
        <v>5</v>
      </c>
      <c r="L427" s="2" t="s">
        <v>7</v>
      </c>
      <c r="M427" s="1" t="s">
        <v>5750</v>
      </c>
      <c r="N427" s="1" t="s">
        <v>5751</v>
      </c>
      <c r="O427" s="2" t="s">
        <v>1396</v>
      </c>
      <c r="Q427" s="2" t="s">
        <v>11</v>
      </c>
      <c r="R427" s="2" t="s">
        <v>501</v>
      </c>
      <c r="T427" s="2" t="s">
        <v>1367</v>
      </c>
      <c r="U427" s="3">
        <v>4</v>
      </c>
      <c r="V427" s="3">
        <v>6</v>
      </c>
      <c r="W427" s="4" t="s">
        <v>5752</v>
      </c>
      <c r="X427" s="4" t="s">
        <v>5753</v>
      </c>
      <c r="Y427" s="4" t="s">
        <v>5754</v>
      </c>
      <c r="Z427" s="4" t="s">
        <v>5754</v>
      </c>
      <c r="AA427" s="3">
        <v>579</v>
      </c>
      <c r="AB427" s="3">
        <v>531</v>
      </c>
      <c r="AC427" s="3">
        <v>531</v>
      </c>
      <c r="AD427" s="3">
        <v>5</v>
      </c>
      <c r="AE427" s="7">
        <v>5</v>
      </c>
      <c r="AF427" s="7">
        <v>32</v>
      </c>
      <c r="AG427" s="7">
        <v>32</v>
      </c>
      <c r="AH427" s="3">
        <v>3</v>
      </c>
      <c r="AI427" s="3">
        <v>3</v>
      </c>
      <c r="AJ427" s="3">
        <v>5</v>
      </c>
      <c r="AK427" s="3">
        <v>5</v>
      </c>
      <c r="AL427" s="3">
        <v>9</v>
      </c>
      <c r="AM427" s="3">
        <v>9</v>
      </c>
      <c r="AN427" s="3">
        <v>2</v>
      </c>
      <c r="AO427" s="3">
        <v>2</v>
      </c>
      <c r="AP427" s="3">
        <v>18</v>
      </c>
      <c r="AQ427" s="3">
        <v>18</v>
      </c>
      <c r="AR427" s="2" t="s">
        <v>5</v>
      </c>
      <c r="AS427" s="2" t="s">
        <v>5</v>
      </c>
      <c r="AU427" s="5" t="str">
        <f>HYPERLINK("https://creighton-primo.hosted.exlibrisgroup.com/primo-explore/search?tab=default_tab&amp;search_scope=EVERYTHING&amp;vid=01CRU&amp;lang=en_US&amp;offset=0&amp;query=any,contains,991001677579702656","Catalog Record")</f>
        <v>Catalog Record</v>
      </c>
      <c r="AV427" s="5" t="str">
        <f>HYPERLINK("http://www.worldcat.org/oclc/38430738","WorldCat Record")</f>
        <v>WorldCat Record</v>
      </c>
      <c r="AW427" s="2" t="s">
        <v>5755</v>
      </c>
      <c r="AX427" s="2" t="s">
        <v>5756</v>
      </c>
      <c r="AY427" s="2" t="s">
        <v>5757</v>
      </c>
      <c r="AZ427" s="2" t="s">
        <v>5757</v>
      </c>
      <c r="BA427" s="2" t="s">
        <v>5758</v>
      </c>
      <c r="BB427" s="2" t="s">
        <v>21</v>
      </c>
      <c r="BD427" s="2" t="s">
        <v>5759</v>
      </c>
      <c r="BE427" s="2" t="s">
        <v>5760</v>
      </c>
      <c r="BF427" s="2" t="s">
        <v>5761</v>
      </c>
    </row>
    <row r="428" spans="1:58" ht="39.75" customHeight="1" x14ac:dyDescent="0.25">
      <c r="A428" s="1"/>
      <c r="B428" s="1" t="s">
        <v>0</v>
      </c>
      <c r="C428" s="1" t="s">
        <v>1</v>
      </c>
      <c r="D428" s="1" t="s">
        <v>5762</v>
      </c>
      <c r="E428" s="1" t="s">
        <v>5763</v>
      </c>
      <c r="F428" s="1" t="s">
        <v>5764</v>
      </c>
      <c r="H428" s="2" t="s">
        <v>5</v>
      </c>
      <c r="I428" s="2" t="s">
        <v>6</v>
      </c>
      <c r="J428" s="2" t="s">
        <v>5</v>
      </c>
      <c r="K428" s="2" t="s">
        <v>5</v>
      </c>
      <c r="L428" s="2" t="s">
        <v>7</v>
      </c>
      <c r="M428" s="1" t="s">
        <v>5765</v>
      </c>
      <c r="N428" s="1" t="s">
        <v>5766</v>
      </c>
      <c r="O428" s="2" t="s">
        <v>275</v>
      </c>
      <c r="Q428" s="2" t="s">
        <v>11</v>
      </c>
      <c r="R428" s="2" t="s">
        <v>244</v>
      </c>
      <c r="T428" s="2" t="s">
        <v>1367</v>
      </c>
      <c r="U428" s="3">
        <v>5</v>
      </c>
      <c r="V428" s="3">
        <v>5</v>
      </c>
      <c r="W428" s="4" t="s">
        <v>5767</v>
      </c>
      <c r="X428" s="4" t="s">
        <v>5767</v>
      </c>
      <c r="Y428" s="4" t="s">
        <v>5141</v>
      </c>
      <c r="Z428" s="4" t="s">
        <v>5141</v>
      </c>
      <c r="AA428" s="3">
        <v>523</v>
      </c>
      <c r="AB428" s="3">
        <v>463</v>
      </c>
      <c r="AC428" s="3">
        <v>469</v>
      </c>
      <c r="AD428" s="3">
        <v>2</v>
      </c>
      <c r="AE428" s="7">
        <v>2</v>
      </c>
      <c r="AF428" s="7">
        <v>26</v>
      </c>
      <c r="AG428" s="7">
        <v>26</v>
      </c>
      <c r="AH428" s="3">
        <v>6</v>
      </c>
      <c r="AI428" s="3">
        <v>6</v>
      </c>
      <c r="AJ428" s="3">
        <v>3</v>
      </c>
      <c r="AK428" s="3">
        <v>3</v>
      </c>
      <c r="AL428" s="3">
        <v>10</v>
      </c>
      <c r="AM428" s="3">
        <v>10</v>
      </c>
      <c r="AN428" s="3">
        <v>1</v>
      </c>
      <c r="AO428" s="3">
        <v>1</v>
      </c>
      <c r="AP428" s="3">
        <v>10</v>
      </c>
      <c r="AQ428" s="3">
        <v>10</v>
      </c>
      <c r="AR428" s="2" t="s">
        <v>5</v>
      </c>
      <c r="AS428" s="2" t="s">
        <v>16</v>
      </c>
      <c r="AT428" s="5" t="str">
        <f>HYPERLINK("http://catalog.hathitrust.org/Record/000715305","HathiTrust Record")</f>
        <v>HathiTrust Record</v>
      </c>
      <c r="AU428" s="5" t="str">
        <f>HYPERLINK("https://creighton-primo.hosted.exlibrisgroup.com/primo-explore/search?tab=default_tab&amp;search_scope=EVERYTHING&amp;vid=01CRU&amp;lang=en_US&amp;offset=0&amp;query=any,contains,991004654999702656","Catalog Record")</f>
        <v>Catalog Record</v>
      </c>
      <c r="AV428" s="5" t="str">
        <f>HYPERLINK("http://www.worldcat.org/oclc/4495047","WorldCat Record")</f>
        <v>WorldCat Record</v>
      </c>
      <c r="AW428" s="2" t="s">
        <v>5768</v>
      </c>
      <c r="AX428" s="2" t="s">
        <v>5769</v>
      </c>
      <c r="AY428" s="2" t="s">
        <v>5770</v>
      </c>
      <c r="AZ428" s="2" t="s">
        <v>5770</v>
      </c>
      <c r="BA428" s="2" t="s">
        <v>5771</v>
      </c>
      <c r="BB428" s="2" t="s">
        <v>21</v>
      </c>
      <c r="BD428" s="2" t="s">
        <v>5772</v>
      </c>
      <c r="BE428" s="2" t="s">
        <v>5773</v>
      </c>
      <c r="BF428" s="2" t="s">
        <v>5774</v>
      </c>
    </row>
    <row r="429" spans="1:58" ht="39.75" customHeight="1" x14ac:dyDescent="0.25">
      <c r="A429" s="1"/>
      <c r="B429" s="1" t="s">
        <v>0</v>
      </c>
      <c r="C429" s="1" t="s">
        <v>1</v>
      </c>
      <c r="D429" s="1" t="s">
        <v>5775</v>
      </c>
      <c r="E429" s="1" t="s">
        <v>5776</v>
      </c>
      <c r="F429" s="1" t="s">
        <v>5777</v>
      </c>
      <c r="H429" s="2" t="s">
        <v>5</v>
      </c>
      <c r="I429" s="2" t="s">
        <v>6</v>
      </c>
      <c r="J429" s="2" t="s">
        <v>5</v>
      </c>
      <c r="K429" s="2" t="s">
        <v>5</v>
      </c>
      <c r="L429" s="2" t="s">
        <v>7</v>
      </c>
      <c r="M429" s="1" t="s">
        <v>5778</v>
      </c>
      <c r="N429" s="1" t="s">
        <v>5779</v>
      </c>
      <c r="O429" s="2" t="s">
        <v>107</v>
      </c>
      <c r="Q429" s="2" t="s">
        <v>11</v>
      </c>
      <c r="R429" s="2" t="s">
        <v>76</v>
      </c>
      <c r="T429" s="2" t="s">
        <v>5780</v>
      </c>
      <c r="U429" s="3">
        <v>1</v>
      </c>
      <c r="V429" s="3">
        <v>1</v>
      </c>
      <c r="W429" s="4" t="s">
        <v>5376</v>
      </c>
      <c r="X429" s="4" t="s">
        <v>5376</v>
      </c>
      <c r="Y429" s="4" t="s">
        <v>1073</v>
      </c>
      <c r="Z429" s="4" t="s">
        <v>1073</v>
      </c>
      <c r="AA429" s="3">
        <v>359</v>
      </c>
      <c r="AB429" s="3">
        <v>322</v>
      </c>
      <c r="AC429" s="3">
        <v>323</v>
      </c>
      <c r="AD429" s="3">
        <v>5</v>
      </c>
      <c r="AE429" s="7">
        <v>5</v>
      </c>
      <c r="AF429" s="7">
        <v>16</v>
      </c>
      <c r="AG429" s="7">
        <v>16</v>
      </c>
      <c r="AH429" s="3">
        <v>4</v>
      </c>
      <c r="AI429" s="3">
        <v>4</v>
      </c>
      <c r="AJ429" s="3">
        <v>1</v>
      </c>
      <c r="AK429" s="3">
        <v>1</v>
      </c>
      <c r="AL429" s="3">
        <v>5</v>
      </c>
      <c r="AM429" s="3">
        <v>5</v>
      </c>
      <c r="AN429" s="3">
        <v>4</v>
      </c>
      <c r="AO429" s="3">
        <v>4</v>
      </c>
      <c r="AP429" s="3">
        <v>4</v>
      </c>
      <c r="AQ429" s="3">
        <v>4</v>
      </c>
      <c r="AR429" s="2" t="s">
        <v>5</v>
      </c>
      <c r="AS429" s="2" t="s">
        <v>5</v>
      </c>
      <c r="AU429" s="5" t="str">
        <f>HYPERLINK("https://creighton-primo.hosted.exlibrisgroup.com/primo-explore/search?tab=default_tab&amp;search_scope=EVERYTHING&amp;vid=01CRU&amp;lang=en_US&amp;offset=0&amp;query=any,contains,991000187989702656","Catalog Record")</f>
        <v>Catalog Record</v>
      </c>
      <c r="AV429" s="5" t="str">
        <f>HYPERLINK("http://www.worldcat.org/oclc/62958","WorldCat Record")</f>
        <v>WorldCat Record</v>
      </c>
      <c r="AW429" s="2" t="s">
        <v>5781</v>
      </c>
      <c r="AX429" s="2" t="s">
        <v>5782</v>
      </c>
      <c r="AY429" s="2" t="s">
        <v>5783</v>
      </c>
      <c r="AZ429" s="2" t="s">
        <v>5783</v>
      </c>
      <c r="BA429" s="2" t="s">
        <v>5784</v>
      </c>
      <c r="BB429" s="2" t="s">
        <v>21</v>
      </c>
      <c r="BE429" s="2" t="s">
        <v>5785</v>
      </c>
      <c r="BF429" s="2" t="s">
        <v>5786</v>
      </c>
    </row>
    <row r="430" spans="1:58" ht="39.75" customHeight="1" x14ac:dyDescent="0.25">
      <c r="A430" s="1"/>
      <c r="B430" s="1" t="s">
        <v>0</v>
      </c>
      <c r="C430" s="1" t="s">
        <v>1</v>
      </c>
      <c r="D430" s="1" t="s">
        <v>5787</v>
      </c>
      <c r="E430" s="1" t="s">
        <v>5788</v>
      </c>
      <c r="F430" s="1" t="s">
        <v>5789</v>
      </c>
      <c r="H430" s="2" t="s">
        <v>5</v>
      </c>
      <c r="I430" s="2" t="s">
        <v>6</v>
      </c>
      <c r="J430" s="2" t="s">
        <v>16</v>
      </c>
      <c r="K430" s="2" t="s">
        <v>5</v>
      </c>
      <c r="L430" s="2" t="s">
        <v>7</v>
      </c>
      <c r="M430" s="1" t="s">
        <v>5790</v>
      </c>
      <c r="N430" s="1" t="s">
        <v>5791</v>
      </c>
      <c r="O430" s="2" t="s">
        <v>629</v>
      </c>
      <c r="Q430" s="2" t="s">
        <v>11</v>
      </c>
      <c r="R430" s="2" t="s">
        <v>501</v>
      </c>
      <c r="S430" s="1" t="s">
        <v>5792</v>
      </c>
      <c r="T430" s="2" t="s">
        <v>5793</v>
      </c>
      <c r="U430" s="3">
        <v>6</v>
      </c>
      <c r="V430" s="3">
        <v>7</v>
      </c>
      <c r="W430" s="4" t="s">
        <v>1550</v>
      </c>
      <c r="X430" s="4" t="s">
        <v>1550</v>
      </c>
      <c r="Y430" s="4" t="s">
        <v>5141</v>
      </c>
      <c r="Z430" s="4" t="s">
        <v>5794</v>
      </c>
      <c r="AA430" s="3">
        <v>514</v>
      </c>
      <c r="AB430" s="3">
        <v>475</v>
      </c>
      <c r="AC430" s="3">
        <v>480</v>
      </c>
      <c r="AD430" s="3">
        <v>4</v>
      </c>
      <c r="AE430" s="7">
        <v>4</v>
      </c>
      <c r="AF430" s="7">
        <v>31</v>
      </c>
      <c r="AG430" s="7">
        <v>31</v>
      </c>
      <c r="AH430" s="3">
        <v>4</v>
      </c>
      <c r="AI430" s="3">
        <v>4</v>
      </c>
      <c r="AJ430" s="3">
        <v>6</v>
      </c>
      <c r="AK430" s="3">
        <v>6</v>
      </c>
      <c r="AL430" s="3">
        <v>7</v>
      </c>
      <c r="AM430" s="3">
        <v>7</v>
      </c>
      <c r="AN430" s="3">
        <v>2</v>
      </c>
      <c r="AO430" s="3">
        <v>2</v>
      </c>
      <c r="AP430" s="3">
        <v>17</v>
      </c>
      <c r="AQ430" s="3">
        <v>17</v>
      </c>
      <c r="AR430" s="2" t="s">
        <v>5</v>
      </c>
      <c r="AS430" s="2" t="s">
        <v>5</v>
      </c>
      <c r="AU430" s="5" t="str">
        <f>HYPERLINK("https://creighton-primo.hosted.exlibrisgroup.com/primo-explore/search?tab=default_tab&amp;search_scope=EVERYTHING&amp;vid=01CRU&amp;lang=en_US&amp;offset=0&amp;query=any,contains,991001635719702656","Catalog Record")</f>
        <v>Catalog Record</v>
      </c>
      <c r="AV430" s="5" t="str">
        <f>HYPERLINK("http://www.worldcat.org/oclc/15224497","WorldCat Record")</f>
        <v>WorldCat Record</v>
      </c>
      <c r="AW430" s="2" t="s">
        <v>5795</v>
      </c>
      <c r="AX430" s="2" t="s">
        <v>5796</v>
      </c>
      <c r="AY430" s="2" t="s">
        <v>5797</v>
      </c>
      <c r="AZ430" s="2" t="s">
        <v>5797</v>
      </c>
      <c r="BA430" s="2" t="s">
        <v>5798</v>
      </c>
      <c r="BB430" s="2" t="s">
        <v>21</v>
      </c>
      <c r="BD430" s="2" t="s">
        <v>5799</v>
      </c>
      <c r="BE430" s="2" t="s">
        <v>5800</v>
      </c>
      <c r="BF430" s="2" t="s">
        <v>5801</v>
      </c>
    </row>
    <row r="431" spans="1:58" ht="39.75" customHeight="1" x14ac:dyDescent="0.25">
      <c r="A431" s="1"/>
      <c r="B431" s="1" t="s">
        <v>0</v>
      </c>
      <c r="C431" s="1" t="s">
        <v>1</v>
      </c>
      <c r="D431" s="1" t="s">
        <v>5802</v>
      </c>
      <c r="E431" s="1" t="s">
        <v>5803</v>
      </c>
      <c r="F431" s="1" t="s">
        <v>5804</v>
      </c>
      <c r="H431" s="2" t="s">
        <v>5</v>
      </c>
      <c r="I431" s="2" t="s">
        <v>6</v>
      </c>
      <c r="J431" s="2" t="s">
        <v>5</v>
      </c>
      <c r="K431" s="2" t="s">
        <v>5</v>
      </c>
      <c r="L431" s="2" t="s">
        <v>7</v>
      </c>
      <c r="M431" s="1" t="s">
        <v>5805</v>
      </c>
      <c r="N431" s="1" t="s">
        <v>515</v>
      </c>
      <c r="O431" s="2" t="s">
        <v>516</v>
      </c>
      <c r="Q431" s="2" t="s">
        <v>11</v>
      </c>
      <c r="R431" s="2" t="s">
        <v>244</v>
      </c>
      <c r="T431" s="2" t="s">
        <v>5806</v>
      </c>
      <c r="U431" s="3">
        <v>4</v>
      </c>
      <c r="V431" s="3">
        <v>4</v>
      </c>
      <c r="W431" s="4" t="s">
        <v>1536</v>
      </c>
      <c r="X431" s="4" t="s">
        <v>1536</v>
      </c>
      <c r="Y431" s="4" t="s">
        <v>5807</v>
      </c>
      <c r="Z431" s="4" t="s">
        <v>5807</v>
      </c>
      <c r="AA431" s="3">
        <v>918</v>
      </c>
      <c r="AB431" s="3">
        <v>866</v>
      </c>
      <c r="AC431" s="3">
        <v>871</v>
      </c>
      <c r="AD431" s="3">
        <v>5</v>
      </c>
      <c r="AE431" s="7">
        <v>5</v>
      </c>
      <c r="AF431" s="7">
        <v>42</v>
      </c>
      <c r="AG431" s="7">
        <v>42</v>
      </c>
      <c r="AH431" s="3">
        <v>13</v>
      </c>
      <c r="AI431" s="3">
        <v>13</v>
      </c>
      <c r="AJ431" s="3">
        <v>7</v>
      </c>
      <c r="AK431" s="3">
        <v>7</v>
      </c>
      <c r="AL431" s="3">
        <v>17</v>
      </c>
      <c r="AM431" s="3">
        <v>17</v>
      </c>
      <c r="AN431" s="3">
        <v>4</v>
      </c>
      <c r="AO431" s="3">
        <v>4</v>
      </c>
      <c r="AP431" s="3">
        <v>10</v>
      </c>
      <c r="AQ431" s="3">
        <v>10</v>
      </c>
      <c r="AR431" s="2" t="s">
        <v>5</v>
      </c>
      <c r="AS431" s="2" t="s">
        <v>16</v>
      </c>
      <c r="AT431" s="5" t="str">
        <f>HYPERLINK("http://catalog.hathitrust.org/Record/001134669","HathiTrust Record")</f>
        <v>HathiTrust Record</v>
      </c>
      <c r="AU431" s="5" t="str">
        <f>HYPERLINK("https://creighton-primo.hosted.exlibrisgroup.com/primo-explore/search?tab=default_tab&amp;search_scope=EVERYTHING&amp;vid=01CRU&amp;lang=en_US&amp;offset=0&amp;query=any,contains,991002723209702656","Catalog Record")</f>
        <v>Catalog Record</v>
      </c>
      <c r="AV431" s="5" t="str">
        <f>HYPERLINK("http://www.worldcat.org/oclc/413349","WorldCat Record")</f>
        <v>WorldCat Record</v>
      </c>
      <c r="AW431" s="2" t="s">
        <v>5808</v>
      </c>
      <c r="AX431" s="2" t="s">
        <v>5809</v>
      </c>
      <c r="AY431" s="2" t="s">
        <v>5810</v>
      </c>
      <c r="AZ431" s="2" t="s">
        <v>5810</v>
      </c>
      <c r="BA431" s="2" t="s">
        <v>5811</v>
      </c>
      <c r="BB431" s="2" t="s">
        <v>21</v>
      </c>
      <c r="BE431" s="2" t="s">
        <v>5812</v>
      </c>
      <c r="BF431" s="2" t="s">
        <v>5813</v>
      </c>
    </row>
    <row r="432" spans="1:58" ht="39.75" customHeight="1" x14ac:dyDescent="0.25">
      <c r="A432" s="1"/>
      <c r="B432" s="1" t="s">
        <v>0</v>
      </c>
      <c r="C432" s="1" t="s">
        <v>1</v>
      </c>
      <c r="D432" s="1" t="s">
        <v>5814</v>
      </c>
      <c r="E432" s="1" t="s">
        <v>5815</v>
      </c>
      <c r="F432" s="1" t="s">
        <v>5816</v>
      </c>
      <c r="H432" s="2" t="s">
        <v>5</v>
      </c>
      <c r="I432" s="2" t="s">
        <v>6</v>
      </c>
      <c r="J432" s="2" t="s">
        <v>16</v>
      </c>
      <c r="K432" s="2" t="s">
        <v>5</v>
      </c>
      <c r="L432" s="2" t="s">
        <v>7</v>
      </c>
      <c r="M432" s="1" t="s">
        <v>5817</v>
      </c>
      <c r="N432" s="1" t="s">
        <v>5818</v>
      </c>
      <c r="O432" s="2" t="s">
        <v>275</v>
      </c>
      <c r="Q432" s="2" t="s">
        <v>11</v>
      </c>
      <c r="R432" s="2" t="s">
        <v>543</v>
      </c>
      <c r="S432" s="1" t="s">
        <v>5819</v>
      </c>
      <c r="T432" s="2" t="s">
        <v>5806</v>
      </c>
      <c r="U432" s="3">
        <v>5</v>
      </c>
      <c r="V432" s="3">
        <v>6</v>
      </c>
      <c r="W432" s="4" t="s">
        <v>1536</v>
      </c>
      <c r="X432" s="4" t="s">
        <v>1536</v>
      </c>
      <c r="Y432" s="4" t="s">
        <v>5141</v>
      </c>
      <c r="Z432" s="4" t="s">
        <v>5820</v>
      </c>
      <c r="AA432" s="3">
        <v>811</v>
      </c>
      <c r="AB432" s="3">
        <v>721</v>
      </c>
      <c r="AC432" s="3">
        <v>1313</v>
      </c>
      <c r="AD432" s="3">
        <v>4</v>
      </c>
      <c r="AE432" s="7">
        <v>32</v>
      </c>
      <c r="AF432" s="7">
        <v>43</v>
      </c>
      <c r="AG432" s="7">
        <v>70</v>
      </c>
      <c r="AH432" s="3">
        <v>10</v>
      </c>
      <c r="AI432" s="3">
        <v>17</v>
      </c>
      <c r="AJ432" s="3">
        <v>7</v>
      </c>
      <c r="AK432" s="3">
        <v>11</v>
      </c>
      <c r="AL432" s="3">
        <v>14</v>
      </c>
      <c r="AM432" s="3">
        <v>19</v>
      </c>
      <c r="AN432" s="3">
        <v>2</v>
      </c>
      <c r="AO432" s="3">
        <v>14</v>
      </c>
      <c r="AP432" s="3">
        <v>18</v>
      </c>
      <c r="AQ432" s="3">
        <v>20</v>
      </c>
      <c r="AR432" s="2" t="s">
        <v>5</v>
      </c>
      <c r="AS432" s="2" t="s">
        <v>16</v>
      </c>
      <c r="AT432" s="5" t="str">
        <f>HYPERLINK("http://catalog.hathitrust.org/Record/000255615","HathiTrust Record")</f>
        <v>HathiTrust Record</v>
      </c>
      <c r="AU432" s="5" t="str">
        <f>HYPERLINK("https://creighton-primo.hosted.exlibrisgroup.com/primo-explore/search?tab=default_tab&amp;search_scope=EVERYTHING&amp;vid=01CRU&amp;lang=en_US&amp;offset=0&amp;query=any,contains,991001793369702656","Catalog Record")</f>
        <v>Catalog Record</v>
      </c>
      <c r="AV432" s="5" t="str">
        <f>HYPERLINK("http://www.worldcat.org/oclc/4492771","WorldCat Record")</f>
        <v>WorldCat Record</v>
      </c>
      <c r="AW432" s="2" t="s">
        <v>5821</v>
      </c>
      <c r="AX432" s="2" t="s">
        <v>5822</v>
      </c>
      <c r="AY432" s="2" t="s">
        <v>5823</v>
      </c>
      <c r="AZ432" s="2" t="s">
        <v>5823</v>
      </c>
      <c r="BA432" s="2" t="s">
        <v>5824</v>
      </c>
      <c r="BB432" s="2" t="s">
        <v>21</v>
      </c>
      <c r="BD432" s="2" t="s">
        <v>5825</v>
      </c>
      <c r="BE432" s="2" t="s">
        <v>5826</v>
      </c>
      <c r="BF432" s="2" t="s">
        <v>5827</v>
      </c>
    </row>
    <row r="433" spans="1:58" ht="39.75" customHeight="1" x14ac:dyDescent="0.25">
      <c r="A433" s="1"/>
      <c r="B433" s="1" t="s">
        <v>0</v>
      </c>
      <c r="C433" s="1" t="s">
        <v>1</v>
      </c>
      <c r="D433" s="1" t="s">
        <v>5828</v>
      </c>
      <c r="E433" s="1" t="s">
        <v>5829</v>
      </c>
      <c r="F433" s="1" t="s">
        <v>5830</v>
      </c>
      <c r="G433" s="2" t="s">
        <v>330</v>
      </c>
      <c r="H433" s="2" t="s">
        <v>16</v>
      </c>
      <c r="I433" s="2" t="s">
        <v>6</v>
      </c>
      <c r="J433" s="2" t="s">
        <v>16</v>
      </c>
      <c r="K433" s="2" t="s">
        <v>5</v>
      </c>
      <c r="L433" s="2" t="s">
        <v>7</v>
      </c>
      <c r="N433" s="1" t="s">
        <v>5831</v>
      </c>
      <c r="O433" s="2" t="s">
        <v>1001</v>
      </c>
      <c r="Q433" s="2" t="s">
        <v>11</v>
      </c>
      <c r="R433" s="2" t="s">
        <v>1977</v>
      </c>
      <c r="T433" s="2" t="s">
        <v>5832</v>
      </c>
      <c r="U433" s="3">
        <v>6</v>
      </c>
      <c r="V433" s="3">
        <v>11</v>
      </c>
      <c r="W433" s="4" t="s">
        <v>3014</v>
      </c>
      <c r="X433" s="4" t="s">
        <v>3014</v>
      </c>
      <c r="Y433" s="4" t="s">
        <v>4460</v>
      </c>
      <c r="Z433" s="4" t="s">
        <v>5833</v>
      </c>
      <c r="AA433" s="3">
        <v>466</v>
      </c>
      <c r="AB433" s="3">
        <v>446</v>
      </c>
      <c r="AC433" s="3">
        <v>450</v>
      </c>
      <c r="AD433" s="3">
        <v>4</v>
      </c>
      <c r="AE433" s="7">
        <v>4</v>
      </c>
      <c r="AF433" s="7">
        <v>37</v>
      </c>
      <c r="AG433" s="7">
        <v>37</v>
      </c>
      <c r="AH433" s="3">
        <v>9</v>
      </c>
      <c r="AI433" s="3">
        <v>9</v>
      </c>
      <c r="AJ433" s="3">
        <v>5</v>
      </c>
      <c r="AK433" s="3">
        <v>5</v>
      </c>
      <c r="AL433" s="3">
        <v>11</v>
      </c>
      <c r="AM433" s="3">
        <v>11</v>
      </c>
      <c r="AN433" s="3">
        <v>1</v>
      </c>
      <c r="AO433" s="3">
        <v>1</v>
      </c>
      <c r="AP433" s="3">
        <v>18</v>
      </c>
      <c r="AQ433" s="3">
        <v>18</v>
      </c>
      <c r="AR433" s="2" t="s">
        <v>5</v>
      </c>
      <c r="AS433" s="2" t="s">
        <v>5</v>
      </c>
      <c r="AU433" s="5" t="str">
        <f>HYPERLINK("https://creighton-primo.hosted.exlibrisgroup.com/primo-explore/search?tab=default_tab&amp;search_scope=EVERYTHING&amp;vid=01CRU&amp;lang=en_US&amp;offset=0&amp;query=any,contains,991001761109702656","Catalog Record")</f>
        <v>Catalog Record</v>
      </c>
      <c r="AV433" s="5" t="str">
        <f>HYPERLINK("http://www.worldcat.org/oclc/52721676","WorldCat Record")</f>
        <v>WorldCat Record</v>
      </c>
      <c r="AW433" s="2" t="s">
        <v>5834</v>
      </c>
      <c r="AX433" s="2" t="s">
        <v>5835</v>
      </c>
      <c r="AY433" s="2" t="s">
        <v>5836</v>
      </c>
      <c r="AZ433" s="2" t="s">
        <v>5836</v>
      </c>
      <c r="BA433" s="2" t="s">
        <v>5837</v>
      </c>
      <c r="BB433" s="2" t="s">
        <v>21</v>
      </c>
      <c r="BD433" s="2" t="s">
        <v>5838</v>
      </c>
      <c r="BE433" s="2" t="s">
        <v>5839</v>
      </c>
      <c r="BF433" s="2" t="s">
        <v>5840</v>
      </c>
    </row>
    <row r="434" spans="1:58" ht="39.75" customHeight="1" x14ac:dyDescent="0.25">
      <c r="A434" s="1"/>
      <c r="B434" s="1" t="s">
        <v>0</v>
      </c>
      <c r="C434" s="1" t="s">
        <v>1</v>
      </c>
      <c r="D434" s="1" t="s">
        <v>5828</v>
      </c>
      <c r="E434" s="1" t="s">
        <v>5829</v>
      </c>
      <c r="F434" s="1" t="s">
        <v>5830</v>
      </c>
      <c r="G434" s="2" t="s">
        <v>333</v>
      </c>
      <c r="H434" s="2" t="s">
        <v>16</v>
      </c>
      <c r="I434" s="2" t="s">
        <v>6</v>
      </c>
      <c r="J434" s="2" t="s">
        <v>16</v>
      </c>
      <c r="K434" s="2" t="s">
        <v>5</v>
      </c>
      <c r="L434" s="2" t="s">
        <v>7</v>
      </c>
      <c r="N434" s="1" t="s">
        <v>5831</v>
      </c>
      <c r="O434" s="2" t="s">
        <v>1001</v>
      </c>
      <c r="Q434" s="2" t="s">
        <v>11</v>
      </c>
      <c r="R434" s="2" t="s">
        <v>1977</v>
      </c>
      <c r="T434" s="2" t="s">
        <v>5832</v>
      </c>
      <c r="U434" s="3">
        <v>5</v>
      </c>
      <c r="V434" s="3">
        <v>11</v>
      </c>
      <c r="W434" s="4" t="s">
        <v>5841</v>
      </c>
      <c r="X434" s="4" t="s">
        <v>3014</v>
      </c>
      <c r="Y434" s="4" t="s">
        <v>5842</v>
      </c>
      <c r="Z434" s="4" t="s">
        <v>5833</v>
      </c>
      <c r="AA434" s="3">
        <v>466</v>
      </c>
      <c r="AB434" s="3">
        <v>446</v>
      </c>
      <c r="AC434" s="3">
        <v>450</v>
      </c>
      <c r="AD434" s="3">
        <v>4</v>
      </c>
      <c r="AE434" s="7">
        <v>4</v>
      </c>
      <c r="AF434" s="7">
        <v>37</v>
      </c>
      <c r="AG434" s="7">
        <v>37</v>
      </c>
      <c r="AH434" s="3">
        <v>9</v>
      </c>
      <c r="AI434" s="3">
        <v>9</v>
      </c>
      <c r="AJ434" s="3">
        <v>5</v>
      </c>
      <c r="AK434" s="3">
        <v>5</v>
      </c>
      <c r="AL434" s="3">
        <v>11</v>
      </c>
      <c r="AM434" s="3">
        <v>11</v>
      </c>
      <c r="AN434" s="3">
        <v>1</v>
      </c>
      <c r="AO434" s="3">
        <v>1</v>
      </c>
      <c r="AP434" s="3">
        <v>18</v>
      </c>
      <c r="AQ434" s="3">
        <v>18</v>
      </c>
      <c r="AR434" s="2" t="s">
        <v>5</v>
      </c>
      <c r="AS434" s="2" t="s">
        <v>5</v>
      </c>
      <c r="AU434" s="5" t="str">
        <f>HYPERLINK("https://creighton-primo.hosted.exlibrisgroup.com/primo-explore/search?tab=default_tab&amp;search_scope=EVERYTHING&amp;vid=01CRU&amp;lang=en_US&amp;offset=0&amp;query=any,contains,991001761109702656","Catalog Record")</f>
        <v>Catalog Record</v>
      </c>
      <c r="AV434" s="5" t="str">
        <f>HYPERLINK("http://www.worldcat.org/oclc/52721676","WorldCat Record")</f>
        <v>WorldCat Record</v>
      </c>
      <c r="AW434" s="2" t="s">
        <v>5834</v>
      </c>
      <c r="AX434" s="2" t="s">
        <v>5835</v>
      </c>
      <c r="AY434" s="2" t="s">
        <v>5836</v>
      </c>
      <c r="AZ434" s="2" t="s">
        <v>5836</v>
      </c>
      <c r="BA434" s="2" t="s">
        <v>5837</v>
      </c>
      <c r="BB434" s="2" t="s">
        <v>21</v>
      </c>
      <c r="BD434" s="2" t="s">
        <v>5838</v>
      </c>
      <c r="BE434" s="2" t="s">
        <v>5843</v>
      </c>
      <c r="BF434" s="2" t="s">
        <v>5844</v>
      </c>
    </row>
    <row r="435" spans="1:58" ht="39.75" customHeight="1" x14ac:dyDescent="0.25">
      <c r="A435" s="1"/>
      <c r="B435" s="1" t="s">
        <v>0</v>
      </c>
      <c r="C435" s="1" t="s">
        <v>1</v>
      </c>
      <c r="D435" s="1" t="s">
        <v>5845</v>
      </c>
      <c r="E435" s="1" t="s">
        <v>5846</v>
      </c>
      <c r="F435" s="1" t="s">
        <v>5847</v>
      </c>
      <c r="H435" s="2" t="s">
        <v>5</v>
      </c>
      <c r="I435" s="2" t="s">
        <v>6</v>
      </c>
      <c r="J435" s="2" t="s">
        <v>16</v>
      </c>
      <c r="K435" s="2" t="s">
        <v>5</v>
      </c>
      <c r="L435" s="2" t="s">
        <v>7</v>
      </c>
      <c r="M435" s="1" t="s">
        <v>5848</v>
      </c>
      <c r="N435" s="1" t="s">
        <v>5849</v>
      </c>
      <c r="O435" s="2" t="s">
        <v>836</v>
      </c>
      <c r="Q435" s="2" t="s">
        <v>11</v>
      </c>
      <c r="R435" s="2" t="s">
        <v>138</v>
      </c>
      <c r="T435" s="2" t="s">
        <v>5850</v>
      </c>
      <c r="U435" s="3">
        <v>4</v>
      </c>
      <c r="V435" s="3">
        <v>5</v>
      </c>
      <c r="W435" s="4" t="s">
        <v>2177</v>
      </c>
      <c r="X435" s="4" t="s">
        <v>2177</v>
      </c>
      <c r="Y435" s="4" t="s">
        <v>15</v>
      </c>
      <c r="Z435" s="4" t="s">
        <v>15</v>
      </c>
      <c r="AA435" s="3">
        <v>380</v>
      </c>
      <c r="AB435" s="3">
        <v>217</v>
      </c>
      <c r="AC435" s="3">
        <v>218</v>
      </c>
      <c r="AD435" s="3">
        <v>3</v>
      </c>
      <c r="AE435" s="7">
        <v>3</v>
      </c>
      <c r="AF435" s="7">
        <v>18</v>
      </c>
      <c r="AG435" s="7">
        <v>18</v>
      </c>
      <c r="AH435" s="3">
        <v>0</v>
      </c>
      <c r="AI435" s="3">
        <v>0</v>
      </c>
      <c r="AJ435" s="3">
        <v>1</v>
      </c>
      <c r="AK435" s="3">
        <v>1</v>
      </c>
      <c r="AL435" s="3">
        <v>3</v>
      </c>
      <c r="AM435" s="3">
        <v>3</v>
      </c>
      <c r="AN435" s="3">
        <v>1</v>
      </c>
      <c r="AO435" s="3">
        <v>1</v>
      </c>
      <c r="AP435" s="3">
        <v>13</v>
      </c>
      <c r="AQ435" s="3">
        <v>13</v>
      </c>
      <c r="AR435" s="2" t="s">
        <v>5</v>
      </c>
      <c r="AS435" s="2" t="s">
        <v>16</v>
      </c>
      <c r="AT435" s="5" t="str">
        <f>HYPERLINK("http://catalog.hathitrust.org/Record/102023251","HathiTrust Record")</f>
        <v>HathiTrust Record</v>
      </c>
      <c r="AU435" s="5" t="str">
        <f>HYPERLINK("https://creighton-primo.hosted.exlibrisgroup.com/primo-explore/search?tab=default_tab&amp;search_scope=EVERYTHING&amp;vid=01CRU&amp;lang=en_US&amp;offset=0&amp;query=any,contains,991001759629702656","Catalog Record")</f>
        <v>Catalog Record</v>
      </c>
      <c r="AV435" s="5" t="str">
        <f>HYPERLINK("http://www.worldcat.org/oclc/2284098","WorldCat Record")</f>
        <v>WorldCat Record</v>
      </c>
      <c r="AW435" s="2" t="s">
        <v>5851</v>
      </c>
      <c r="AX435" s="2" t="s">
        <v>5852</v>
      </c>
      <c r="AY435" s="2" t="s">
        <v>5853</v>
      </c>
      <c r="AZ435" s="2" t="s">
        <v>5853</v>
      </c>
      <c r="BA435" s="2" t="s">
        <v>5854</v>
      </c>
      <c r="BB435" s="2" t="s">
        <v>21</v>
      </c>
      <c r="BD435" s="2" t="s">
        <v>5855</v>
      </c>
      <c r="BE435" s="2" t="s">
        <v>5856</v>
      </c>
      <c r="BF435" s="2" t="s">
        <v>5857</v>
      </c>
    </row>
    <row r="436" spans="1:58" ht="39.75" customHeight="1" x14ac:dyDescent="0.25">
      <c r="A436" s="1"/>
      <c r="B436" s="1" t="s">
        <v>0</v>
      </c>
      <c r="C436" s="1" t="s">
        <v>1</v>
      </c>
      <c r="D436" s="1" t="s">
        <v>5858</v>
      </c>
      <c r="E436" s="1" t="s">
        <v>5859</v>
      </c>
      <c r="F436" s="1" t="s">
        <v>5860</v>
      </c>
      <c r="H436" s="2" t="s">
        <v>5</v>
      </c>
      <c r="I436" s="2" t="s">
        <v>6</v>
      </c>
      <c r="J436" s="2" t="s">
        <v>5</v>
      </c>
      <c r="K436" s="2" t="s">
        <v>5</v>
      </c>
      <c r="L436" s="2" t="s">
        <v>7</v>
      </c>
      <c r="N436" s="1" t="s">
        <v>5861</v>
      </c>
      <c r="O436" s="2" t="s">
        <v>530</v>
      </c>
      <c r="Q436" s="2" t="s">
        <v>11</v>
      </c>
      <c r="R436" s="2" t="s">
        <v>138</v>
      </c>
      <c r="S436" s="1" t="s">
        <v>5862</v>
      </c>
      <c r="T436" s="2" t="s">
        <v>5850</v>
      </c>
      <c r="U436" s="3">
        <v>2</v>
      </c>
      <c r="V436" s="3">
        <v>2</v>
      </c>
      <c r="W436" s="4" t="s">
        <v>5863</v>
      </c>
      <c r="X436" s="4" t="s">
        <v>5863</v>
      </c>
      <c r="Y436" s="4" t="s">
        <v>5864</v>
      </c>
      <c r="Z436" s="4" t="s">
        <v>5864</v>
      </c>
      <c r="AA436" s="3">
        <v>231</v>
      </c>
      <c r="AB436" s="3">
        <v>137</v>
      </c>
      <c r="AC436" s="3">
        <v>139</v>
      </c>
      <c r="AD436" s="3">
        <v>2</v>
      </c>
      <c r="AE436" s="7">
        <v>2</v>
      </c>
      <c r="AF436" s="7">
        <v>8</v>
      </c>
      <c r="AG436" s="7">
        <v>8</v>
      </c>
      <c r="AH436" s="3">
        <v>0</v>
      </c>
      <c r="AI436" s="3">
        <v>0</v>
      </c>
      <c r="AJ436" s="3">
        <v>3</v>
      </c>
      <c r="AK436" s="3">
        <v>3</v>
      </c>
      <c r="AL436" s="3">
        <v>5</v>
      </c>
      <c r="AM436" s="3">
        <v>5</v>
      </c>
      <c r="AN436" s="3">
        <v>1</v>
      </c>
      <c r="AO436" s="3">
        <v>1</v>
      </c>
      <c r="AP436" s="3">
        <v>0</v>
      </c>
      <c r="AQ436" s="3">
        <v>0</v>
      </c>
      <c r="AR436" s="2" t="s">
        <v>5</v>
      </c>
      <c r="AS436" s="2" t="s">
        <v>16</v>
      </c>
      <c r="AT436" s="5" t="str">
        <f>HYPERLINK("http://catalog.hathitrust.org/Record/000827450","HathiTrust Record")</f>
        <v>HathiTrust Record</v>
      </c>
      <c r="AU436" s="5" t="str">
        <f>HYPERLINK("https://creighton-primo.hosted.exlibrisgroup.com/primo-explore/search?tab=default_tab&amp;search_scope=EVERYTHING&amp;vid=01CRU&amp;lang=en_US&amp;offset=0&amp;query=any,contains,991000929919702656","Catalog Record")</f>
        <v>Catalog Record</v>
      </c>
      <c r="AV436" s="5" t="str">
        <f>HYPERLINK("http://www.worldcat.org/oclc/14258081","WorldCat Record")</f>
        <v>WorldCat Record</v>
      </c>
      <c r="AW436" s="2" t="s">
        <v>5865</v>
      </c>
      <c r="AX436" s="2" t="s">
        <v>5866</v>
      </c>
      <c r="AY436" s="2" t="s">
        <v>5867</v>
      </c>
      <c r="AZ436" s="2" t="s">
        <v>5867</v>
      </c>
      <c r="BA436" s="2" t="s">
        <v>5868</v>
      </c>
      <c r="BB436" s="2" t="s">
        <v>21</v>
      </c>
      <c r="BD436" s="2" t="s">
        <v>5869</v>
      </c>
      <c r="BE436" s="2" t="s">
        <v>5870</v>
      </c>
      <c r="BF436" s="2" t="s">
        <v>5871</v>
      </c>
    </row>
    <row r="437" spans="1:58" ht="39.75" customHeight="1" x14ac:dyDescent="0.25">
      <c r="A437" s="1"/>
      <c r="B437" s="1" t="s">
        <v>0</v>
      </c>
      <c r="C437" s="1" t="s">
        <v>1</v>
      </c>
      <c r="D437" s="1" t="s">
        <v>5872</v>
      </c>
      <c r="E437" s="1" t="s">
        <v>5873</v>
      </c>
      <c r="F437" s="1" t="s">
        <v>5874</v>
      </c>
      <c r="H437" s="2" t="s">
        <v>5</v>
      </c>
      <c r="I437" s="2" t="s">
        <v>6</v>
      </c>
      <c r="J437" s="2" t="s">
        <v>5</v>
      </c>
      <c r="K437" s="2" t="s">
        <v>5</v>
      </c>
      <c r="L437" s="2" t="s">
        <v>7</v>
      </c>
      <c r="M437" s="1" t="s">
        <v>5875</v>
      </c>
      <c r="N437" s="1" t="s">
        <v>5876</v>
      </c>
      <c r="O437" s="2" t="s">
        <v>259</v>
      </c>
      <c r="Q437" s="2" t="s">
        <v>11</v>
      </c>
      <c r="R437" s="2" t="s">
        <v>30</v>
      </c>
      <c r="S437" s="1" t="s">
        <v>5877</v>
      </c>
      <c r="T437" s="2" t="s">
        <v>5850</v>
      </c>
      <c r="U437" s="3">
        <v>3</v>
      </c>
      <c r="V437" s="3">
        <v>3</v>
      </c>
      <c r="W437" s="4" t="s">
        <v>5878</v>
      </c>
      <c r="X437" s="4" t="s">
        <v>5878</v>
      </c>
      <c r="Y437" s="4" t="s">
        <v>5879</v>
      </c>
      <c r="Z437" s="4" t="s">
        <v>5879</v>
      </c>
      <c r="AA437" s="3">
        <v>207</v>
      </c>
      <c r="AB437" s="3">
        <v>129</v>
      </c>
      <c r="AC437" s="3">
        <v>136</v>
      </c>
      <c r="AD437" s="3">
        <v>1</v>
      </c>
      <c r="AE437" s="7">
        <v>1</v>
      </c>
      <c r="AF437" s="7">
        <v>6</v>
      </c>
      <c r="AG437" s="7">
        <v>6</v>
      </c>
      <c r="AH437" s="3">
        <v>1</v>
      </c>
      <c r="AI437" s="3">
        <v>1</v>
      </c>
      <c r="AJ437" s="3">
        <v>1</v>
      </c>
      <c r="AK437" s="3">
        <v>1</v>
      </c>
      <c r="AL437" s="3">
        <v>4</v>
      </c>
      <c r="AM437" s="3">
        <v>4</v>
      </c>
      <c r="AN437" s="3">
        <v>0</v>
      </c>
      <c r="AO437" s="3">
        <v>0</v>
      </c>
      <c r="AP437" s="3">
        <v>2</v>
      </c>
      <c r="AQ437" s="3">
        <v>2</v>
      </c>
      <c r="AR437" s="2" t="s">
        <v>5</v>
      </c>
      <c r="AS437" s="2" t="s">
        <v>16</v>
      </c>
      <c r="AT437" s="5" t="str">
        <f>HYPERLINK("http://catalog.hathitrust.org/Record/001536051","HathiTrust Record")</f>
        <v>HathiTrust Record</v>
      </c>
      <c r="AU437" s="5" t="str">
        <f>HYPERLINK("https://creighton-primo.hosted.exlibrisgroup.com/primo-explore/search?tab=default_tab&amp;search_scope=EVERYTHING&amp;vid=01CRU&amp;lang=en_US&amp;offset=0&amp;query=any,contains,991001935099702656","Catalog Record")</f>
        <v>Catalog Record</v>
      </c>
      <c r="AV437" s="5" t="str">
        <f>HYPERLINK("http://www.worldcat.org/oclc/24432058","WorldCat Record")</f>
        <v>WorldCat Record</v>
      </c>
      <c r="AW437" s="2" t="s">
        <v>5880</v>
      </c>
      <c r="AX437" s="2" t="s">
        <v>5881</v>
      </c>
      <c r="AY437" s="2" t="s">
        <v>5882</v>
      </c>
      <c r="AZ437" s="2" t="s">
        <v>5882</v>
      </c>
      <c r="BA437" s="2" t="s">
        <v>5883</v>
      </c>
      <c r="BB437" s="2" t="s">
        <v>21</v>
      </c>
      <c r="BD437" s="2" t="s">
        <v>5884</v>
      </c>
      <c r="BE437" s="2" t="s">
        <v>5885</v>
      </c>
      <c r="BF437" s="2" t="s">
        <v>5886</v>
      </c>
    </row>
    <row r="438" spans="1:58" ht="39.75" customHeight="1" x14ac:dyDescent="0.25">
      <c r="A438" s="1"/>
      <c r="B438" s="1" t="s">
        <v>0</v>
      </c>
      <c r="C438" s="1" t="s">
        <v>1</v>
      </c>
      <c r="D438" s="1" t="s">
        <v>5887</v>
      </c>
      <c r="E438" s="1" t="s">
        <v>5888</v>
      </c>
      <c r="F438" s="1" t="s">
        <v>5889</v>
      </c>
      <c r="H438" s="2" t="s">
        <v>5</v>
      </c>
      <c r="I438" s="2" t="s">
        <v>6</v>
      </c>
      <c r="J438" s="2" t="s">
        <v>5</v>
      </c>
      <c r="K438" s="2" t="s">
        <v>5</v>
      </c>
      <c r="L438" s="2" t="s">
        <v>7</v>
      </c>
      <c r="M438" s="1" t="s">
        <v>5890</v>
      </c>
      <c r="N438" s="1" t="s">
        <v>5891</v>
      </c>
      <c r="O438" s="2" t="s">
        <v>107</v>
      </c>
      <c r="Q438" s="2" t="s">
        <v>11</v>
      </c>
      <c r="R438" s="2" t="s">
        <v>30</v>
      </c>
      <c r="T438" s="2" t="s">
        <v>5850</v>
      </c>
      <c r="U438" s="3">
        <v>5</v>
      </c>
      <c r="V438" s="3">
        <v>5</v>
      </c>
      <c r="W438" s="4" t="s">
        <v>5892</v>
      </c>
      <c r="X438" s="4" t="s">
        <v>5892</v>
      </c>
      <c r="Y438" s="4" t="s">
        <v>5893</v>
      </c>
      <c r="Z438" s="4" t="s">
        <v>5893</v>
      </c>
      <c r="AA438" s="3">
        <v>744</v>
      </c>
      <c r="AB438" s="3">
        <v>574</v>
      </c>
      <c r="AC438" s="3">
        <v>582</v>
      </c>
      <c r="AD438" s="3">
        <v>5</v>
      </c>
      <c r="AE438" s="7">
        <v>5</v>
      </c>
      <c r="AF438" s="7">
        <v>31</v>
      </c>
      <c r="AG438" s="7">
        <v>31</v>
      </c>
      <c r="AH438" s="3">
        <v>8</v>
      </c>
      <c r="AI438" s="3">
        <v>8</v>
      </c>
      <c r="AJ438" s="3">
        <v>5</v>
      </c>
      <c r="AK438" s="3">
        <v>5</v>
      </c>
      <c r="AL438" s="3">
        <v>12</v>
      </c>
      <c r="AM438" s="3">
        <v>12</v>
      </c>
      <c r="AN438" s="3">
        <v>4</v>
      </c>
      <c r="AO438" s="3">
        <v>4</v>
      </c>
      <c r="AP438" s="3">
        <v>8</v>
      </c>
      <c r="AQ438" s="3">
        <v>8</v>
      </c>
      <c r="AR438" s="2" t="s">
        <v>5</v>
      </c>
      <c r="AS438" s="2" t="s">
        <v>16</v>
      </c>
      <c r="AT438" s="5" t="str">
        <f>HYPERLINK("http://catalog.hathitrust.org/Record/001278379","HathiTrust Record")</f>
        <v>HathiTrust Record</v>
      </c>
      <c r="AU438" s="5" t="str">
        <f>HYPERLINK("https://creighton-primo.hosted.exlibrisgroup.com/primo-explore/search?tab=default_tab&amp;search_scope=EVERYTHING&amp;vid=01CRU&amp;lang=en_US&amp;offset=0&amp;query=any,contains,991000891529702656","Catalog Record")</f>
        <v>Catalog Record</v>
      </c>
      <c r="AV438" s="5" t="str">
        <f>HYPERLINK("http://www.worldcat.org/oclc/154280","WorldCat Record")</f>
        <v>WorldCat Record</v>
      </c>
      <c r="AW438" s="2" t="s">
        <v>5894</v>
      </c>
      <c r="AX438" s="2" t="s">
        <v>5895</v>
      </c>
      <c r="AY438" s="2" t="s">
        <v>5896</v>
      </c>
      <c r="AZ438" s="2" t="s">
        <v>5896</v>
      </c>
      <c r="BA438" s="2" t="s">
        <v>5897</v>
      </c>
      <c r="BB438" s="2" t="s">
        <v>21</v>
      </c>
      <c r="BD438" s="2" t="s">
        <v>5898</v>
      </c>
      <c r="BE438" s="2" t="s">
        <v>5899</v>
      </c>
      <c r="BF438" s="2" t="s">
        <v>5900</v>
      </c>
    </row>
    <row r="439" spans="1:58" ht="39.75" customHeight="1" x14ac:dyDescent="0.25">
      <c r="A439" s="1"/>
      <c r="B439" s="1" t="s">
        <v>0</v>
      </c>
      <c r="C439" s="1" t="s">
        <v>1</v>
      </c>
      <c r="D439" s="1" t="s">
        <v>5901</v>
      </c>
      <c r="E439" s="1" t="s">
        <v>5902</v>
      </c>
      <c r="F439" s="1" t="s">
        <v>5903</v>
      </c>
      <c r="H439" s="2" t="s">
        <v>5</v>
      </c>
      <c r="I439" s="2" t="s">
        <v>6</v>
      </c>
      <c r="J439" s="2" t="s">
        <v>5</v>
      </c>
      <c r="K439" s="2" t="s">
        <v>5</v>
      </c>
      <c r="L439" s="2" t="s">
        <v>7</v>
      </c>
      <c r="M439" s="1" t="s">
        <v>5904</v>
      </c>
      <c r="N439" s="1" t="s">
        <v>5905</v>
      </c>
      <c r="O439" s="2" t="s">
        <v>1184</v>
      </c>
      <c r="Q439" s="2" t="s">
        <v>11</v>
      </c>
      <c r="R439" s="2" t="s">
        <v>76</v>
      </c>
      <c r="T439" s="2" t="s">
        <v>5850</v>
      </c>
      <c r="U439" s="3">
        <v>4</v>
      </c>
      <c r="V439" s="3">
        <v>4</v>
      </c>
      <c r="W439" s="4" t="s">
        <v>4978</v>
      </c>
      <c r="X439" s="4" t="s">
        <v>4978</v>
      </c>
      <c r="Y439" s="4" t="s">
        <v>5906</v>
      </c>
      <c r="Z439" s="4" t="s">
        <v>5906</v>
      </c>
      <c r="AA439" s="3">
        <v>257</v>
      </c>
      <c r="AB439" s="3">
        <v>220</v>
      </c>
      <c r="AC439" s="3">
        <v>719</v>
      </c>
      <c r="AD439" s="3">
        <v>2</v>
      </c>
      <c r="AE439" s="7">
        <v>7</v>
      </c>
      <c r="AF439" s="7">
        <v>15</v>
      </c>
      <c r="AG439" s="7">
        <v>44</v>
      </c>
      <c r="AH439" s="3">
        <v>2</v>
      </c>
      <c r="AI439" s="3">
        <v>11</v>
      </c>
      <c r="AJ439" s="3">
        <v>3</v>
      </c>
      <c r="AK439" s="3">
        <v>7</v>
      </c>
      <c r="AL439" s="3">
        <v>4</v>
      </c>
      <c r="AM439" s="3">
        <v>13</v>
      </c>
      <c r="AN439" s="3">
        <v>1</v>
      </c>
      <c r="AO439" s="3">
        <v>4</v>
      </c>
      <c r="AP439" s="3">
        <v>6</v>
      </c>
      <c r="AQ439" s="3">
        <v>15</v>
      </c>
      <c r="AR439" s="2" t="s">
        <v>5</v>
      </c>
      <c r="AS439" s="2" t="s">
        <v>16</v>
      </c>
      <c r="AT439" s="5" t="str">
        <f>HYPERLINK("http://catalog.hathitrust.org/Record/102090863","HathiTrust Record")</f>
        <v>HathiTrust Record</v>
      </c>
      <c r="AU439" s="5" t="str">
        <f>HYPERLINK("https://creighton-primo.hosted.exlibrisgroup.com/primo-explore/search?tab=default_tab&amp;search_scope=EVERYTHING&amp;vid=01CRU&amp;lang=en_US&amp;offset=0&amp;query=any,contains,991000131599702656","Catalog Record")</f>
        <v>Catalog Record</v>
      </c>
      <c r="AV439" s="5" t="str">
        <f>HYPERLINK("http://www.worldcat.org/oclc/54375","WorldCat Record")</f>
        <v>WorldCat Record</v>
      </c>
      <c r="AW439" s="2" t="s">
        <v>5907</v>
      </c>
      <c r="AX439" s="2" t="s">
        <v>5908</v>
      </c>
      <c r="AY439" s="2" t="s">
        <v>5909</v>
      </c>
      <c r="AZ439" s="2" t="s">
        <v>5909</v>
      </c>
      <c r="BA439" s="2" t="s">
        <v>5910</v>
      </c>
      <c r="BB439" s="2" t="s">
        <v>21</v>
      </c>
      <c r="BE439" s="2" t="s">
        <v>5911</v>
      </c>
      <c r="BF439" s="2" t="s">
        <v>5912</v>
      </c>
    </row>
    <row r="440" spans="1:58" ht="39.75" customHeight="1" x14ac:dyDescent="0.25">
      <c r="A440" s="1"/>
      <c r="B440" s="1" t="s">
        <v>0</v>
      </c>
      <c r="C440" s="1" t="s">
        <v>1</v>
      </c>
      <c r="D440" s="1" t="s">
        <v>5913</v>
      </c>
      <c r="E440" s="1" t="s">
        <v>5914</v>
      </c>
      <c r="F440" s="1" t="s">
        <v>5915</v>
      </c>
      <c r="H440" s="2" t="s">
        <v>5</v>
      </c>
      <c r="I440" s="2" t="s">
        <v>6</v>
      </c>
      <c r="J440" s="2" t="s">
        <v>5</v>
      </c>
      <c r="K440" s="2" t="s">
        <v>5</v>
      </c>
      <c r="L440" s="2" t="s">
        <v>7</v>
      </c>
      <c r="M440" s="1" t="s">
        <v>5916</v>
      </c>
      <c r="N440" s="1" t="s">
        <v>5917</v>
      </c>
      <c r="O440" s="2" t="s">
        <v>1396</v>
      </c>
      <c r="Q440" s="2" t="s">
        <v>11</v>
      </c>
      <c r="R440" s="2" t="s">
        <v>30</v>
      </c>
      <c r="T440" s="2" t="s">
        <v>5850</v>
      </c>
      <c r="U440" s="3">
        <v>3</v>
      </c>
      <c r="V440" s="3">
        <v>3</v>
      </c>
      <c r="W440" s="4" t="s">
        <v>4487</v>
      </c>
      <c r="X440" s="4" t="s">
        <v>4487</v>
      </c>
      <c r="Y440" s="4" t="s">
        <v>5918</v>
      </c>
      <c r="Z440" s="4" t="s">
        <v>5918</v>
      </c>
      <c r="AA440" s="3">
        <v>375</v>
      </c>
      <c r="AB440" s="3">
        <v>260</v>
      </c>
      <c r="AC440" s="3">
        <v>264</v>
      </c>
      <c r="AD440" s="3">
        <v>3</v>
      </c>
      <c r="AE440" s="7">
        <v>3</v>
      </c>
      <c r="AF440" s="7">
        <v>20</v>
      </c>
      <c r="AG440" s="7">
        <v>20</v>
      </c>
      <c r="AH440" s="3">
        <v>5</v>
      </c>
      <c r="AI440" s="3">
        <v>5</v>
      </c>
      <c r="AJ440" s="3">
        <v>3</v>
      </c>
      <c r="AK440" s="3">
        <v>3</v>
      </c>
      <c r="AL440" s="3">
        <v>10</v>
      </c>
      <c r="AM440" s="3">
        <v>10</v>
      </c>
      <c r="AN440" s="3">
        <v>2</v>
      </c>
      <c r="AO440" s="3">
        <v>2</v>
      </c>
      <c r="AP440" s="3">
        <v>5</v>
      </c>
      <c r="AQ440" s="3">
        <v>5</v>
      </c>
      <c r="AR440" s="2" t="s">
        <v>5</v>
      </c>
      <c r="AS440" s="2" t="s">
        <v>5</v>
      </c>
      <c r="AU440" s="5" t="str">
        <f>HYPERLINK("https://creighton-primo.hosted.exlibrisgroup.com/primo-explore/search?tab=default_tab&amp;search_scope=EVERYTHING&amp;vid=01CRU&amp;lang=en_US&amp;offset=0&amp;query=any,contains,991002887589702656","Catalog Record")</f>
        <v>Catalog Record</v>
      </c>
      <c r="AV440" s="5" t="str">
        <f>HYPERLINK("http://www.worldcat.org/oclc/38048679","WorldCat Record")</f>
        <v>WorldCat Record</v>
      </c>
      <c r="AW440" s="2" t="s">
        <v>5919</v>
      </c>
      <c r="AX440" s="2" t="s">
        <v>5920</v>
      </c>
      <c r="AY440" s="2" t="s">
        <v>5921</v>
      </c>
      <c r="AZ440" s="2" t="s">
        <v>5921</v>
      </c>
      <c r="BA440" s="2" t="s">
        <v>5922</v>
      </c>
      <c r="BB440" s="2" t="s">
        <v>21</v>
      </c>
      <c r="BD440" s="2" t="s">
        <v>5923</v>
      </c>
      <c r="BE440" s="2" t="s">
        <v>5924</v>
      </c>
      <c r="BF440" s="2" t="s">
        <v>5925</v>
      </c>
    </row>
    <row r="441" spans="1:58" ht="39.75" customHeight="1" x14ac:dyDescent="0.25">
      <c r="A441" s="1"/>
      <c r="B441" s="1" t="s">
        <v>0</v>
      </c>
      <c r="C441" s="1" t="s">
        <v>1</v>
      </c>
      <c r="D441" s="1" t="s">
        <v>5926</v>
      </c>
      <c r="E441" s="1" t="s">
        <v>5927</v>
      </c>
      <c r="F441" s="1" t="s">
        <v>5928</v>
      </c>
      <c r="H441" s="2" t="s">
        <v>5</v>
      </c>
      <c r="I441" s="2" t="s">
        <v>6</v>
      </c>
      <c r="J441" s="2" t="s">
        <v>5</v>
      </c>
      <c r="K441" s="2" t="s">
        <v>5</v>
      </c>
      <c r="L441" s="2" t="s">
        <v>7</v>
      </c>
      <c r="M441" s="1" t="s">
        <v>5929</v>
      </c>
      <c r="N441" s="1" t="s">
        <v>5930</v>
      </c>
      <c r="O441" s="2" t="s">
        <v>291</v>
      </c>
      <c r="Q441" s="2" t="s">
        <v>11</v>
      </c>
      <c r="R441" s="2" t="s">
        <v>30</v>
      </c>
      <c r="T441" s="2" t="s">
        <v>5850</v>
      </c>
      <c r="U441" s="3">
        <v>3</v>
      </c>
      <c r="V441" s="3">
        <v>3</v>
      </c>
      <c r="W441" s="4" t="s">
        <v>3080</v>
      </c>
      <c r="X441" s="4" t="s">
        <v>3080</v>
      </c>
      <c r="Y441" s="4" t="s">
        <v>5931</v>
      </c>
      <c r="Z441" s="4" t="s">
        <v>5931</v>
      </c>
      <c r="AA441" s="3">
        <v>77</v>
      </c>
      <c r="AB441" s="3">
        <v>57</v>
      </c>
      <c r="AC441" s="3">
        <v>342</v>
      </c>
      <c r="AD441" s="3">
        <v>2</v>
      </c>
      <c r="AE441" s="7">
        <v>3</v>
      </c>
      <c r="AF441" s="7">
        <v>2</v>
      </c>
      <c r="AG441" s="7">
        <v>29</v>
      </c>
      <c r="AH441" s="3">
        <v>1</v>
      </c>
      <c r="AI441" s="3">
        <v>8</v>
      </c>
      <c r="AJ441" s="3">
        <v>0</v>
      </c>
      <c r="AK441" s="3">
        <v>7</v>
      </c>
      <c r="AL441" s="3">
        <v>0</v>
      </c>
      <c r="AM441" s="3">
        <v>13</v>
      </c>
      <c r="AN441" s="3">
        <v>1</v>
      </c>
      <c r="AO441" s="3">
        <v>2</v>
      </c>
      <c r="AP441" s="3">
        <v>0</v>
      </c>
      <c r="AQ441" s="3">
        <v>8</v>
      </c>
      <c r="AR441" s="2" t="s">
        <v>5</v>
      </c>
      <c r="AS441" s="2" t="s">
        <v>16</v>
      </c>
      <c r="AT441" s="5" t="str">
        <f>HYPERLINK("http://catalog.hathitrust.org/Record/007050751","HathiTrust Record")</f>
        <v>HathiTrust Record</v>
      </c>
      <c r="AU441" s="5" t="str">
        <f>HYPERLINK("https://creighton-primo.hosted.exlibrisgroup.com/primo-explore/search?tab=default_tab&amp;search_scope=EVERYTHING&amp;vid=01CRU&amp;lang=en_US&amp;offset=0&amp;query=any,contains,991004133879702656","Catalog Record")</f>
        <v>Catalog Record</v>
      </c>
      <c r="AV441" s="5" t="str">
        <f>HYPERLINK("http://www.worldcat.org/oclc/42038700","WorldCat Record")</f>
        <v>WorldCat Record</v>
      </c>
      <c r="AW441" s="2" t="s">
        <v>5932</v>
      </c>
      <c r="AX441" s="2" t="s">
        <v>5933</v>
      </c>
      <c r="AY441" s="2" t="s">
        <v>5934</v>
      </c>
      <c r="AZ441" s="2" t="s">
        <v>5934</v>
      </c>
      <c r="BA441" s="2" t="s">
        <v>5935</v>
      </c>
      <c r="BB441" s="2" t="s">
        <v>21</v>
      </c>
      <c r="BD441" s="2" t="s">
        <v>5936</v>
      </c>
      <c r="BE441" s="2" t="s">
        <v>5937</v>
      </c>
      <c r="BF441" s="2" t="s">
        <v>5938</v>
      </c>
    </row>
    <row r="442" spans="1:58" ht="39.75" customHeight="1" x14ac:dyDescent="0.25">
      <c r="A442" s="1"/>
      <c r="B442" s="1" t="s">
        <v>0</v>
      </c>
      <c r="C442" s="1" t="s">
        <v>1</v>
      </c>
      <c r="D442" s="1" t="s">
        <v>5939</v>
      </c>
      <c r="E442" s="1" t="s">
        <v>5940</v>
      </c>
      <c r="F442" s="1" t="s">
        <v>5941</v>
      </c>
      <c r="H442" s="2" t="s">
        <v>5</v>
      </c>
      <c r="I442" s="2" t="s">
        <v>6</v>
      </c>
      <c r="J442" s="2" t="s">
        <v>5</v>
      </c>
      <c r="K442" s="2" t="s">
        <v>5</v>
      </c>
      <c r="L442" s="2" t="s">
        <v>7</v>
      </c>
      <c r="M442" s="1" t="s">
        <v>5942</v>
      </c>
      <c r="N442" s="1" t="s">
        <v>5943</v>
      </c>
      <c r="O442" s="2" t="s">
        <v>1745</v>
      </c>
      <c r="Q442" s="2" t="s">
        <v>11</v>
      </c>
      <c r="R442" s="2" t="s">
        <v>30</v>
      </c>
      <c r="T442" s="2" t="s">
        <v>5850</v>
      </c>
      <c r="U442" s="3">
        <v>25</v>
      </c>
      <c r="V442" s="3">
        <v>25</v>
      </c>
      <c r="W442" s="4" t="s">
        <v>823</v>
      </c>
      <c r="X442" s="4" t="s">
        <v>823</v>
      </c>
      <c r="Y442" s="4" t="s">
        <v>5944</v>
      </c>
      <c r="Z442" s="4" t="s">
        <v>5944</v>
      </c>
      <c r="AA442" s="3">
        <v>67</v>
      </c>
      <c r="AB442" s="3">
        <v>55</v>
      </c>
      <c r="AC442" s="3">
        <v>639</v>
      </c>
      <c r="AD442" s="3">
        <v>1</v>
      </c>
      <c r="AE442" s="7">
        <v>6</v>
      </c>
      <c r="AF442" s="7">
        <v>4</v>
      </c>
      <c r="AG442" s="7">
        <v>45</v>
      </c>
      <c r="AH442" s="3">
        <v>2</v>
      </c>
      <c r="AI442" s="3">
        <v>16</v>
      </c>
      <c r="AJ442" s="3">
        <v>0</v>
      </c>
      <c r="AK442" s="3">
        <v>10</v>
      </c>
      <c r="AL442" s="3">
        <v>2</v>
      </c>
      <c r="AM442" s="3">
        <v>21</v>
      </c>
      <c r="AN442" s="3">
        <v>0</v>
      </c>
      <c r="AO442" s="3">
        <v>5</v>
      </c>
      <c r="AP442" s="3">
        <v>0</v>
      </c>
      <c r="AQ442" s="3">
        <v>5</v>
      </c>
      <c r="AR442" s="2" t="s">
        <v>5</v>
      </c>
      <c r="AS442" s="2" t="s">
        <v>5</v>
      </c>
      <c r="AU442" s="5" t="str">
        <f>HYPERLINK("https://creighton-primo.hosted.exlibrisgroup.com/primo-explore/search?tab=default_tab&amp;search_scope=EVERYTHING&amp;vid=01CRU&amp;lang=en_US&amp;offset=0&amp;query=any,contains,991005417119702656","Catalog Record")</f>
        <v>Catalog Record</v>
      </c>
      <c r="AV442" s="5" t="str">
        <f>HYPERLINK("http://www.worldcat.org/oclc/28334961","WorldCat Record")</f>
        <v>WorldCat Record</v>
      </c>
      <c r="AW442" s="2" t="s">
        <v>5945</v>
      </c>
      <c r="AX442" s="2" t="s">
        <v>5946</v>
      </c>
      <c r="AY442" s="2" t="s">
        <v>5947</v>
      </c>
      <c r="AZ442" s="2" t="s">
        <v>5947</v>
      </c>
      <c r="BA442" s="2" t="s">
        <v>5948</v>
      </c>
      <c r="BB442" s="2" t="s">
        <v>21</v>
      </c>
      <c r="BD442" s="2" t="s">
        <v>5949</v>
      </c>
      <c r="BE442" s="2" t="s">
        <v>5950</v>
      </c>
      <c r="BF442" s="2" t="s">
        <v>5951</v>
      </c>
    </row>
    <row r="443" spans="1:58" ht="39.75" customHeight="1" x14ac:dyDescent="0.25">
      <c r="A443" s="1"/>
      <c r="B443" s="1" t="s">
        <v>0</v>
      </c>
      <c r="C443" s="1" t="s">
        <v>1</v>
      </c>
      <c r="D443" s="1" t="s">
        <v>5952</v>
      </c>
      <c r="E443" s="1" t="s">
        <v>5953</v>
      </c>
      <c r="F443" s="1" t="s">
        <v>5954</v>
      </c>
      <c r="H443" s="2" t="s">
        <v>5</v>
      </c>
      <c r="I443" s="2" t="s">
        <v>6</v>
      </c>
      <c r="J443" s="2" t="s">
        <v>5</v>
      </c>
      <c r="K443" s="2" t="s">
        <v>5</v>
      </c>
      <c r="L443" s="2" t="s">
        <v>7</v>
      </c>
      <c r="M443" s="1" t="s">
        <v>5955</v>
      </c>
      <c r="N443" s="1" t="s">
        <v>5956</v>
      </c>
      <c r="O443" s="2" t="s">
        <v>305</v>
      </c>
      <c r="Q443" s="2" t="s">
        <v>11</v>
      </c>
      <c r="R443" s="2" t="s">
        <v>46</v>
      </c>
      <c r="T443" s="2" t="s">
        <v>5850</v>
      </c>
      <c r="U443" s="3">
        <v>4</v>
      </c>
      <c r="V443" s="3">
        <v>4</v>
      </c>
      <c r="W443" s="4" t="s">
        <v>3882</v>
      </c>
      <c r="X443" s="4" t="s">
        <v>3882</v>
      </c>
      <c r="Y443" s="4" t="s">
        <v>4730</v>
      </c>
      <c r="Z443" s="4" t="s">
        <v>4730</v>
      </c>
      <c r="AA443" s="3">
        <v>398</v>
      </c>
      <c r="AB443" s="3">
        <v>328</v>
      </c>
      <c r="AC443" s="3">
        <v>367</v>
      </c>
      <c r="AD443" s="3">
        <v>4</v>
      </c>
      <c r="AE443" s="7">
        <v>4</v>
      </c>
      <c r="AF443" s="7">
        <v>28</v>
      </c>
      <c r="AG443" s="7">
        <v>30</v>
      </c>
      <c r="AH443" s="3">
        <v>10</v>
      </c>
      <c r="AI443" s="3">
        <v>11</v>
      </c>
      <c r="AJ443" s="3">
        <v>1</v>
      </c>
      <c r="AK443" s="3">
        <v>2</v>
      </c>
      <c r="AL443" s="3">
        <v>9</v>
      </c>
      <c r="AM443" s="3">
        <v>11</v>
      </c>
      <c r="AN443" s="3">
        <v>3</v>
      </c>
      <c r="AO443" s="3">
        <v>3</v>
      </c>
      <c r="AP443" s="3">
        <v>10</v>
      </c>
      <c r="AQ443" s="3">
        <v>10</v>
      </c>
      <c r="AR443" s="2" t="s">
        <v>5</v>
      </c>
      <c r="AS443" s="2" t="s">
        <v>16</v>
      </c>
      <c r="AT443" s="5" t="str">
        <f>HYPERLINK("http://catalog.hathitrust.org/Record/003083261","HathiTrust Record")</f>
        <v>HathiTrust Record</v>
      </c>
      <c r="AU443" s="5" t="str">
        <f>HYPERLINK("https://creighton-primo.hosted.exlibrisgroup.com/primo-explore/search?tab=default_tab&amp;search_scope=EVERYTHING&amp;vid=01CRU&amp;lang=en_US&amp;offset=0&amp;query=any,contains,991004414139702656","Catalog Record")</f>
        <v>Catalog Record</v>
      </c>
      <c r="AV443" s="5" t="str">
        <f>HYPERLINK("http://www.worldcat.org/oclc/32970780","WorldCat Record")</f>
        <v>WorldCat Record</v>
      </c>
      <c r="AW443" s="2" t="s">
        <v>5957</v>
      </c>
      <c r="AX443" s="2" t="s">
        <v>5958</v>
      </c>
      <c r="AY443" s="2" t="s">
        <v>5959</v>
      </c>
      <c r="AZ443" s="2" t="s">
        <v>5959</v>
      </c>
      <c r="BA443" s="2" t="s">
        <v>5960</v>
      </c>
      <c r="BB443" s="2" t="s">
        <v>21</v>
      </c>
      <c r="BD443" s="2" t="s">
        <v>5961</v>
      </c>
      <c r="BE443" s="2" t="s">
        <v>5962</v>
      </c>
      <c r="BF443" s="2" t="s">
        <v>5963</v>
      </c>
    </row>
    <row r="444" spans="1:58" ht="39.75" customHeight="1" x14ac:dyDescent="0.25">
      <c r="A444" s="1"/>
      <c r="B444" s="1" t="s">
        <v>0</v>
      </c>
      <c r="C444" s="1" t="s">
        <v>1</v>
      </c>
      <c r="D444" s="1" t="s">
        <v>5964</v>
      </c>
      <c r="E444" s="1" t="s">
        <v>5965</v>
      </c>
      <c r="F444" s="1" t="s">
        <v>5966</v>
      </c>
      <c r="G444" s="2" t="s">
        <v>3317</v>
      </c>
      <c r="H444" s="2" t="s">
        <v>16</v>
      </c>
      <c r="I444" s="2" t="s">
        <v>6</v>
      </c>
      <c r="J444" s="2" t="s">
        <v>5</v>
      </c>
      <c r="K444" s="2" t="s">
        <v>5</v>
      </c>
      <c r="L444" s="2" t="s">
        <v>7</v>
      </c>
      <c r="M444" s="1" t="s">
        <v>5967</v>
      </c>
      <c r="N444" s="1" t="s">
        <v>5968</v>
      </c>
      <c r="O444" s="2" t="s">
        <v>5969</v>
      </c>
      <c r="Q444" s="2" t="s">
        <v>11</v>
      </c>
      <c r="R444" s="2" t="s">
        <v>12</v>
      </c>
      <c r="T444" s="2" t="s">
        <v>5850</v>
      </c>
      <c r="U444" s="3">
        <v>3</v>
      </c>
      <c r="V444" s="3">
        <v>3</v>
      </c>
      <c r="W444" s="4" t="s">
        <v>5970</v>
      </c>
      <c r="X444" s="4" t="s">
        <v>5970</v>
      </c>
      <c r="Y444" s="4" t="s">
        <v>5971</v>
      </c>
      <c r="Z444" s="4" t="s">
        <v>5971</v>
      </c>
      <c r="AA444" s="3">
        <v>183</v>
      </c>
      <c r="AB444" s="3">
        <v>121</v>
      </c>
      <c r="AC444" s="3">
        <v>297</v>
      </c>
      <c r="AD444" s="3">
        <v>1</v>
      </c>
      <c r="AE444" s="7">
        <v>4</v>
      </c>
      <c r="AF444" s="7">
        <v>13</v>
      </c>
      <c r="AG444" s="7">
        <v>29</v>
      </c>
      <c r="AH444" s="3">
        <v>1</v>
      </c>
      <c r="AI444" s="3">
        <v>3</v>
      </c>
      <c r="AJ444" s="3">
        <v>0</v>
      </c>
      <c r="AK444" s="3">
        <v>2</v>
      </c>
      <c r="AL444" s="3">
        <v>6</v>
      </c>
      <c r="AM444" s="3">
        <v>8</v>
      </c>
      <c r="AN444" s="3">
        <v>0</v>
      </c>
      <c r="AO444" s="3">
        <v>2</v>
      </c>
      <c r="AP444" s="3">
        <v>7</v>
      </c>
      <c r="AQ444" s="3">
        <v>15</v>
      </c>
      <c r="AR444" s="2" t="s">
        <v>16</v>
      </c>
      <c r="AS444" s="2" t="s">
        <v>5</v>
      </c>
      <c r="AT444" s="5" t="str">
        <f>HYPERLINK("http://catalog.hathitrust.org/Record/006066787","HathiTrust Record")</f>
        <v>HathiTrust Record</v>
      </c>
      <c r="AU444" s="5" t="str">
        <f>HYPERLINK("https://creighton-primo.hosted.exlibrisgroup.com/primo-explore/search?tab=default_tab&amp;search_scope=EVERYTHING&amp;vid=01CRU&amp;lang=en_US&amp;offset=0&amp;query=any,contains,991003323439702656","Catalog Record")</f>
        <v>Catalog Record</v>
      </c>
      <c r="AV444" s="5" t="str">
        <f>HYPERLINK("http://www.worldcat.org/oclc/38170451","WorldCat Record")</f>
        <v>WorldCat Record</v>
      </c>
      <c r="AW444" s="2" t="s">
        <v>5972</v>
      </c>
      <c r="AX444" s="2" t="s">
        <v>5973</v>
      </c>
      <c r="AY444" s="2" t="s">
        <v>5974</v>
      </c>
      <c r="AZ444" s="2" t="s">
        <v>5974</v>
      </c>
      <c r="BA444" s="2" t="s">
        <v>5975</v>
      </c>
      <c r="BB444" s="2" t="s">
        <v>21</v>
      </c>
      <c r="BE444" s="2" t="s">
        <v>5976</v>
      </c>
      <c r="BF444" s="2" t="s">
        <v>5977</v>
      </c>
    </row>
    <row r="445" spans="1:58" ht="39.75" customHeight="1" x14ac:dyDescent="0.25">
      <c r="A445" s="1"/>
      <c r="B445" s="1" t="s">
        <v>0</v>
      </c>
      <c r="C445" s="1" t="s">
        <v>1</v>
      </c>
      <c r="D445" s="1" t="s">
        <v>5964</v>
      </c>
      <c r="E445" s="1" t="s">
        <v>5965</v>
      </c>
      <c r="F445" s="1" t="s">
        <v>5966</v>
      </c>
      <c r="G445" s="2" t="s">
        <v>3306</v>
      </c>
      <c r="H445" s="2" t="s">
        <v>16</v>
      </c>
      <c r="I445" s="2" t="s">
        <v>6</v>
      </c>
      <c r="J445" s="2" t="s">
        <v>5</v>
      </c>
      <c r="K445" s="2" t="s">
        <v>5</v>
      </c>
      <c r="L445" s="2" t="s">
        <v>7</v>
      </c>
      <c r="M445" s="1" t="s">
        <v>5967</v>
      </c>
      <c r="N445" s="1" t="s">
        <v>5968</v>
      </c>
      <c r="O445" s="2" t="s">
        <v>5969</v>
      </c>
      <c r="Q445" s="2" t="s">
        <v>11</v>
      </c>
      <c r="R445" s="2" t="s">
        <v>12</v>
      </c>
      <c r="T445" s="2" t="s">
        <v>5850</v>
      </c>
      <c r="U445" s="3">
        <v>0</v>
      </c>
      <c r="V445" s="3">
        <v>3</v>
      </c>
      <c r="X445" s="4" t="s">
        <v>5970</v>
      </c>
      <c r="Y445" s="4" t="s">
        <v>5971</v>
      </c>
      <c r="Z445" s="4" t="s">
        <v>5971</v>
      </c>
      <c r="AA445" s="3">
        <v>183</v>
      </c>
      <c r="AB445" s="3">
        <v>121</v>
      </c>
      <c r="AC445" s="3">
        <v>297</v>
      </c>
      <c r="AD445" s="3">
        <v>1</v>
      </c>
      <c r="AE445" s="7">
        <v>4</v>
      </c>
      <c r="AF445" s="7">
        <v>13</v>
      </c>
      <c r="AG445" s="7">
        <v>29</v>
      </c>
      <c r="AH445" s="3">
        <v>1</v>
      </c>
      <c r="AI445" s="3">
        <v>3</v>
      </c>
      <c r="AJ445" s="3">
        <v>0</v>
      </c>
      <c r="AK445" s="3">
        <v>2</v>
      </c>
      <c r="AL445" s="3">
        <v>6</v>
      </c>
      <c r="AM445" s="3">
        <v>8</v>
      </c>
      <c r="AN445" s="3">
        <v>0</v>
      </c>
      <c r="AO445" s="3">
        <v>2</v>
      </c>
      <c r="AP445" s="3">
        <v>7</v>
      </c>
      <c r="AQ445" s="3">
        <v>15</v>
      </c>
      <c r="AR445" s="2" t="s">
        <v>16</v>
      </c>
      <c r="AS445" s="2" t="s">
        <v>5</v>
      </c>
      <c r="AT445" s="5" t="str">
        <f>HYPERLINK("http://catalog.hathitrust.org/Record/006066787","HathiTrust Record")</f>
        <v>HathiTrust Record</v>
      </c>
      <c r="AU445" s="5" t="str">
        <f>HYPERLINK("https://creighton-primo.hosted.exlibrisgroup.com/primo-explore/search?tab=default_tab&amp;search_scope=EVERYTHING&amp;vid=01CRU&amp;lang=en_US&amp;offset=0&amp;query=any,contains,991003323439702656","Catalog Record")</f>
        <v>Catalog Record</v>
      </c>
      <c r="AV445" s="5" t="str">
        <f>HYPERLINK("http://www.worldcat.org/oclc/38170451","WorldCat Record")</f>
        <v>WorldCat Record</v>
      </c>
      <c r="AW445" s="2" t="s">
        <v>5972</v>
      </c>
      <c r="AX445" s="2" t="s">
        <v>5973</v>
      </c>
      <c r="AY445" s="2" t="s">
        <v>5974</v>
      </c>
      <c r="AZ445" s="2" t="s">
        <v>5974</v>
      </c>
      <c r="BA445" s="2" t="s">
        <v>5975</v>
      </c>
      <c r="BB445" s="2" t="s">
        <v>21</v>
      </c>
      <c r="BE445" s="2" t="s">
        <v>5978</v>
      </c>
      <c r="BF445" s="2" t="s">
        <v>5979</v>
      </c>
    </row>
    <row r="446" spans="1:58" ht="39.75" customHeight="1" x14ac:dyDescent="0.25">
      <c r="A446" s="1"/>
      <c r="B446" s="1" t="s">
        <v>0</v>
      </c>
      <c r="C446" s="1" t="s">
        <v>1</v>
      </c>
      <c r="D446" s="1" t="s">
        <v>5980</v>
      </c>
      <c r="E446" s="1" t="s">
        <v>5981</v>
      </c>
      <c r="F446" s="1" t="s">
        <v>5982</v>
      </c>
      <c r="H446" s="2" t="s">
        <v>5</v>
      </c>
      <c r="I446" s="2" t="s">
        <v>6</v>
      </c>
      <c r="J446" s="2" t="s">
        <v>16</v>
      </c>
      <c r="K446" s="2" t="s">
        <v>5</v>
      </c>
      <c r="L446" s="2" t="s">
        <v>7</v>
      </c>
      <c r="M446" s="1" t="s">
        <v>5983</v>
      </c>
      <c r="N446" s="1" t="s">
        <v>5984</v>
      </c>
      <c r="O446" s="2" t="s">
        <v>169</v>
      </c>
      <c r="P446" s="1" t="s">
        <v>2318</v>
      </c>
      <c r="Q446" s="2" t="s">
        <v>11</v>
      </c>
      <c r="R446" s="2" t="s">
        <v>30</v>
      </c>
      <c r="T446" s="2" t="s">
        <v>5985</v>
      </c>
      <c r="U446" s="3">
        <v>0</v>
      </c>
      <c r="V446" s="3">
        <v>2</v>
      </c>
      <c r="X446" s="4" t="s">
        <v>5986</v>
      </c>
      <c r="Y446" s="4" t="s">
        <v>5987</v>
      </c>
      <c r="Z446" s="4" t="s">
        <v>5987</v>
      </c>
      <c r="AA446" s="3">
        <v>378</v>
      </c>
      <c r="AB446" s="3">
        <v>277</v>
      </c>
      <c r="AC446" s="3">
        <v>478</v>
      </c>
      <c r="AD446" s="3">
        <v>2</v>
      </c>
      <c r="AE446" s="7">
        <v>5</v>
      </c>
      <c r="AF446" s="7">
        <v>13</v>
      </c>
      <c r="AG446" s="7">
        <v>28</v>
      </c>
      <c r="AH446" s="3">
        <v>5</v>
      </c>
      <c r="AI446" s="3">
        <v>9</v>
      </c>
      <c r="AJ446" s="3">
        <v>4</v>
      </c>
      <c r="AK446" s="3">
        <v>8</v>
      </c>
      <c r="AL446" s="3">
        <v>5</v>
      </c>
      <c r="AM446" s="3">
        <v>13</v>
      </c>
      <c r="AN446" s="3">
        <v>0</v>
      </c>
      <c r="AO446" s="3">
        <v>3</v>
      </c>
      <c r="AP446" s="3">
        <v>3</v>
      </c>
      <c r="AQ446" s="3">
        <v>3</v>
      </c>
      <c r="AR446" s="2" t="s">
        <v>5</v>
      </c>
      <c r="AS446" s="2" t="s">
        <v>16</v>
      </c>
      <c r="AT446" s="5" t="str">
        <f>HYPERLINK("http://catalog.hathitrust.org/Record/006237806","HathiTrust Record")</f>
        <v>HathiTrust Record</v>
      </c>
      <c r="AU446" s="5" t="str">
        <f>HYPERLINK("https://creighton-primo.hosted.exlibrisgroup.com/primo-explore/search?tab=default_tab&amp;search_scope=EVERYTHING&amp;vid=01CRU&amp;lang=en_US&amp;offset=0&amp;query=any,contains,991001649549702656","Catalog Record")</f>
        <v>Catalog Record</v>
      </c>
      <c r="AV446" s="5" t="str">
        <f>HYPERLINK("http://www.worldcat.org/oclc/25788383","WorldCat Record")</f>
        <v>WorldCat Record</v>
      </c>
      <c r="AW446" s="2" t="s">
        <v>5988</v>
      </c>
      <c r="AX446" s="2" t="s">
        <v>5989</v>
      </c>
      <c r="AY446" s="2" t="s">
        <v>5990</v>
      </c>
      <c r="AZ446" s="2" t="s">
        <v>5990</v>
      </c>
      <c r="BA446" s="2" t="s">
        <v>5991</v>
      </c>
      <c r="BB446" s="2" t="s">
        <v>21</v>
      </c>
      <c r="BD446" s="2" t="s">
        <v>5992</v>
      </c>
      <c r="BE446" s="2" t="s">
        <v>5993</v>
      </c>
      <c r="BF446" s="2" t="s">
        <v>5994</v>
      </c>
    </row>
    <row r="447" spans="1:58" ht="39.75" customHeight="1" x14ac:dyDescent="0.25">
      <c r="A447" s="1"/>
      <c r="B447" s="1" t="s">
        <v>0</v>
      </c>
      <c r="C447" s="1" t="s">
        <v>1</v>
      </c>
      <c r="D447" s="1" t="s">
        <v>5995</v>
      </c>
      <c r="E447" s="1" t="s">
        <v>5996</v>
      </c>
      <c r="F447" s="1" t="s">
        <v>5997</v>
      </c>
      <c r="H447" s="2" t="s">
        <v>5</v>
      </c>
      <c r="I447" s="2" t="s">
        <v>6</v>
      </c>
      <c r="J447" s="2" t="s">
        <v>5</v>
      </c>
      <c r="K447" s="2" t="s">
        <v>5</v>
      </c>
      <c r="L447" s="2" t="s">
        <v>7</v>
      </c>
      <c r="M447" s="1" t="s">
        <v>5998</v>
      </c>
      <c r="N447" s="1" t="s">
        <v>5999</v>
      </c>
      <c r="O447" s="2" t="s">
        <v>458</v>
      </c>
      <c r="Q447" s="2" t="s">
        <v>11</v>
      </c>
      <c r="R447" s="2" t="s">
        <v>4798</v>
      </c>
      <c r="T447" s="2" t="s">
        <v>6000</v>
      </c>
      <c r="U447" s="3">
        <v>1</v>
      </c>
      <c r="V447" s="3">
        <v>1</v>
      </c>
      <c r="W447" s="4" t="s">
        <v>6001</v>
      </c>
      <c r="X447" s="4" t="s">
        <v>6001</v>
      </c>
      <c r="Y447" s="4" t="s">
        <v>6002</v>
      </c>
      <c r="Z447" s="4" t="s">
        <v>6002</v>
      </c>
      <c r="AA447" s="3">
        <v>529</v>
      </c>
      <c r="AB447" s="3">
        <v>415</v>
      </c>
      <c r="AC447" s="3">
        <v>416</v>
      </c>
      <c r="AD447" s="3">
        <v>3</v>
      </c>
      <c r="AE447" s="7">
        <v>3</v>
      </c>
      <c r="AF447" s="7">
        <v>30</v>
      </c>
      <c r="AG447" s="7">
        <v>30</v>
      </c>
      <c r="AH447" s="3">
        <v>5</v>
      </c>
      <c r="AI447" s="3">
        <v>5</v>
      </c>
      <c r="AJ447" s="3">
        <v>4</v>
      </c>
      <c r="AK447" s="3">
        <v>4</v>
      </c>
      <c r="AL447" s="3">
        <v>9</v>
      </c>
      <c r="AM447" s="3">
        <v>9</v>
      </c>
      <c r="AN447" s="3">
        <v>1</v>
      </c>
      <c r="AO447" s="3">
        <v>1</v>
      </c>
      <c r="AP447" s="3">
        <v>16</v>
      </c>
      <c r="AQ447" s="3">
        <v>16</v>
      </c>
      <c r="AR447" s="2" t="s">
        <v>5</v>
      </c>
      <c r="AS447" s="2" t="s">
        <v>5</v>
      </c>
      <c r="AU447" s="5" t="str">
        <f>HYPERLINK("https://creighton-primo.hosted.exlibrisgroup.com/primo-explore/search?tab=default_tab&amp;search_scope=EVERYTHING&amp;vid=01CRU&amp;lang=en_US&amp;offset=0&amp;query=any,contains,991002859219702656","Catalog Record")</f>
        <v>Catalog Record</v>
      </c>
      <c r="AV447" s="5" t="str">
        <f>HYPERLINK("http://www.worldcat.org/oclc/492020","WorldCat Record")</f>
        <v>WorldCat Record</v>
      </c>
      <c r="AW447" s="2" t="s">
        <v>6003</v>
      </c>
      <c r="AX447" s="2" t="s">
        <v>6004</v>
      </c>
      <c r="AY447" s="2" t="s">
        <v>6005</v>
      </c>
      <c r="AZ447" s="2" t="s">
        <v>6005</v>
      </c>
      <c r="BA447" s="2" t="s">
        <v>6006</v>
      </c>
      <c r="BB447" s="2" t="s">
        <v>21</v>
      </c>
      <c r="BD447" s="2" t="s">
        <v>6007</v>
      </c>
      <c r="BE447" s="2" t="s">
        <v>6008</v>
      </c>
      <c r="BF447" s="2" t="s">
        <v>6009</v>
      </c>
    </row>
    <row r="448" spans="1:58" ht="39.75" customHeight="1" x14ac:dyDescent="0.25">
      <c r="A448" s="1"/>
      <c r="B448" s="1" t="s">
        <v>0</v>
      </c>
      <c r="C448" s="1" t="s">
        <v>1</v>
      </c>
      <c r="D448" s="1" t="s">
        <v>6010</v>
      </c>
      <c r="E448" s="1" t="s">
        <v>6011</v>
      </c>
      <c r="F448" s="1" t="s">
        <v>6012</v>
      </c>
      <c r="H448" s="2" t="s">
        <v>5</v>
      </c>
      <c r="I448" s="2" t="s">
        <v>6</v>
      </c>
      <c r="J448" s="2" t="s">
        <v>5</v>
      </c>
      <c r="K448" s="2" t="s">
        <v>5</v>
      </c>
      <c r="L448" s="2" t="s">
        <v>7</v>
      </c>
      <c r="M448" s="1" t="s">
        <v>6013</v>
      </c>
      <c r="N448" s="1" t="s">
        <v>6014</v>
      </c>
      <c r="O448" s="2" t="s">
        <v>228</v>
      </c>
      <c r="Q448" s="2" t="s">
        <v>11</v>
      </c>
      <c r="R448" s="2" t="s">
        <v>306</v>
      </c>
      <c r="T448" s="2" t="s">
        <v>6015</v>
      </c>
      <c r="U448" s="3">
        <v>1</v>
      </c>
      <c r="V448" s="3">
        <v>1</v>
      </c>
      <c r="W448" s="4" t="s">
        <v>6016</v>
      </c>
      <c r="X448" s="4" t="s">
        <v>6016</v>
      </c>
      <c r="Y448" s="4" t="s">
        <v>6017</v>
      </c>
      <c r="Z448" s="4" t="s">
        <v>6017</v>
      </c>
      <c r="AA448" s="3">
        <v>472</v>
      </c>
      <c r="AB448" s="3">
        <v>362</v>
      </c>
      <c r="AC448" s="3">
        <v>543</v>
      </c>
      <c r="AD448" s="3">
        <v>3</v>
      </c>
      <c r="AE448" s="7">
        <v>3</v>
      </c>
      <c r="AF448" s="7">
        <v>29</v>
      </c>
      <c r="AG448" s="7">
        <v>37</v>
      </c>
      <c r="AH448" s="3">
        <v>7</v>
      </c>
      <c r="AI448" s="3">
        <v>13</v>
      </c>
      <c r="AJ448" s="3">
        <v>4</v>
      </c>
      <c r="AK448" s="3">
        <v>7</v>
      </c>
      <c r="AL448" s="3">
        <v>15</v>
      </c>
      <c r="AM448" s="3">
        <v>17</v>
      </c>
      <c r="AN448" s="3">
        <v>2</v>
      </c>
      <c r="AO448" s="3">
        <v>2</v>
      </c>
      <c r="AP448" s="3">
        <v>6</v>
      </c>
      <c r="AQ448" s="3">
        <v>6</v>
      </c>
      <c r="AR448" s="2" t="s">
        <v>5</v>
      </c>
      <c r="AS448" s="2" t="s">
        <v>5</v>
      </c>
      <c r="AU448" s="5" t="str">
        <f>HYPERLINK("https://creighton-primo.hosted.exlibrisgroup.com/primo-explore/search?tab=default_tab&amp;search_scope=EVERYTHING&amp;vid=01CRU&amp;lang=en_US&amp;offset=0&amp;query=any,contains,991001442869702656","Catalog Record")</f>
        <v>Catalog Record</v>
      </c>
      <c r="AV448" s="5" t="str">
        <f>HYPERLINK("http://www.worldcat.org/oclc/19265093","WorldCat Record")</f>
        <v>WorldCat Record</v>
      </c>
      <c r="AW448" s="2" t="s">
        <v>6018</v>
      </c>
      <c r="AX448" s="2" t="s">
        <v>6019</v>
      </c>
      <c r="AY448" s="2" t="s">
        <v>6020</v>
      </c>
      <c r="AZ448" s="2" t="s">
        <v>6020</v>
      </c>
      <c r="BA448" s="2" t="s">
        <v>6021</v>
      </c>
      <c r="BB448" s="2" t="s">
        <v>21</v>
      </c>
      <c r="BD448" s="2" t="s">
        <v>6022</v>
      </c>
      <c r="BE448" s="2" t="s">
        <v>6023</v>
      </c>
      <c r="BF448" s="2" t="s">
        <v>6024</v>
      </c>
    </row>
    <row r="449" spans="1:58" ht="39.75" customHeight="1" x14ac:dyDescent="0.25">
      <c r="A449" s="1"/>
      <c r="B449" s="1" t="s">
        <v>0</v>
      </c>
      <c r="C449" s="1" t="s">
        <v>1</v>
      </c>
      <c r="D449" s="1" t="s">
        <v>6025</v>
      </c>
      <c r="E449" s="1" t="s">
        <v>6026</v>
      </c>
      <c r="F449" s="1" t="s">
        <v>6027</v>
      </c>
      <c r="H449" s="2" t="s">
        <v>5</v>
      </c>
      <c r="I449" s="2" t="s">
        <v>6</v>
      </c>
      <c r="J449" s="2" t="s">
        <v>5</v>
      </c>
      <c r="K449" s="2" t="s">
        <v>5</v>
      </c>
      <c r="L449" s="2" t="s">
        <v>7</v>
      </c>
      <c r="M449" s="1" t="s">
        <v>6028</v>
      </c>
      <c r="N449" s="1" t="s">
        <v>6029</v>
      </c>
      <c r="O449" s="2" t="s">
        <v>275</v>
      </c>
      <c r="Q449" s="2" t="s">
        <v>11</v>
      </c>
      <c r="R449" s="2" t="s">
        <v>501</v>
      </c>
      <c r="S449" s="1" t="s">
        <v>6030</v>
      </c>
      <c r="T449" s="2" t="s">
        <v>6031</v>
      </c>
      <c r="U449" s="3">
        <v>1</v>
      </c>
      <c r="V449" s="3">
        <v>1</v>
      </c>
      <c r="W449" s="4" t="s">
        <v>6032</v>
      </c>
      <c r="X449" s="4" t="s">
        <v>6032</v>
      </c>
      <c r="Y449" s="4" t="s">
        <v>5864</v>
      </c>
      <c r="Z449" s="4" t="s">
        <v>5864</v>
      </c>
      <c r="AA449" s="3">
        <v>344</v>
      </c>
      <c r="AB449" s="3">
        <v>256</v>
      </c>
      <c r="AC449" s="3">
        <v>256</v>
      </c>
      <c r="AD449" s="3">
        <v>3</v>
      </c>
      <c r="AE449" s="7">
        <v>3</v>
      </c>
      <c r="AF449" s="7">
        <v>22</v>
      </c>
      <c r="AG449" s="7">
        <v>22</v>
      </c>
      <c r="AH449" s="3">
        <v>4</v>
      </c>
      <c r="AI449" s="3">
        <v>4</v>
      </c>
      <c r="AJ449" s="3">
        <v>4</v>
      </c>
      <c r="AK449" s="3">
        <v>4</v>
      </c>
      <c r="AL449" s="3">
        <v>9</v>
      </c>
      <c r="AM449" s="3">
        <v>9</v>
      </c>
      <c r="AN449" s="3">
        <v>2</v>
      </c>
      <c r="AO449" s="3">
        <v>2</v>
      </c>
      <c r="AP449" s="3">
        <v>7</v>
      </c>
      <c r="AQ449" s="3">
        <v>7</v>
      </c>
      <c r="AR449" s="2" t="s">
        <v>5</v>
      </c>
      <c r="AS449" s="2" t="s">
        <v>5</v>
      </c>
      <c r="AU449" s="5" t="str">
        <f>HYPERLINK("https://creighton-primo.hosted.exlibrisgroup.com/primo-explore/search?tab=default_tab&amp;search_scope=EVERYTHING&amp;vid=01CRU&amp;lang=en_US&amp;offset=0&amp;query=any,contains,991004736229702656","Catalog Record")</f>
        <v>Catalog Record</v>
      </c>
      <c r="AV449" s="5" t="str">
        <f>HYPERLINK("http://www.worldcat.org/oclc/4857752","WorldCat Record")</f>
        <v>WorldCat Record</v>
      </c>
      <c r="AW449" s="2" t="s">
        <v>6033</v>
      </c>
      <c r="AX449" s="2" t="s">
        <v>6034</v>
      </c>
      <c r="AY449" s="2" t="s">
        <v>6035</v>
      </c>
      <c r="AZ449" s="2" t="s">
        <v>6035</v>
      </c>
      <c r="BA449" s="2" t="s">
        <v>6036</v>
      </c>
      <c r="BB449" s="2" t="s">
        <v>21</v>
      </c>
      <c r="BD449" s="2" t="s">
        <v>6037</v>
      </c>
      <c r="BE449" s="2" t="s">
        <v>6038</v>
      </c>
      <c r="BF449" s="2" t="s">
        <v>6039</v>
      </c>
    </row>
    <row r="450" spans="1:58" ht="39.75" customHeight="1" x14ac:dyDescent="0.25">
      <c r="A450" s="1"/>
      <c r="B450" s="1" t="s">
        <v>0</v>
      </c>
      <c r="C450" s="1" t="s">
        <v>1</v>
      </c>
      <c r="D450" s="1" t="s">
        <v>6040</v>
      </c>
      <c r="E450" s="1" t="s">
        <v>6041</v>
      </c>
      <c r="F450" s="1" t="s">
        <v>6042</v>
      </c>
      <c r="H450" s="2" t="s">
        <v>5</v>
      </c>
      <c r="I450" s="2" t="s">
        <v>6</v>
      </c>
      <c r="J450" s="2" t="s">
        <v>5</v>
      </c>
      <c r="K450" s="2" t="s">
        <v>5</v>
      </c>
      <c r="L450" s="2" t="s">
        <v>7</v>
      </c>
      <c r="M450" s="1" t="s">
        <v>6043</v>
      </c>
      <c r="N450" s="1" t="s">
        <v>6044</v>
      </c>
      <c r="O450" s="2" t="s">
        <v>586</v>
      </c>
      <c r="Q450" s="2" t="s">
        <v>11</v>
      </c>
      <c r="R450" s="2" t="s">
        <v>5216</v>
      </c>
      <c r="S450" s="1" t="s">
        <v>6045</v>
      </c>
      <c r="T450" s="2" t="s">
        <v>6046</v>
      </c>
      <c r="U450" s="3">
        <v>3</v>
      </c>
      <c r="V450" s="3">
        <v>3</v>
      </c>
      <c r="W450" s="4" t="s">
        <v>2693</v>
      </c>
      <c r="X450" s="4" t="s">
        <v>2693</v>
      </c>
      <c r="Y450" s="4" t="s">
        <v>6047</v>
      </c>
      <c r="Z450" s="4" t="s">
        <v>6047</v>
      </c>
      <c r="AA450" s="3">
        <v>234</v>
      </c>
      <c r="AB450" s="3">
        <v>167</v>
      </c>
      <c r="AC450" s="3">
        <v>456</v>
      </c>
      <c r="AD450" s="3">
        <v>2</v>
      </c>
      <c r="AE450" s="7">
        <v>4</v>
      </c>
      <c r="AF450" s="7">
        <v>10</v>
      </c>
      <c r="AG450" s="7">
        <v>28</v>
      </c>
      <c r="AH450" s="3">
        <v>2</v>
      </c>
      <c r="AI450" s="3">
        <v>9</v>
      </c>
      <c r="AJ450" s="3">
        <v>2</v>
      </c>
      <c r="AK450" s="3">
        <v>8</v>
      </c>
      <c r="AL450" s="3">
        <v>3</v>
      </c>
      <c r="AM450" s="3">
        <v>10</v>
      </c>
      <c r="AN450" s="3">
        <v>1</v>
      </c>
      <c r="AO450" s="3">
        <v>3</v>
      </c>
      <c r="AP450" s="3">
        <v>3</v>
      </c>
      <c r="AQ450" s="3">
        <v>3</v>
      </c>
      <c r="AR450" s="2" t="s">
        <v>5</v>
      </c>
      <c r="AS450" s="2" t="s">
        <v>16</v>
      </c>
      <c r="AT450" s="5" t="str">
        <f>HYPERLINK("http://catalog.hathitrust.org/Record/003350993","HathiTrust Record")</f>
        <v>HathiTrust Record</v>
      </c>
      <c r="AU450" s="5" t="str">
        <f>HYPERLINK("https://creighton-primo.hosted.exlibrisgroup.com/primo-explore/search?tab=default_tab&amp;search_scope=EVERYTHING&amp;vid=01CRU&amp;lang=en_US&amp;offset=0&amp;query=any,contains,991002537589702656","Catalog Record")</f>
        <v>Catalog Record</v>
      </c>
      <c r="AV450" s="5" t="str">
        <f>HYPERLINK("http://www.worldcat.org/oclc/32970196","WorldCat Record")</f>
        <v>WorldCat Record</v>
      </c>
      <c r="AW450" s="2" t="s">
        <v>6048</v>
      </c>
      <c r="AX450" s="2" t="s">
        <v>6049</v>
      </c>
      <c r="AY450" s="2" t="s">
        <v>6050</v>
      </c>
      <c r="AZ450" s="2" t="s">
        <v>6050</v>
      </c>
      <c r="BA450" s="2" t="s">
        <v>6051</v>
      </c>
      <c r="BB450" s="2" t="s">
        <v>21</v>
      </c>
      <c r="BD450" s="2" t="s">
        <v>6052</v>
      </c>
      <c r="BE450" s="2" t="s">
        <v>6053</v>
      </c>
      <c r="BF450" s="2" t="s">
        <v>6054</v>
      </c>
    </row>
    <row r="451" spans="1:58" ht="39.75" customHeight="1" x14ac:dyDescent="0.25">
      <c r="A451" s="1"/>
      <c r="B451" s="1" t="s">
        <v>0</v>
      </c>
      <c r="C451" s="1" t="s">
        <v>1</v>
      </c>
      <c r="D451" s="1" t="s">
        <v>6055</v>
      </c>
      <c r="E451" s="1" t="s">
        <v>6056</v>
      </c>
      <c r="F451" s="1" t="s">
        <v>6057</v>
      </c>
      <c r="H451" s="2" t="s">
        <v>5</v>
      </c>
      <c r="I451" s="2" t="s">
        <v>6</v>
      </c>
      <c r="J451" s="2" t="s">
        <v>5</v>
      </c>
      <c r="K451" s="2" t="s">
        <v>5</v>
      </c>
      <c r="L451" s="2" t="s">
        <v>7</v>
      </c>
      <c r="M451" s="1" t="s">
        <v>6058</v>
      </c>
      <c r="N451" s="1" t="s">
        <v>1452</v>
      </c>
      <c r="O451" s="2" t="s">
        <v>458</v>
      </c>
      <c r="Q451" s="2" t="s">
        <v>11</v>
      </c>
      <c r="R451" s="2" t="s">
        <v>1365</v>
      </c>
      <c r="S451" s="1" t="s">
        <v>6059</v>
      </c>
      <c r="T451" s="2" t="s">
        <v>6060</v>
      </c>
      <c r="U451" s="3">
        <v>3</v>
      </c>
      <c r="V451" s="3">
        <v>3</v>
      </c>
      <c r="W451" s="4" t="s">
        <v>6061</v>
      </c>
      <c r="X451" s="4" t="s">
        <v>6061</v>
      </c>
      <c r="Y451" s="4" t="s">
        <v>6062</v>
      </c>
      <c r="Z451" s="4" t="s">
        <v>6062</v>
      </c>
      <c r="AA451" s="3">
        <v>536</v>
      </c>
      <c r="AB451" s="3">
        <v>451</v>
      </c>
      <c r="AC451" s="3">
        <v>453</v>
      </c>
      <c r="AD451" s="3">
        <v>5</v>
      </c>
      <c r="AE451" s="7">
        <v>5</v>
      </c>
      <c r="AF451" s="7">
        <v>30</v>
      </c>
      <c r="AG451" s="7">
        <v>30</v>
      </c>
      <c r="AH451" s="3">
        <v>7</v>
      </c>
      <c r="AI451" s="3">
        <v>7</v>
      </c>
      <c r="AJ451" s="3">
        <v>8</v>
      </c>
      <c r="AK451" s="3">
        <v>8</v>
      </c>
      <c r="AL451" s="3">
        <v>17</v>
      </c>
      <c r="AM451" s="3">
        <v>17</v>
      </c>
      <c r="AN451" s="3">
        <v>3</v>
      </c>
      <c r="AO451" s="3">
        <v>3</v>
      </c>
      <c r="AP451" s="3">
        <v>3</v>
      </c>
      <c r="AQ451" s="3">
        <v>3</v>
      </c>
      <c r="AR451" s="2" t="s">
        <v>5</v>
      </c>
      <c r="AS451" s="2" t="s">
        <v>5</v>
      </c>
      <c r="AU451" s="5" t="str">
        <f>HYPERLINK("https://creighton-primo.hosted.exlibrisgroup.com/primo-explore/search?tab=default_tab&amp;search_scope=EVERYTHING&amp;vid=01CRU&amp;lang=en_US&amp;offset=0&amp;query=any,contains,991002394319702656","Catalog Record")</f>
        <v>Catalog Record</v>
      </c>
      <c r="AV451" s="5" t="str">
        <f>HYPERLINK("http://www.worldcat.org/oclc/333673","WorldCat Record")</f>
        <v>WorldCat Record</v>
      </c>
      <c r="AW451" s="2" t="s">
        <v>6063</v>
      </c>
      <c r="AX451" s="2" t="s">
        <v>6064</v>
      </c>
      <c r="AY451" s="2" t="s">
        <v>6065</v>
      </c>
      <c r="AZ451" s="2" t="s">
        <v>6065</v>
      </c>
      <c r="BA451" s="2" t="s">
        <v>6066</v>
      </c>
      <c r="BB451" s="2" t="s">
        <v>21</v>
      </c>
      <c r="BD451" s="2" t="s">
        <v>6067</v>
      </c>
      <c r="BE451" s="2" t="s">
        <v>6068</v>
      </c>
      <c r="BF451" s="2" t="s">
        <v>6069</v>
      </c>
    </row>
    <row r="452" spans="1:58" ht="39.75" customHeight="1" x14ac:dyDescent="0.25">
      <c r="A452" s="1"/>
      <c r="B452" s="1" t="s">
        <v>0</v>
      </c>
      <c r="C452" s="1" t="s">
        <v>1</v>
      </c>
      <c r="D452" s="1" t="s">
        <v>6070</v>
      </c>
      <c r="E452" s="1" t="s">
        <v>6071</v>
      </c>
      <c r="F452" s="1" t="s">
        <v>6072</v>
      </c>
      <c r="H452" s="2" t="s">
        <v>5</v>
      </c>
      <c r="I452" s="2" t="s">
        <v>6</v>
      </c>
      <c r="J452" s="2" t="s">
        <v>5</v>
      </c>
      <c r="K452" s="2" t="s">
        <v>5</v>
      </c>
      <c r="L452" s="2" t="s">
        <v>7</v>
      </c>
      <c r="M452" s="1" t="s">
        <v>6073</v>
      </c>
      <c r="N452" s="1" t="s">
        <v>6074</v>
      </c>
      <c r="O452" s="2" t="s">
        <v>918</v>
      </c>
      <c r="Q452" s="2" t="s">
        <v>11</v>
      </c>
      <c r="R452" s="2" t="s">
        <v>903</v>
      </c>
      <c r="T452" s="2" t="s">
        <v>6075</v>
      </c>
      <c r="U452" s="3">
        <v>1</v>
      </c>
      <c r="V452" s="3">
        <v>1</v>
      </c>
      <c r="W452" s="4" t="s">
        <v>6076</v>
      </c>
      <c r="X452" s="4" t="s">
        <v>6076</v>
      </c>
      <c r="Y452" s="4" t="s">
        <v>6076</v>
      </c>
      <c r="Z452" s="4" t="s">
        <v>6076</v>
      </c>
      <c r="AA452" s="3">
        <v>350</v>
      </c>
      <c r="AB452" s="3">
        <v>274</v>
      </c>
      <c r="AC452" s="3">
        <v>631</v>
      </c>
      <c r="AD452" s="3">
        <v>2</v>
      </c>
      <c r="AE452" s="7">
        <v>2</v>
      </c>
      <c r="AF452" s="7">
        <v>19</v>
      </c>
      <c r="AG452" s="7">
        <v>23</v>
      </c>
      <c r="AH452" s="3">
        <v>2</v>
      </c>
      <c r="AI452" s="3">
        <v>5</v>
      </c>
      <c r="AJ452" s="3">
        <v>6</v>
      </c>
      <c r="AK452" s="3">
        <v>6</v>
      </c>
      <c r="AL452" s="3">
        <v>7</v>
      </c>
      <c r="AM452" s="3">
        <v>8</v>
      </c>
      <c r="AN452" s="3">
        <v>1</v>
      </c>
      <c r="AO452" s="3">
        <v>1</v>
      </c>
      <c r="AP452" s="3">
        <v>7</v>
      </c>
      <c r="AQ452" s="3">
        <v>7</v>
      </c>
      <c r="AR452" s="2" t="s">
        <v>5</v>
      </c>
      <c r="AS452" s="2" t="s">
        <v>5</v>
      </c>
      <c r="AU452" s="5" t="str">
        <f>HYPERLINK("https://creighton-primo.hosted.exlibrisgroup.com/primo-explore/search?tab=default_tab&amp;search_scope=EVERYTHING&amp;vid=01CRU&amp;lang=en_US&amp;offset=0&amp;query=any,contains,991005225969702656","Catalog Record")</f>
        <v>Catalog Record</v>
      </c>
      <c r="AV452" s="5" t="str">
        <f>HYPERLINK("http://www.worldcat.org/oclc/36123644","WorldCat Record")</f>
        <v>WorldCat Record</v>
      </c>
      <c r="AW452" s="2" t="s">
        <v>6077</v>
      </c>
      <c r="AX452" s="2" t="s">
        <v>6078</v>
      </c>
      <c r="AY452" s="2" t="s">
        <v>6079</v>
      </c>
      <c r="AZ452" s="2" t="s">
        <v>6079</v>
      </c>
      <c r="BA452" s="2" t="s">
        <v>6080</v>
      </c>
      <c r="BB452" s="2" t="s">
        <v>21</v>
      </c>
      <c r="BD452" s="2" t="s">
        <v>6081</v>
      </c>
      <c r="BE452" s="2" t="s">
        <v>6082</v>
      </c>
      <c r="BF452" s="2" t="s">
        <v>6083</v>
      </c>
    </row>
    <row r="453" spans="1:58" ht="39.75" customHeight="1" x14ac:dyDescent="0.25">
      <c r="A453" s="1"/>
      <c r="B453" s="1" t="s">
        <v>0</v>
      </c>
      <c r="C453" s="1" t="s">
        <v>1</v>
      </c>
      <c r="D453" s="1" t="s">
        <v>6084</v>
      </c>
      <c r="E453" s="1" t="s">
        <v>6085</v>
      </c>
      <c r="F453" s="1" t="s">
        <v>6086</v>
      </c>
      <c r="H453" s="2" t="s">
        <v>5</v>
      </c>
      <c r="I453" s="2" t="s">
        <v>6</v>
      </c>
      <c r="J453" s="2" t="s">
        <v>5</v>
      </c>
      <c r="K453" s="2" t="s">
        <v>5</v>
      </c>
      <c r="L453" s="2" t="s">
        <v>7</v>
      </c>
      <c r="M453" s="1" t="s">
        <v>6087</v>
      </c>
      <c r="N453" s="1" t="s">
        <v>6088</v>
      </c>
      <c r="O453" s="2" t="s">
        <v>305</v>
      </c>
      <c r="Q453" s="2" t="s">
        <v>11</v>
      </c>
      <c r="R453" s="2" t="s">
        <v>903</v>
      </c>
      <c r="S453" s="1" t="s">
        <v>6089</v>
      </c>
      <c r="T453" s="2" t="s">
        <v>6090</v>
      </c>
      <c r="U453" s="3">
        <v>5</v>
      </c>
      <c r="V453" s="3">
        <v>5</v>
      </c>
      <c r="W453" s="4" t="s">
        <v>6091</v>
      </c>
      <c r="X453" s="4" t="s">
        <v>6091</v>
      </c>
      <c r="Y453" s="4" t="s">
        <v>6092</v>
      </c>
      <c r="Z453" s="4" t="s">
        <v>6092</v>
      </c>
      <c r="AA453" s="3">
        <v>467</v>
      </c>
      <c r="AB453" s="3">
        <v>354</v>
      </c>
      <c r="AC453" s="3">
        <v>354</v>
      </c>
      <c r="AD453" s="3">
        <v>2</v>
      </c>
      <c r="AE453" s="7">
        <v>2</v>
      </c>
      <c r="AF453" s="7">
        <v>24</v>
      </c>
      <c r="AG453" s="7">
        <v>24</v>
      </c>
      <c r="AH453" s="3">
        <v>4</v>
      </c>
      <c r="AI453" s="3">
        <v>4</v>
      </c>
      <c r="AJ453" s="3">
        <v>3</v>
      </c>
      <c r="AK453" s="3">
        <v>3</v>
      </c>
      <c r="AL453" s="3">
        <v>6</v>
      </c>
      <c r="AM453" s="3">
        <v>6</v>
      </c>
      <c r="AN453" s="3">
        <v>1</v>
      </c>
      <c r="AO453" s="3">
        <v>1</v>
      </c>
      <c r="AP453" s="3">
        <v>13</v>
      </c>
      <c r="AQ453" s="3">
        <v>13</v>
      </c>
      <c r="AR453" s="2" t="s">
        <v>5</v>
      </c>
      <c r="AS453" s="2" t="s">
        <v>5</v>
      </c>
      <c r="AU453" s="5" t="str">
        <f>HYPERLINK("https://creighton-primo.hosted.exlibrisgroup.com/primo-explore/search?tab=default_tab&amp;search_scope=EVERYTHING&amp;vid=01CRU&amp;lang=en_US&amp;offset=0&amp;query=any,contains,991002327809702656","Catalog Record")</f>
        <v>Catalog Record</v>
      </c>
      <c r="AV453" s="5" t="str">
        <f>HYPERLINK("http://www.worldcat.org/oclc/30318594","WorldCat Record")</f>
        <v>WorldCat Record</v>
      </c>
      <c r="AW453" s="2" t="s">
        <v>6093</v>
      </c>
      <c r="AX453" s="2" t="s">
        <v>6094</v>
      </c>
      <c r="AY453" s="2" t="s">
        <v>6095</v>
      </c>
      <c r="AZ453" s="2" t="s">
        <v>6095</v>
      </c>
      <c r="BA453" s="2" t="s">
        <v>6096</v>
      </c>
      <c r="BB453" s="2" t="s">
        <v>21</v>
      </c>
      <c r="BD453" s="2" t="s">
        <v>6097</v>
      </c>
      <c r="BE453" s="2" t="s">
        <v>6098</v>
      </c>
      <c r="BF453" s="2" t="s">
        <v>6099</v>
      </c>
    </row>
    <row r="454" spans="1:58" ht="39.75" customHeight="1" x14ac:dyDescent="0.25">
      <c r="A454" s="1"/>
      <c r="B454" s="1" t="s">
        <v>0</v>
      </c>
      <c r="C454" s="1" t="s">
        <v>1</v>
      </c>
      <c r="D454" s="1" t="s">
        <v>6100</v>
      </c>
      <c r="E454" s="1" t="s">
        <v>6101</v>
      </c>
      <c r="F454" s="1" t="s">
        <v>6102</v>
      </c>
      <c r="H454" s="2" t="s">
        <v>5</v>
      </c>
      <c r="I454" s="2" t="s">
        <v>6</v>
      </c>
      <c r="J454" s="2" t="s">
        <v>16</v>
      </c>
      <c r="K454" s="2" t="s">
        <v>5</v>
      </c>
      <c r="L454" s="2" t="s">
        <v>7</v>
      </c>
      <c r="M454" s="1" t="s">
        <v>6103</v>
      </c>
      <c r="N454" s="1" t="s">
        <v>6104</v>
      </c>
      <c r="O454" s="2" t="s">
        <v>6105</v>
      </c>
      <c r="P454" s="1" t="s">
        <v>340</v>
      </c>
      <c r="Q454" s="2" t="s">
        <v>11</v>
      </c>
      <c r="R454" s="2" t="s">
        <v>244</v>
      </c>
      <c r="S454" s="1" t="s">
        <v>6089</v>
      </c>
      <c r="T454" s="2" t="s">
        <v>6106</v>
      </c>
      <c r="U454" s="3">
        <v>1</v>
      </c>
      <c r="V454" s="3">
        <v>2</v>
      </c>
      <c r="W454" s="4" t="s">
        <v>6107</v>
      </c>
      <c r="X454" s="4" t="s">
        <v>6107</v>
      </c>
      <c r="Y454" s="4" t="s">
        <v>6107</v>
      </c>
      <c r="Z454" s="4" t="s">
        <v>6107</v>
      </c>
      <c r="AA454" s="3">
        <v>99</v>
      </c>
      <c r="AB454" s="3">
        <v>71</v>
      </c>
      <c r="AC454" s="3">
        <v>177</v>
      </c>
      <c r="AD454" s="3">
        <v>1</v>
      </c>
      <c r="AE454" s="7">
        <v>2</v>
      </c>
      <c r="AF454" s="7">
        <v>3</v>
      </c>
      <c r="AG454" s="7">
        <v>12</v>
      </c>
      <c r="AH454" s="3">
        <v>0</v>
      </c>
      <c r="AI454" s="3">
        <v>1</v>
      </c>
      <c r="AJ454" s="3">
        <v>0</v>
      </c>
      <c r="AK454" s="3">
        <v>0</v>
      </c>
      <c r="AL454" s="3">
        <v>0</v>
      </c>
      <c r="AM454" s="3">
        <v>0</v>
      </c>
      <c r="AN454" s="3">
        <v>0</v>
      </c>
      <c r="AO454" s="3">
        <v>1</v>
      </c>
      <c r="AP454" s="3">
        <v>3</v>
      </c>
      <c r="AQ454" s="3">
        <v>10</v>
      </c>
      <c r="AR454" s="2" t="s">
        <v>5</v>
      </c>
      <c r="AS454" s="2" t="s">
        <v>16</v>
      </c>
      <c r="AT454" s="5" t="str">
        <f>HYPERLINK("http://catalog.hathitrust.org/Record/007242105","HathiTrust Record")</f>
        <v>HathiTrust Record</v>
      </c>
      <c r="AU454" s="5" t="str">
        <f>HYPERLINK("https://creighton-primo.hosted.exlibrisgroup.com/primo-explore/search?tab=default_tab&amp;search_scope=EVERYTHING&amp;vid=01CRU&amp;lang=en_US&amp;offset=0&amp;query=any,contains,991004346119702656","Catalog Record")</f>
        <v>Catalog Record</v>
      </c>
      <c r="AV454" s="5" t="str">
        <f>HYPERLINK("http://www.worldcat.org/oclc/46515081","WorldCat Record")</f>
        <v>WorldCat Record</v>
      </c>
      <c r="AW454" s="2" t="s">
        <v>6108</v>
      </c>
      <c r="AX454" s="2" t="s">
        <v>6109</v>
      </c>
      <c r="AY454" s="2" t="s">
        <v>6110</v>
      </c>
      <c r="AZ454" s="2" t="s">
        <v>6110</v>
      </c>
      <c r="BA454" s="2" t="s">
        <v>6111</v>
      </c>
      <c r="BB454" s="2" t="s">
        <v>21</v>
      </c>
      <c r="BD454" s="2" t="s">
        <v>6112</v>
      </c>
      <c r="BE454" s="2" t="s">
        <v>6113</v>
      </c>
      <c r="BF454" s="2" t="s">
        <v>6114</v>
      </c>
    </row>
    <row r="455" spans="1:58" ht="39.75" customHeight="1" x14ac:dyDescent="0.25">
      <c r="A455" s="1"/>
      <c r="B455" s="1" t="s">
        <v>0</v>
      </c>
      <c r="C455" s="1" t="s">
        <v>1</v>
      </c>
      <c r="D455" s="1" t="s">
        <v>6100</v>
      </c>
      <c r="E455" s="1" t="s">
        <v>6101</v>
      </c>
      <c r="F455" s="1" t="s">
        <v>6102</v>
      </c>
      <c r="H455" s="2" t="s">
        <v>5</v>
      </c>
      <c r="I455" s="2" t="s">
        <v>6</v>
      </c>
      <c r="J455" s="2" t="s">
        <v>16</v>
      </c>
      <c r="K455" s="2" t="s">
        <v>5</v>
      </c>
      <c r="L455" s="2" t="s">
        <v>7</v>
      </c>
      <c r="M455" s="1" t="s">
        <v>6103</v>
      </c>
      <c r="N455" s="1" t="s">
        <v>6104</v>
      </c>
      <c r="O455" s="2" t="s">
        <v>6105</v>
      </c>
      <c r="P455" s="1" t="s">
        <v>340</v>
      </c>
      <c r="Q455" s="2" t="s">
        <v>11</v>
      </c>
      <c r="R455" s="2" t="s">
        <v>244</v>
      </c>
      <c r="S455" s="1" t="s">
        <v>6089</v>
      </c>
      <c r="T455" s="2" t="s">
        <v>6106</v>
      </c>
      <c r="U455" s="3">
        <v>1</v>
      </c>
      <c r="V455" s="3">
        <v>2</v>
      </c>
      <c r="W455" s="4" t="s">
        <v>6107</v>
      </c>
      <c r="X455" s="4" t="s">
        <v>6107</v>
      </c>
      <c r="Y455" s="4" t="s">
        <v>6107</v>
      </c>
      <c r="Z455" s="4" t="s">
        <v>6107</v>
      </c>
      <c r="AA455" s="3">
        <v>99</v>
      </c>
      <c r="AB455" s="3">
        <v>71</v>
      </c>
      <c r="AC455" s="3">
        <v>177</v>
      </c>
      <c r="AD455" s="3">
        <v>1</v>
      </c>
      <c r="AE455" s="7">
        <v>2</v>
      </c>
      <c r="AF455" s="7">
        <v>3</v>
      </c>
      <c r="AG455" s="7">
        <v>12</v>
      </c>
      <c r="AH455" s="3">
        <v>0</v>
      </c>
      <c r="AI455" s="3">
        <v>1</v>
      </c>
      <c r="AJ455" s="3">
        <v>0</v>
      </c>
      <c r="AK455" s="3">
        <v>0</v>
      </c>
      <c r="AL455" s="3">
        <v>0</v>
      </c>
      <c r="AM455" s="3">
        <v>0</v>
      </c>
      <c r="AN455" s="3">
        <v>0</v>
      </c>
      <c r="AO455" s="3">
        <v>1</v>
      </c>
      <c r="AP455" s="3">
        <v>3</v>
      </c>
      <c r="AQ455" s="3">
        <v>10</v>
      </c>
      <c r="AR455" s="2" t="s">
        <v>5</v>
      </c>
      <c r="AS455" s="2" t="s">
        <v>16</v>
      </c>
      <c r="AT455" s="5" t="str">
        <f>HYPERLINK("http://catalog.hathitrust.org/Record/007242105","HathiTrust Record")</f>
        <v>HathiTrust Record</v>
      </c>
      <c r="AU455" s="5" t="str">
        <f>HYPERLINK("https://creighton-primo.hosted.exlibrisgroup.com/primo-explore/search?tab=default_tab&amp;search_scope=EVERYTHING&amp;vid=01CRU&amp;lang=en_US&amp;offset=0&amp;query=any,contains,991004346119702656","Catalog Record")</f>
        <v>Catalog Record</v>
      </c>
      <c r="AV455" s="5" t="str">
        <f>HYPERLINK("http://www.worldcat.org/oclc/46515081","WorldCat Record")</f>
        <v>WorldCat Record</v>
      </c>
      <c r="AW455" s="2" t="s">
        <v>6108</v>
      </c>
      <c r="AX455" s="2" t="s">
        <v>6109</v>
      </c>
      <c r="AY455" s="2" t="s">
        <v>6110</v>
      </c>
      <c r="AZ455" s="2" t="s">
        <v>6110</v>
      </c>
      <c r="BA455" s="2" t="s">
        <v>6111</v>
      </c>
      <c r="BB455" s="2" t="s">
        <v>21</v>
      </c>
      <c r="BD455" s="2" t="s">
        <v>6112</v>
      </c>
      <c r="BE455" s="2" t="s">
        <v>6115</v>
      </c>
      <c r="BF455" s="2" t="s">
        <v>6116</v>
      </c>
    </row>
    <row r="456" spans="1:58" ht="39.75" customHeight="1" x14ac:dyDescent="0.25">
      <c r="A456" s="1"/>
      <c r="B456" s="1" t="s">
        <v>0</v>
      </c>
      <c r="C456" s="1" t="s">
        <v>1</v>
      </c>
      <c r="D456" s="1" t="s">
        <v>6117</v>
      </c>
      <c r="E456" s="1" t="s">
        <v>6118</v>
      </c>
      <c r="F456" s="1" t="s">
        <v>6119</v>
      </c>
      <c r="H456" s="2" t="s">
        <v>5</v>
      </c>
      <c r="I456" s="2" t="s">
        <v>6</v>
      </c>
      <c r="J456" s="2" t="s">
        <v>5</v>
      </c>
      <c r="K456" s="2" t="s">
        <v>5</v>
      </c>
      <c r="L456" s="2" t="s">
        <v>7</v>
      </c>
      <c r="M456" s="1" t="s">
        <v>6120</v>
      </c>
      <c r="N456" s="1" t="s">
        <v>6121</v>
      </c>
      <c r="O456" s="2" t="s">
        <v>355</v>
      </c>
      <c r="Q456" s="2" t="s">
        <v>11</v>
      </c>
      <c r="R456" s="2" t="s">
        <v>543</v>
      </c>
      <c r="S456" s="1" t="s">
        <v>6122</v>
      </c>
      <c r="T456" s="2" t="s">
        <v>6123</v>
      </c>
      <c r="U456" s="3">
        <v>1</v>
      </c>
      <c r="V456" s="3">
        <v>1</v>
      </c>
      <c r="W456" s="4" t="s">
        <v>6124</v>
      </c>
      <c r="X456" s="4" t="s">
        <v>6124</v>
      </c>
      <c r="Y456" s="4" t="s">
        <v>5864</v>
      </c>
      <c r="Z456" s="4" t="s">
        <v>5864</v>
      </c>
      <c r="AA456" s="3">
        <v>478</v>
      </c>
      <c r="AB456" s="3">
        <v>376</v>
      </c>
      <c r="AC456" s="3">
        <v>381</v>
      </c>
      <c r="AD456" s="3">
        <v>3</v>
      </c>
      <c r="AE456" s="7">
        <v>4</v>
      </c>
      <c r="AF456" s="7">
        <v>19</v>
      </c>
      <c r="AG456" s="7">
        <v>20</v>
      </c>
      <c r="AH456" s="3">
        <v>2</v>
      </c>
      <c r="AI456" s="3">
        <v>2</v>
      </c>
      <c r="AJ456" s="3">
        <v>3</v>
      </c>
      <c r="AK456" s="3">
        <v>3</v>
      </c>
      <c r="AL456" s="3">
        <v>6</v>
      </c>
      <c r="AM456" s="3">
        <v>6</v>
      </c>
      <c r="AN456" s="3">
        <v>2</v>
      </c>
      <c r="AO456" s="3">
        <v>3</v>
      </c>
      <c r="AP456" s="3">
        <v>9</v>
      </c>
      <c r="AQ456" s="3">
        <v>9</v>
      </c>
      <c r="AR456" s="2" t="s">
        <v>5</v>
      </c>
      <c r="AS456" s="2" t="s">
        <v>16</v>
      </c>
      <c r="AT456" s="5" t="str">
        <f>HYPERLINK("http://catalog.hathitrust.org/Record/001128884","HathiTrust Record")</f>
        <v>HathiTrust Record</v>
      </c>
      <c r="AU456" s="5" t="str">
        <f>HYPERLINK("https://creighton-primo.hosted.exlibrisgroup.com/primo-explore/search?tab=default_tab&amp;search_scope=EVERYTHING&amp;vid=01CRU&amp;lang=en_US&amp;offset=0&amp;query=any,contains,991003003449702656","Catalog Record")</f>
        <v>Catalog Record</v>
      </c>
      <c r="AV456" s="5" t="str">
        <f>HYPERLINK("http://www.worldcat.org/oclc/570582","WorldCat Record")</f>
        <v>WorldCat Record</v>
      </c>
      <c r="AW456" s="2" t="s">
        <v>6125</v>
      </c>
      <c r="AX456" s="2" t="s">
        <v>6126</v>
      </c>
      <c r="AY456" s="2" t="s">
        <v>6127</v>
      </c>
      <c r="AZ456" s="2" t="s">
        <v>6127</v>
      </c>
      <c r="BA456" s="2" t="s">
        <v>6128</v>
      </c>
      <c r="BB456" s="2" t="s">
        <v>21</v>
      </c>
      <c r="BD456" s="2" t="s">
        <v>6129</v>
      </c>
      <c r="BE456" s="2" t="s">
        <v>6130</v>
      </c>
      <c r="BF456" s="2" t="s">
        <v>6131</v>
      </c>
    </row>
    <row r="457" spans="1:58" ht="39.75" customHeight="1" x14ac:dyDescent="0.25">
      <c r="A457" s="1"/>
      <c r="B457" s="1" t="s">
        <v>0</v>
      </c>
      <c r="C457" s="1" t="s">
        <v>1</v>
      </c>
      <c r="D457" s="1" t="s">
        <v>6132</v>
      </c>
      <c r="E457" s="1" t="s">
        <v>6133</v>
      </c>
      <c r="F457" s="1" t="s">
        <v>6134</v>
      </c>
      <c r="H457" s="2" t="s">
        <v>5</v>
      </c>
      <c r="I457" s="2" t="s">
        <v>6</v>
      </c>
      <c r="J457" s="2" t="s">
        <v>5</v>
      </c>
      <c r="K457" s="2" t="s">
        <v>5</v>
      </c>
      <c r="L457" s="2" t="s">
        <v>7</v>
      </c>
      <c r="M457" s="1" t="s">
        <v>6135</v>
      </c>
      <c r="N457" s="1" t="s">
        <v>6136</v>
      </c>
      <c r="O457" s="2" t="s">
        <v>355</v>
      </c>
      <c r="Q457" s="2" t="s">
        <v>11</v>
      </c>
      <c r="R457" s="2" t="s">
        <v>903</v>
      </c>
      <c r="S457" s="1" t="s">
        <v>6137</v>
      </c>
      <c r="T457" s="2" t="s">
        <v>6138</v>
      </c>
      <c r="U457" s="3">
        <v>5</v>
      </c>
      <c r="V457" s="3">
        <v>5</v>
      </c>
      <c r="W457" s="4" t="s">
        <v>6139</v>
      </c>
      <c r="X457" s="4" t="s">
        <v>6139</v>
      </c>
      <c r="Y457" s="4" t="s">
        <v>6002</v>
      </c>
      <c r="Z457" s="4" t="s">
        <v>6002</v>
      </c>
      <c r="AA457" s="3">
        <v>597</v>
      </c>
      <c r="AB457" s="3">
        <v>522</v>
      </c>
      <c r="AC457" s="3">
        <v>828</v>
      </c>
      <c r="AD457" s="3">
        <v>4</v>
      </c>
      <c r="AE457" s="7">
        <v>5</v>
      </c>
      <c r="AF457" s="7">
        <v>30</v>
      </c>
      <c r="AG457" s="7">
        <v>39</v>
      </c>
      <c r="AH457" s="3">
        <v>7</v>
      </c>
      <c r="AI457" s="3">
        <v>12</v>
      </c>
      <c r="AJ457" s="3">
        <v>7</v>
      </c>
      <c r="AK457" s="3">
        <v>9</v>
      </c>
      <c r="AL457" s="3">
        <v>11</v>
      </c>
      <c r="AM457" s="3">
        <v>14</v>
      </c>
      <c r="AN457" s="3">
        <v>2</v>
      </c>
      <c r="AO457" s="3">
        <v>3</v>
      </c>
      <c r="AP457" s="3">
        <v>9</v>
      </c>
      <c r="AQ457" s="3">
        <v>9</v>
      </c>
      <c r="AR457" s="2" t="s">
        <v>5</v>
      </c>
      <c r="AS457" s="2" t="s">
        <v>5</v>
      </c>
      <c r="AU457" s="5" t="str">
        <f>HYPERLINK("https://creighton-primo.hosted.exlibrisgroup.com/primo-explore/search?tab=default_tab&amp;search_scope=EVERYTHING&amp;vid=01CRU&amp;lang=en_US&amp;offset=0&amp;query=any,contains,991003274799702656","Catalog Record")</f>
        <v>Catalog Record</v>
      </c>
      <c r="AV457" s="5" t="str">
        <f>HYPERLINK("http://www.worldcat.org/oclc/799478","WorldCat Record")</f>
        <v>WorldCat Record</v>
      </c>
      <c r="AW457" s="2" t="s">
        <v>6140</v>
      </c>
      <c r="AX457" s="2" t="s">
        <v>6141</v>
      </c>
      <c r="AY457" s="2" t="s">
        <v>6142</v>
      </c>
      <c r="AZ457" s="2" t="s">
        <v>6142</v>
      </c>
      <c r="BA457" s="2" t="s">
        <v>6143</v>
      </c>
      <c r="BB457" s="2" t="s">
        <v>21</v>
      </c>
      <c r="BD457" s="2" t="s">
        <v>6144</v>
      </c>
      <c r="BE457" s="2" t="s">
        <v>6145</v>
      </c>
      <c r="BF457" s="2" t="s">
        <v>6146</v>
      </c>
    </row>
    <row r="458" spans="1:58" ht="39.75" customHeight="1" x14ac:dyDescent="0.25">
      <c r="A458" s="1"/>
      <c r="B458" s="1" t="s">
        <v>0</v>
      </c>
      <c r="C458" s="1" t="s">
        <v>1</v>
      </c>
      <c r="D458" s="1" t="s">
        <v>6147</v>
      </c>
      <c r="E458" s="1" t="s">
        <v>6148</v>
      </c>
      <c r="F458" s="1" t="s">
        <v>6149</v>
      </c>
      <c r="H458" s="2" t="s">
        <v>5</v>
      </c>
      <c r="I458" s="2" t="s">
        <v>6</v>
      </c>
      <c r="J458" s="2" t="s">
        <v>5</v>
      </c>
      <c r="K458" s="2" t="s">
        <v>5</v>
      </c>
      <c r="L458" s="2" t="s">
        <v>7</v>
      </c>
      <c r="M458" s="1" t="s">
        <v>6150</v>
      </c>
      <c r="N458" s="1" t="s">
        <v>6151</v>
      </c>
      <c r="O458" s="2" t="s">
        <v>305</v>
      </c>
      <c r="Q458" s="2" t="s">
        <v>11</v>
      </c>
      <c r="R458" s="2" t="s">
        <v>76</v>
      </c>
      <c r="S458" s="1" t="s">
        <v>6152</v>
      </c>
      <c r="T458" s="2" t="s">
        <v>6138</v>
      </c>
      <c r="U458" s="3">
        <v>2</v>
      </c>
      <c r="V458" s="3">
        <v>2</v>
      </c>
      <c r="W458" s="4" t="s">
        <v>6153</v>
      </c>
      <c r="X458" s="4" t="s">
        <v>6153</v>
      </c>
      <c r="Y458" s="4" t="s">
        <v>6154</v>
      </c>
      <c r="Z458" s="4" t="s">
        <v>6154</v>
      </c>
      <c r="AA458" s="3">
        <v>365</v>
      </c>
      <c r="AB458" s="3">
        <v>257</v>
      </c>
      <c r="AC458" s="3">
        <v>289</v>
      </c>
      <c r="AD458" s="3">
        <v>1</v>
      </c>
      <c r="AE458" s="7">
        <v>1</v>
      </c>
      <c r="AF458" s="7">
        <v>24</v>
      </c>
      <c r="AG458" s="7">
        <v>25</v>
      </c>
      <c r="AH458" s="3">
        <v>5</v>
      </c>
      <c r="AI458" s="3">
        <v>5</v>
      </c>
      <c r="AJ458" s="3">
        <v>3</v>
      </c>
      <c r="AK458" s="3">
        <v>3</v>
      </c>
      <c r="AL458" s="3">
        <v>9</v>
      </c>
      <c r="AM458" s="3">
        <v>9</v>
      </c>
      <c r="AN458" s="3">
        <v>0</v>
      </c>
      <c r="AO458" s="3">
        <v>0</v>
      </c>
      <c r="AP458" s="3">
        <v>12</v>
      </c>
      <c r="AQ458" s="3">
        <v>13</v>
      </c>
      <c r="AR458" s="2" t="s">
        <v>5</v>
      </c>
      <c r="AS458" s="2" t="s">
        <v>5</v>
      </c>
      <c r="AU458" s="5" t="str">
        <f>HYPERLINK("https://creighton-primo.hosted.exlibrisgroup.com/primo-explore/search?tab=default_tab&amp;search_scope=EVERYTHING&amp;vid=01CRU&amp;lang=en_US&amp;offset=0&amp;query=any,contains,991002373539702656","Catalog Record")</f>
        <v>Catalog Record</v>
      </c>
      <c r="AV458" s="5" t="str">
        <f>HYPERLINK("http://www.worldcat.org/oclc/30892440","WorldCat Record")</f>
        <v>WorldCat Record</v>
      </c>
      <c r="AW458" s="2" t="s">
        <v>6155</v>
      </c>
      <c r="AX458" s="2" t="s">
        <v>6156</v>
      </c>
      <c r="AY458" s="2" t="s">
        <v>6157</v>
      </c>
      <c r="AZ458" s="2" t="s">
        <v>6157</v>
      </c>
      <c r="BA458" s="2" t="s">
        <v>6158</v>
      </c>
      <c r="BB458" s="2" t="s">
        <v>21</v>
      </c>
      <c r="BD458" s="2" t="s">
        <v>6159</v>
      </c>
      <c r="BE458" s="2" t="s">
        <v>6160</v>
      </c>
      <c r="BF458" s="2" t="s">
        <v>6161</v>
      </c>
    </row>
    <row r="459" spans="1:58" ht="39.75" customHeight="1" x14ac:dyDescent="0.25">
      <c r="A459" s="1"/>
      <c r="B459" s="1" t="s">
        <v>0</v>
      </c>
      <c r="C459" s="1" t="s">
        <v>1</v>
      </c>
      <c r="D459" s="1" t="s">
        <v>6162</v>
      </c>
      <c r="E459" s="1" t="s">
        <v>6163</v>
      </c>
      <c r="F459" s="1" t="s">
        <v>6164</v>
      </c>
      <c r="H459" s="2" t="s">
        <v>5</v>
      </c>
      <c r="I459" s="2" t="s">
        <v>6</v>
      </c>
      <c r="J459" s="2" t="s">
        <v>5</v>
      </c>
      <c r="K459" s="2" t="s">
        <v>5</v>
      </c>
      <c r="L459" s="2" t="s">
        <v>7</v>
      </c>
      <c r="N459" s="1" t="s">
        <v>6165</v>
      </c>
      <c r="O459" s="2" t="s">
        <v>152</v>
      </c>
      <c r="Q459" s="2" t="s">
        <v>11</v>
      </c>
      <c r="R459" s="2" t="s">
        <v>6166</v>
      </c>
      <c r="S459" s="1" t="s">
        <v>6167</v>
      </c>
      <c r="T459" s="2" t="s">
        <v>6138</v>
      </c>
      <c r="U459" s="3">
        <v>1</v>
      </c>
      <c r="V459" s="3">
        <v>1</v>
      </c>
      <c r="W459" s="4" t="s">
        <v>6168</v>
      </c>
      <c r="X459" s="4" t="s">
        <v>6168</v>
      </c>
      <c r="Y459" s="4" t="s">
        <v>6169</v>
      </c>
      <c r="Z459" s="4" t="s">
        <v>6169</v>
      </c>
      <c r="AA459" s="3">
        <v>325</v>
      </c>
      <c r="AB459" s="3">
        <v>209</v>
      </c>
      <c r="AC459" s="3">
        <v>211</v>
      </c>
      <c r="AD459" s="3">
        <v>2</v>
      </c>
      <c r="AE459" s="7">
        <v>2</v>
      </c>
      <c r="AF459" s="7">
        <v>14</v>
      </c>
      <c r="AG459" s="7">
        <v>14</v>
      </c>
      <c r="AH459" s="3">
        <v>0</v>
      </c>
      <c r="AI459" s="3">
        <v>0</v>
      </c>
      <c r="AJ459" s="3">
        <v>2</v>
      </c>
      <c r="AK459" s="3">
        <v>2</v>
      </c>
      <c r="AL459" s="3">
        <v>4</v>
      </c>
      <c r="AM459" s="3">
        <v>4</v>
      </c>
      <c r="AN459" s="3">
        <v>1</v>
      </c>
      <c r="AO459" s="3">
        <v>1</v>
      </c>
      <c r="AP459" s="3">
        <v>8</v>
      </c>
      <c r="AQ459" s="3">
        <v>8</v>
      </c>
      <c r="AR459" s="2" t="s">
        <v>5</v>
      </c>
      <c r="AS459" s="2" t="s">
        <v>16</v>
      </c>
      <c r="AT459" s="5" t="str">
        <f>HYPERLINK("http://catalog.hathitrust.org/Record/002430448","HathiTrust Record")</f>
        <v>HathiTrust Record</v>
      </c>
      <c r="AU459" s="5" t="str">
        <f>HYPERLINK("https://creighton-primo.hosted.exlibrisgroup.com/primo-explore/search?tab=default_tab&amp;search_scope=EVERYTHING&amp;vid=01CRU&amp;lang=en_US&amp;offset=0&amp;query=any,contains,991001774309702656","Catalog Record")</f>
        <v>Catalog Record</v>
      </c>
      <c r="AV459" s="5" t="str">
        <f>HYPERLINK("http://www.worldcat.org/oclc/22399071","WorldCat Record")</f>
        <v>WorldCat Record</v>
      </c>
      <c r="AW459" s="2" t="s">
        <v>6170</v>
      </c>
      <c r="AX459" s="2" t="s">
        <v>6171</v>
      </c>
      <c r="AY459" s="2" t="s">
        <v>6172</v>
      </c>
      <c r="AZ459" s="2" t="s">
        <v>6172</v>
      </c>
      <c r="BA459" s="2" t="s">
        <v>6173</v>
      </c>
      <c r="BB459" s="2" t="s">
        <v>21</v>
      </c>
      <c r="BD459" s="2" t="s">
        <v>6174</v>
      </c>
      <c r="BE459" s="2" t="s">
        <v>6175</v>
      </c>
      <c r="BF459" s="2" t="s">
        <v>6176</v>
      </c>
    </row>
    <row r="460" spans="1:58" ht="39.75" customHeight="1" x14ac:dyDescent="0.25">
      <c r="A460" s="1"/>
      <c r="B460" s="1" t="s">
        <v>0</v>
      </c>
      <c r="C460" s="1" t="s">
        <v>1</v>
      </c>
      <c r="D460" s="1" t="s">
        <v>6177</v>
      </c>
      <c r="E460" s="1" t="s">
        <v>6178</v>
      </c>
      <c r="F460" s="1" t="s">
        <v>6179</v>
      </c>
      <c r="H460" s="2" t="s">
        <v>5</v>
      </c>
      <c r="I460" s="2" t="s">
        <v>6</v>
      </c>
      <c r="J460" s="2" t="s">
        <v>5</v>
      </c>
      <c r="K460" s="2" t="s">
        <v>5</v>
      </c>
      <c r="L460" s="2" t="s">
        <v>7</v>
      </c>
      <c r="N460" s="1" t="s">
        <v>6180</v>
      </c>
      <c r="O460" s="2" t="s">
        <v>586</v>
      </c>
      <c r="Q460" s="2" t="s">
        <v>11</v>
      </c>
      <c r="R460" s="2" t="s">
        <v>153</v>
      </c>
      <c r="T460" s="2" t="s">
        <v>6181</v>
      </c>
      <c r="U460" s="3">
        <v>3</v>
      </c>
      <c r="V460" s="3">
        <v>3</v>
      </c>
      <c r="W460" s="4" t="s">
        <v>6182</v>
      </c>
      <c r="X460" s="4" t="s">
        <v>6182</v>
      </c>
      <c r="Y460" s="4" t="s">
        <v>4636</v>
      </c>
      <c r="Z460" s="4" t="s">
        <v>4636</v>
      </c>
      <c r="AA460" s="3">
        <v>301</v>
      </c>
      <c r="AB460" s="3">
        <v>224</v>
      </c>
      <c r="AC460" s="3">
        <v>259</v>
      </c>
      <c r="AD460" s="3">
        <v>1</v>
      </c>
      <c r="AE460" s="7">
        <v>1</v>
      </c>
      <c r="AF460" s="7">
        <v>17</v>
      </c>
      <c r="AG460" s="7">
        <v>18</v>
      </c>
      <c r="AH460" s="3">
        <v>3</v>
      </c>
      <c r="AI460" s="3">
        <v>4</v>
      </c>
      <c r="AJ460" s="3">
        <v>4</v>
      </c>
      <c r="AK460" s="3">
        <v>4</v>
      </c>
      <c r="AL460" s="3">
        <v>3</v>
      </c>
      <c r="AM460" s="3">
        <v>4</v>
      </c>
      <c r="AN460" s="3">
        <v>0</v>
      </c>
      <c r="AO460" s="3">
        <v>0</v>
      </c>
      <c r="AP460" s="3">
        <v>9</v>
      </c>
      <c r="AQ460" s="3">
        <v>9</v>
      </c>
      <c r="AR460" s="2" t="s">
        <v>5</v>
      </c>
      <c r="AS460" s="2" t="s">
        <v>5</v>
      </c>
      <c r="AU460" s="5" t="str">
        <f>HYPERLINK("https://creighton-primo.hosted.exlibrisgroup.com/primo-explore/search?tab=default_tab&amp;search_scope=EVERYTHING&amp;vid=01CRU&amp;lang=en_US&amp;offset=0&amp;query=any,contains,991002610729702656","Catalog Record")</f>
        <v>Catalog Record</v>
      </c>
      <c r="AV460" s="5" t="str">
        <f>HYPERLINK("http://www.worldcat.org/oclc/34193065","WorldCat Record")</f>
        <v>WorldCat Record</v>
      </c>
      <c r="AW460" s="2" t="s">
        <v>6183</v>
      </c>
      <c r="AX460" s="2" t="s">
        <v>6184</v>
      </c>
      <c r="AY460" s="2" t="s">
        <v>6185</v>
      </c>
      <c r="AZ460" s="2" t="s">
        <v>6185</v>
      </c>
      <c r="BA460" s="2" t="s">
        <v>6186</v>
      </c>
      <c r="BB460" s="2" t="s">
        <v>21</v>
      </c>
      <c r="BD460" s="2" t="s">
        <v>6187</v>
      </c>
      <c r="BE460" s="2" t="s">
        <v>6188</v>
      </c>
      <c r="BF460" s="2" t="s">
        <v>6189</v>
      </c>
    </row>
    <row r="461" spans="1:58" ht="39.75" customHeight="1" x14ac:dyDescent="0.25">
      <c r="A461" s="1"/>
      <c r="B461" s="1" t="s">
        <v>0</v>
      </c>
      <c r="C461" s="1" t="s">
        <v>1</v>
      </c>
      <c r="D461" s="1" t="s">
        <v>6190</v>
      </c>
      <c r="E461" s="1" t="s">
        <v>6191</v>
      </c>
      <c r="F461" s="1" t="s">
        <v>6192</v>
      </c>
      <c r="H461" s="2" t="s">
        <v>5</v>
      </c>
      <c r="I461" s="2" t="s">
        <v>6</v>
      </c>
      <c r="J461" s="2" t="s">
        <v>5</v>
      </c>
      <c r="K461" s="2" t="s">
        <v>5</v>
      </c>
      <c r="L461" s="2" t="s">
        <v>7</v>
      </c>
      <c r="M461" s="1" t="s">
        <v>6193</v>
      </c>
      <c r="N461" s="1" t="s">
        <v>6194</v>
      </c>
      <c r="O461" s="2" t="s">
        <v>91</v>
      </c>
      <c r="Q461" s="2" t="s">
        <v>11</v>
      </c>
      <c r="R461" s="2" t="s">
        <v>76</v>
      </c>
      <c r="T461" s="2" t="s">
        <v>6181</v>
      </c>
      <c r="U461" s="3">
        <v>1</v>
      </c>
      <c r="V461" s="3">
        <v>1</v>
      </c>
      <c r="W461" s="4" t="s">
        <v>6195</v>
      </c>
      <c r="X461" s="4" t="s">
        <v>6195</v>
      </c>
      <c r="Y461" s="4" t="s">
        <v>6195</v>
      </c>
      <c r="Z461" s="4" t="s">
        <v>6195</v>
      </c>
      <c r="AA461" s="3">
        <v>197</v>
      </c>
      <c r="AB461" s="3">
        <v>147</v>
      </c>
      <c r="AC461" s="3">
        <v>149</v>
      </c>
      <c r="AD461" s="3">
        <v>2</v>
      </c>
      <c r="AE461" s="7">
        <v>2</v>
      </c>
      <c r="AF461" s="7">
        <v>12</v>
      </c>
      <c r="AG461" s="7">
        <v>12</v>
      </c>
      <c r="AH461" s="3">
        <v>2</v>
      </c>
      <c r="AI461" s="3">
        <v>2</v>
      </c>
      <c r="AJ461" s="3">
        <v>0</v>
      </c>
      <c r="AK461" s="3">
        <v>0</v>
      </c>
      <c r="AL461" s="3">
        <v>2</v>
      </c>
      <c r="AM461" s="3">
        <v>2</v>
      </c>
      <c r="AN461" s="3">
        <v>1</v>
      </c>
      <c r="AO461" s="3">
        <v>1</v>
      </c>
      <c r="AP461" s="3">
        <v>9</v>
      </c>
      <c r="AQ461" s="3">
        <v>9</v>
      </c>
      <c r="AR461" s="2" t="s">
        <v>5</v>
      </c>
      <c r="AS461" s="2" t="s">
        <v>16</v>
      </c>
      <c r="AT461" s="5" t="str">
        <f>HYPERLINK("http://catalog.hathitrust.org/Record/002574043","HathiTrust Record")</f>
        <v>HathiTrust Record</v>
      </c>
      <c r="AU461" s="5" t="str">
        <f>HYPERLINK("https://creighton-primo.hosted.exlibrisgroup.com/primo-explore/search?tab=default_tab&amp;search_scope=EVERYTHING&amp;vid=01CRU&amp;lang=en_US&amp;offset=0&amp;query=any,contains,991004348079702656","Catalog Record")</f>
        <v>Catalog Record</v>
      </c>
      <c r="AV461" s="5" t="str">
        <f>HYPERLINK("http://www.worldcat.org/oclc/26096185","WorldCat Record")</f>
        <v>WorldCat Record</v>
      </c>
      <c r="AW461" s="2" t="s">
        <v>6196</v>
      </c>
      <c r="AX461" s="2" t="s">
        <v>6197</v>
      </c>
      <c r="AY461" s="2" t="s">
        <v>6198</v>
      </c>
      <c r="AZ461" s="2" t="s">
        <v>6198</v>
      </c>
      <c r="BA461" s="2" t="s">
        <v>6199</v>
      </c>
      <c r="BB461" s="2" t="s">
        <v>21</v>
      </c>
      <c r="BD461" s="2" t="s">
        <v>6200</v>
      </c>
      <c r="BE461" s="2" t="s">
        <v>6201</v>
      </c>
      <c r="BF461" s="2" t="s">
        <v>6202</v>
      </c>
    </row>
    <row r="462" spans="1:58" ht="39.75" customHeight="1" x14ac:dyDescent="0.25">
      <c r="A462" s="1"/>
      <c r="B462" s="1" t="s">
        <v>0</v>
      </c>
      <c r="C462" s="1" t="s">
        <v>1</v>
      </c>
      <c r="D462" s="1" t="s">
        <v>6203</v>
      </c>
      <c r="E462" s="1" t="s">
        <v>6204</v>
      </c>
      <c r="F462" s="1" t="s">
        <v>6205</v>
      </c>
      <c r="H462" s="2" t="s">
        <v>16</v>
      </c>
      <c r="I462" s="2" t="s">
        <v>6</v>
      </c>
      <c r="J462" s="2" t="s">
        <v>16</v>
      </c>
      <c r="K462" s="2" t="s">
        <v>5</v>
      </c>
      <c r="L462" s="2" t="s">
        <v>7</v>
      </c>
      <c r="N462" s="1" t="s">
        <v>6206</v>
      </c>
      <c r="O462" s="2" t="s">
        <v>75</v>
      </c>
      <c r="Q462" s="2" t="s">
        <v>11</v>
      </c>
      <c r="R462" s="2" t="s">
        <v>76</v>
      </c>
      <c r="T462" s="2" t="s">
        <v>6181</v>
      </c>
      <c r="U462" s="3">
        <v>1</v>
      </c>
      <c r="V462" s="3">
        <v>38</v>
      </c>
      <c r="X462" s="4" t="s">
        <v>6207</v>
      </c>
      <c r="Y462" s="4" t="s">
        <v>4257</v>
      </c>
      <c r="Z462" s="4" t="s">
        <v>6208</v>
      </c>
      <c r="AA462" s="3">
        <v>273</v>
      </c>
      <c r="AB462" s="3">
        <v>239</v>
      </c>
      <c r="AC462" s="3">
        <v>240</v>
      </c>
      <c r="AD462" s="3">
        <v>4</v>
      </c>
      <c r="AE462" s="7">
        <v>4</v>
      </c>
      <c r="AF462" s="7">
        <v>21</v>
      </c>
      <c r="AG462" s="7">
        <v>21</v>
      </c>
      <c r="AH462" s="3">
        <v>0</v>
      </c>
      <c r="AI462" s="3">
        <v>0</v>
      </c>
      <c r="AJ462" s="3">
        <v>2</v>
      </c>
      <c r="AK462" s="3">
        <v>2</v>
      </c>
      <c r="AL462" s="3">
        <v>4</v>
      </c>
      <c r="AM462" s="3">
        <v>4</v>
      </c>
      <c r="AN462" s="3">
        <v>2</v>
      </c>
      <c r="AO462" s="3">
        <v>2</v>
      </c>
      <c r="AP462" s="3">
        <v>15</v>
      </c>
      <c r="AQ462" s="3">
        <v>15</v>
      </c>
      <c r="AR462" s="2" t="s">
        <v>5</v>
      </c>
      <c r="AS462" s="2" t="s">
        <v>16</v>
      </c>
      <c r="AT462" s="5" t="str">
        <f>HYPERLINK("http://catalog.hathitrust.org/Record/010055235","HathiTrust Record")</f>
        <v>HathiTrust Record</v>
      </c>
      <c r="AU462" s="5" t="str">
        <f>HYPERLINK("https://creighton-primo.hosted.exlibrisgroup.com/primo-explore/search?tab=default_tab&amp;search_scope=EVERYTHING&amp;vid=01CRU&amp;lang=en_US&amp;offset=0&amp;query=any,contains,991001789789702656","Catalog Record")</f>
        <v>Catalog Record</v>
      </c>
      <c r="AV462" s="5" t="str">
        <f>HYPERLINK("http://www.worldcat.org/oclc/210049","WorldCat Record")</f>
        <v>WorldCat Record</v>
      </c>
      <c r="AW462" s="2" t="s">
        <v>6209</v>
      </c>
      <c r="AX462" s="2" t="s">
        <v>6210</v>
      </c>
      <c r="AY462" s="2" t="s">
        <v>6211</v>
      </c>
      <c r="AZ462" s="2" t="s">
        <v>6211</v>
      </c>
      <c r="BA462" s="2" t="s">
        <v>6212</v>
      </c>
      <c r="BB462" s="2" t="s">
        <v>21</v>
      </c>
      <c r="BD462" s="2" t="s">
        <v>6213</v>
      </c>
      <c r="BE462" s="2" t="s">
        <v>6214</v>
      </c>
      <c r="BF462" s="2" t="s">
        <v>6215</v>
      </c>
    </row>
    <row r="463" spans="1:58" ht="39.75" customHeight="1" x14ac:dyDescent="0.25">
      <c r="A463" s="1"/>
      <c r="B463" s="1" t="s">
        <v>0</v>
      </c>
      <c r="C463" s="1" t="s">
        <v>1</v>
      </c>
      <c r="D463" s="1" t="s">
        <v>6216</v>
      </c>
      <c r="E463" s="1" t="s">
        <v>6217</v>
      </c>
      <c r="F463" s="1" t="s">
        <v>6218</v>
      </c>
      <c r="H463" s="2" t="s">
        <v>5</v>
      </c>
      <c r="I463" s="2" t="s">
        <v>6</v>
      </c>
      <c r="J463" s="2" t="s">
        <v>5</v>
      </c>
      <c r="K463" s="2" t="s">
        <v>5</v>
      </c>
      <c r="L463" s="2" t="s">
        <v>7</v>
      </c>
      <c r="M463" s="1" t="s">
        <v>6219</v>
      </c>
      <c r="N463" s="1" t="s">
        <v>6220</v>
      </c>
      <c r="O463" s="2" t="s">
        <v>291</v>
      </c>
      <c r="Q463" s="2" t="s">
        <v>11</v>
      </c>
      <c r="R463" s="2" t="s">
        <v>76</v>
      </c>
      <c r="T463" s="2" t="s">
        <v>6181</v>
      </c>
      <c r="U463" s="3">
        <v>1</v>
      </c>
      <c r="V463" s="3">
        <v>1</v>
      </c>
      <c r="W463" s="4" t="s">
        <v>6221</v>
      </c>
      <c r="X463" s="4" t="s">
        <v>6221</v>
      </c>
      <c r="Y463" s="4" t="s">
        <v>6221</v>
      </c>
      <c r="Z463" s="4" t="s">
        <v>6221</v>
      </c>
      <c r="AA463" s="3">
        <v>91</v>
      </c>
      <c r="AB463" s="3">
        <v>83</v>
      </c>
      <c r="AC463" s="3">
        <v>100</v>
      </c>
      <c r="AD463" s="3">
        <v>1</v>
      </c>
      <c r="AE463" s="7">
        <v>1</v>
      </c>
      <c r="AF463" s="7">
        <v>8</v>
      </c>
      <c r="AG463" s="7">
        <v>9</v>
      </c>
      <c r="AH463" s="3">
        <v>1</v>
      </c>
      <c r="AI463" s="3">
        <v>2</v>
      </c>
      <c r="AJ463" s="3">
        <v>0</v>
      </c>
      <c r="AK463" s="3">
        <v>0</v>
      </c>
      <c r="AL463" s="3">
        <v>2</v>
      </c>
      <c r="AM463" s="3">
        <v>3</v>
      </c>
      <c r="AN463" s="3">
        <v>0</v>
      </c>
      <c r="AO463" s="3">
        <v>0</v>
      </c>
      <c r="AP463" s="3">
        <v>6</v>
      </c>
      <c r="AQ463" s="3">
        <v>6</v>
      </c>
      <c r="AR463" s="2" t="s">
        <v>5</v>
      </c>
      <c r="AS463" s="2" t="s">
        <v>16</v>
      </c>
      <c r="AT463" s="5" t="str">
        <f>HYPERLINK("http://catalog.hathitrust.org/Record/004050557","HathiTrust Record")</f>
        <v>HathiTrust Record</v>
      </c>
      <c r="AU463" s="5" t="str">
        <f>HYPERLINK("https://creighton-primo.hosted.exlibrisgroup.com/primo-explore/search?tab=default_tab&amp;search_scope=EVERYTHING&amp;vid=01CRU&amp;lang=en_US&amp;offset=0&amp;query=any,contains,991004348049702656","Catalog Record")</f>
        <v>Catalog Record</v>
      </c>
      <c r="AV463" s="5" t="str">
        <f>HYPERLINK("http://www.worldcat.org/oclc/40682247","WorldCat Record")</f>
        <v>WorldCat Record</v>
      </c>
      <c r="AW463" s="2" t="s">
        <v>6222</v>
      </c>
      <c r="AX463" s="2" t="s">
        <v>6223</v>
      </c>
      <c r="AY463" s="2" t="s">
        <v>6224</v>
      </c>
      <c r="AZ463" s="2" t="s">
        <v>6224</v>
      </c>
      <c r="BA463" s="2" t="s">
        <v>6225</v>
      </c>
      <c r="BB463" s="2" t="s">
        <v>21</v>
      </c>
      <c r="BD463" s="2" t="s">
        <v>6226</v>
      </c>
      <c r="BE463" s="2" t="s">
        <v>6227</v>
      </c>
      <c r="BF463" s="2" t="s">
        <v>6228</v>
      </c>
    </row>
    <row r="464" spans="1:58" ht="39.75" customHeight="1" x14ac:dyDescent="0.25">
      <c r="A464" s="1"/>
      <c r="B464" s="1" t="s">
        <v>0</v>
      </c>
      <c r="C464" s="1" t="s">
        <v>1</v>
      </c>
      <c r="D464" s="1" t="s">
        <v>6229</v>
      </c>
      <c r="E464" s="1" t="s">
        <v>6230</v>
      </c>
      <c r="F464" s="1" t="s">
        <v>6231</v>
      </c>
      <c r="H464" s="2" t="s">
        <v>5</v>
      </c>
      <c r="I464" s="2" t="s">
        <v>6</v>
      </c>
      <c r="J464" s="2" t="s">
        <v>5</v>
      </c>
      <c r="K464" s="2" t="s">
        <v>5</v>
      </c>
      <c r="L464" s="2" t="s">
        <v>7</v>
      </c>
      <c r="N464" s="1" t="s">
        <v>6232</v>
      </c>
      <c r="O464" s="2" t="s">
        <v>918</v>
      </c>
      <c r="Q464" s="2" t="s">
        <v>11</v>
      </c>
      <c r="R464" s="2" t="s">
        <v>260</v>
      </c>
      <c r="T464" s="2" t="s">
        <v>6181</v>
      </c>
      <c r="U464" s="3">
        <v>2</v>
      </c>
      <c r="V464" s="3">
        <v>2</v>
      </c>
      <c r="W464" s="4" t="s">
        <v>6233</v>
      </c>
      <c r="X464" s="4" t="s">
        <v>6233</v>
      </c>
      <c r="Y464" s="4" t="s">
        <v>6234</v>
      </c>
      <c r="Z464" s="4" t="s">
        <v>6234</v>
      </c>
      <c r="AA464" s="3">
        <v>584</v>
      </c>
      <c r="AB464" s="3">
        <v>409</v>
      </c>
      <c r="AC464" s="3">
        <v>415</v>
      </c>
      <c r="AD464" s="3">
        <v>4</v>
      </c>
      <c r="AE464" s="7">
        <v>4</v>
      </c>
      <c r="AF464" s="7">
        <v>30</v>
      </c>
      <c r="AG464" s="7">
        <v>30</v>
      </c>
      <c r="AH464" s="3">
        <v>7</v>
      </c>
      <c r="AI464" s="3">
        <v>7</v>
      </c>
      <c r="AJ464" s="3">
        <v>4</v>
      </c>
      <c r="AK464" s="3">
        <v>4</v>
      </c>
      <c r="AL464" s="3">
        <v>6</v>
      </c>
      <c r="AM464" s="3">
        <v>6</v>
      </c>
      <c r="AN464" s="3">
        <v>2</v>
      </c>
      <c r="AO464" s="3">
        <v>2</v>
      </c>
      <c r="AP464" s="3">
        <v>15</v>
      </c>
      <c r="AQ464" s="3">
        <v>15</v>
      </c>
      <c r="AR464" s="2" t="s">
        <v>5</v>
      </c>
      <c r="AS464" s="2" t="s">
        <v>5</v>
      </c>
      <c r="AU464" s="5" t="str">
        <f>HYPERLINK("https://creighton-primo.hosted.exlibrisgroup.com/primo-explore/search?tab=default_tab&amp;search_scope=EVERYTHING&amp;vid=01CRU&amp;lang=en_US&amp;offset=0&amp;query=any,contains,991002717649702656","Catalog Record")</f>
        <v>Catalog Record</v>
      </c>
      <c r="AV464" s="5" t="str">
        <f>HYPERLINK("http://www.worldcat.org/oclc/35638622","WorldCat Record")</f>
        <v>WorldCat Record</v>
      </c>
      <c r="AW464" s="2" t="s">
        <v>6235</v>
      </c>
      <c r="AX464" s="2" t="s">
        <v>6236</v>
      </c>
      <c r="AY464" s="2" t="s">
        <v>6237</v>
      </c>
      <c r="AZ464" s="2" t="s">
        <v>6237</v>
      </c>
      <c r="BA464" s="2" t="s">
        <v>6238</v>
      </c>
      <c r="BB464" s="2" t="s">
        <v>21</v>
      </c>
      <c r="BD464" s="2" t="s">
        <v>6239</v>
      </c>
      <c r="BE464" s="2" t="s">
        <v>6240</v>
      </c>
      <c r="BF464" s="2" t="s">
        <v>6241</v>
      </c>
    </row>
    <row r="465" spans="1:58" ht="39.75" customHeight="1" x14ac:dyDescent="0.25">
      <c r="A465" s="1"/>
      <c r="B465" s="1" t="s">
        <v>0</v>
      </c>
      <c r="C465" s="1" t="s">
        <v>1</v>
      </c>
      <c r="D465" s="1" t="s">
        <v>6242</v>
      </c>
      <c r="E465" s="1" t="s">
        <v>6243</v>
      </c>
      <c r="F465" s="1" t="s">
        <v>6244</v>
      </c>
      <c r="H465" s="2" t="s">
        <v>5</v>
      </c>
      <c r="I465" s="2" t="s">
        <v>6</v>
      </c>
      <c r="J465" s="2" t="s">
        <v>5</v>
      </c>
      <c r="K465" s="2" t="s">
        <v>5</v>
      </c>
      <c r="L465" s="2" t="s">
        <v>7</v>
      </c>
      <c r="N465" s="1" t="s">
        <v>6245</v>
      </c>
      <c r="O465" s="2" t="s">
        <v>1396</v>
      </c>
      <c r="Q465" s="2" t="s">
        <v>11</v>
      </c>
      <c r="R465" s="2" t="s">
        <v>809</v>
      </c>
      <c r="T465" s="2" t="s">
        <v>6181</v>
      </c>
      <c r="U465" s="3">
        <v>3</v>
      </c>
      <c r="V465" s="3">
        <v>3</v>
      </c>
      <c r="W465" s="4" t="s">
        <v>6246</v>
      </c>
      <c r="X465" s="4" t="s">
        <v>6246</v>
      </c>
      <c r="Y465" s="4" t="s">
        <v>6247</v>
      </c>
      <c r="Z465" s="4" t="s">
        <v>6247</v>
      </c>
      <c r="AA465" s="3">
        <v>492</v>
      </c>
      <c r="AB465" s="3">
        <v>367</v>
      </c>
      <c r="AC465" s="3">
        <v>375</v>
      </c>
      <c r="AD465" s="3">
        <v>2</v>
      </c>
      <c r="AE465" s="7">
        <v>2</v>
      </c>
      <c r="AF465" s="7">
        <v>14</v>
      </c>
      <c r="AG465" s="7">
        <v>14</v>
      </c>
      <c r="AH465" s="3">
        <v>6</v>
      </c>
      <c r="AI465" s="3">
        <v>6</v>
      </c>
      <c r="AJ465" s="3">
        <v>4</v>
      </c>
      <c r="AK465" s="3">
        <v>4</v>
      </c>
      <c r="AL465" s="3">
        <v>6</v>
      </c>
      <c r="AM465" s="3">
        <v>6</v>
      </c>
      <c r="AN465" s="3">
        <v>1</v>
      </c>
      <c r="AO465" s="3">
        <v>1</v>
      </c>
      <c r="AP465" s="3">
        <v>0</v>
      </c>
      <c r="AQ465" s="3">
        <v>0</v>
      </c>
      <c r="AR465" s="2" t="s">
        <v>5</v>
      </c>
      <c r="AS465" s="2" t="s">
        <v>16</v>
      </c>
      <c r="AT465" s="5" t="str">
        <f>HYPERLINK("http://catalog.hathitrust.org/Record/004013745","HathiTrust Record")</f>
        <v>HathiTrust Record</v>
      </c>
      <c r="AU465" s="5" t="str">
        <f>HYPERLINK("https://creighton-primo.hosted.exlibrisgroup.com/primo-explore/search?tab=default_tab&amp;search_scope=EVERYTHING&amp;vid=01CRU&amp;lang=en_US&amp;offset=0&amp;query=any,contains,991003237249702656","Catalog Record")</f>
        <v>Catalog Record</v>
      </c>
      <c r="AV465" s="5" t="str">
        <f>HYPERLINK("http://www.worldcat.org/oclc/39662622","WorldCat Record")</f>
        <v>WorldCat Record</v>
      </c>
      <c r="AW465" s="2" t="s">
        <v>6248</v>
      </c>
      <c r="AX465" s="2" t="s">
        <v>6249</v>
      </c>
      <c r="AY465" s="2" t="s">
        <v>6250</v>
      </c>
      <c r="AZ465" s="2" t="s">
        <v>6250</v>
      </c>
      <c r="BA465" s="2" t="s">
        <v>6251</v>
      </c>
      <c r="BB465" s="2" t="s">
        <v>21</v>
      </c>
      <c r="BD465" s="2" t="s">
        <v>6252</v>
      </c>
      <c r="BE465" s="2" t="s">
        <v>6253</v>
      </c>
      <c r="BF465" s="2" t="s">
        <v>6254</v>
      </c>
    </row>
    <row r="466" spans="1:58" ht="39.75" customHeight="1" x14ac:dyDescent="0.25">
      <c r="A466" s="1"/>
      <c r="B466" s="1" t="s">
        <v>0</v>
      </c>
      <c r="C466" s="1" t="s">
        <v>1</v>
      </c>
      <c r="D466" s="1" t="s">
        <v>6255</v>
      </c>
      <c r="E466" s="1" t="s">
        <v>6256</v>
      </c>
      <c r="F466" s="1" t="s">
        <v>6257</v>
      </c>
      <c r="H466" s="2" t="s">
        <v>5</v>
      </c>
      <c r="I466" s="2" t="s">
        <v>6</v>
      </c>
      <c r="J466" s="2" t="s">
        <v>5</v>
      </c>
      <c r="K466" s="2" t="s">
        <v>5</v>
      </c>
      <c r="L466" s="2" t="s">
        <v>7</v>
      </c>
      <c r="M466" s="1" t="s">
        <v>6258</v>
      </c>
      <c r="N466" s="1" t="s">
        <v>6259</v>
      </c>
      <c r="O466" s="2" t="s">
        <v>1396</v>
      </c>
      <c r="Q466" s="2" t="s">
        <v>11</v>
      </c>
      <c r="R466" s="2" t="s">
        <v>3214</v>
      </c>
      <c r="T466" s="2" t="s">
        <v>6181</v>
      </c>
      <c r="U466" s="3">
        <v>3</v>
      </c>
      <c r="V466" s="3">
        <v>3</v>
      </c>
      <c r="W466" s="4" t="s">
        <v>6260</v>
      </c>
      <c r="X466" s="4" t="s">
        <v>6260</v>
      </c>
      <c r="Y466" s="4" t="s">
        <v>6261</v>
      </c>
      <c r="Z466" s="4" t="s">
        <v>6261</v>
      </c>
      <c r="AA466" s="3">
        <v>227</v>
      </c>
      <c r="AB466" s="3">
        <v>161</v>
      </c>
      <c r="AC466" s="3">
        <v>165</v>
      </c>
      <c r="AD466" s="3">
        <v>2</v>
      </c>
      <c r="AE466" s="7">
        <v>2</v>
      </c>
      <c r="AF466" s="7">
        <v>9</v>
      </c>
      <c r="AG466" s="7">
        <v>9</v>
      </c>
      <c r="AH466" s="3">
        <v>1</v>
      </c>
      <c r="AI466" s="3">
        <v>1</v>
      </c>
      <c r="AJ466" s="3">
        <v>2</v>
      </c>
      <c r="AK466" s="3">
        <v>2</v>
      </c>
      <c r="AL466" s="3">
        <v>2</v>
      </c>
      <c r="AM466" s="3">
        <v>2</v>
      </c>
      <c r="AN466" s="3">
        <v>1</v>
      </c>
      <c r="AO466" s="3">
        <v>1</v>
      </c>
      <c r="AP466" s="3">
        <v>5</v>
      </c>
      <c r="AQ466" s="3">
        <v>5</v>
      </c>
      <c r="AR466" s="2" t="s">
        <v>5</v>
      </c>
      <c r="AS466" s="2" t="s">
        <v>5</v>
      </c>
      <c r="AU466" s="5" t="str">
        <f>HYPERLINK("https://creighton-primo.hosted.exlibrisgroup.com/primo-explore/search?tab=default_tab&amp;search_scope=EVERYTHING&amp;vid=01CRU&amp;lang=en_US&amp;offset=0&amp;query=any,contains,991002842029702656","Catalog Record")</f>
        <v>Catalog Record</v>
      </c>
      <c r="AV466" s="5" t="str">
        <f>HYPERLINK("http://www.worldcat.org/oclc/37442982","WorldCat Record")</f>
        <v>WorldCat Record</v>
      </c>
      <c r="AW466" s="2" t="s">
        <v>6262</v>
      </c>
      <c r="AX466" s="2" t="s">
        <v>6263</v>
      </c>
      <c r="AY466" s="2" t="s">
        <v>6264</v>
      </c>
      <c r="AZ466" s="2" t="s">
        <v>6264</v>
      </c>
      <c r="BA466" s="2" t="s">
        <v>6265</v>
      </c>
      <c r="BB466" s="2" t="s">
        <v>21</v>
      </c>
      <c r="BD466" s="2" t="s">
        <v>6266</v>
      </c>
      <c r="BE466" s="2" t="s">
        <v>6267</v>
      </c>
      <c r="BF466" s="2" t="s">
        <v>6268</v>
      </c>
    </row>
    <row r="467" spans="1:58" ht="39.75" customHeight="1" x14ac:dyDescent="0.25">
      <c r="A467" s="1"/>
      <c r="B467" s="1" t="s">
        <v>0</v>
      </c>
      <c r="C467" s="1" t="s">
        <v>1</v>
      </c>
      <c r="D467" s="1" t="s">
        <v>6269</v>
      </c>
      <c r="E467" s="1" t="s">
        <v>6270</v>
      </c>
      <c r="F467" s="1" t="s">
        <v>6271</v>
      </c>
      <c r="H467" s="2" t="s">
        <v>5</v>
      </c>
      <c r="I467" s="2" t="s">
        <v>6</v>
      </c>
      <c r="J467" s="2" t="s">
        <v>5</v>
      </c>
      <c r="K467" s="2" t="s">
        <v>5</v>
      </c>
      <c r="L467" s="2" t="s">
        <v>7</v>
      </c>
      <c r="M467" s="1" t="s">
        <v>6272</v>
      </c>
      <c r="N467" s="1" t="s">
        <v>6273</v>
      </c>
      <c r="O467" s="2" t="s">
        <v>291</v>
      </c>
      <c r="Q467" s="2" t="s">
        <v>11</v>
      </c>
      <c r="R467" s="2" t="s">
        <v>260</v>
      </c>
      <c r="T467" s="2" t="s">
        <v>6181</v>
      </c>
      <c r="U467" s="3">
        <v>3</v>
      </c>
      <c r="V467" s="3">
        <v>3</v>
      </c>
      <c r="W467" s="4" t="s">
        <v>6274</v>
      </c>
      <c r="X467" s="4" t="s">
        <v>6274</v>
      </c>
      <c r="Y467" s="4" t="s">
        <v>6275</v>
      </c>
      <c r="Z467" s="4" t="s">
        <v>6275</v>
      </c>
      <c r="AA467" s="3">
        <v>268</v>
      </c>
      <c r="AB467" s="3">
        <v>204</v>
      </c>
      <c r="AC467" s="3">
        <v>418</v>
      </c>
      <c r="AD467" s="3">
        <v>1</v>
      </c>
      <c r="AE467" s="7">
        <v>3</v>
      </c>
      <c r="AF467" s="7">
        <v>13</v>
      </c>
      <c r="AG467" s="7">
        <v>22</v>
      </c>
      <c r="AH467" s="3">
        <v>3</v>
      </c>
      <c r="AI467" s="3">
        <v>5</v>
      </c>
      <c r="AJ467" s="3">
        <v>4</v>
      </c>
      <c r="AK467" s="3">
        <v>6</v>
      </c>
      <c r="AL467" s="3">
        <v>6</v>
      </c>
      <c r="AM467" s="3">
        <v>7</v>
      </c>
      <c r="AN467" s="3">
        <v>0</v>
      </c>
      <c r="AO467" s="3">
        <v>2</v>
      </c>
      <c r="AP467" s="3">
        <v>3</v>
      </c>
      <c r="AQ467" s="3">
        <v>5</v>
      </c>
      <c r="AR467" s="2" t="s">
        <v>5</v>
      </c>
      <c r="AS467" s="2" t="s">
        <v>16</v>
      </c>
      <c r="AT467" s="5" t="str">
        <f>HYPERLINK("http://catalog.hathitrust.org/Record/004028802","HathiTrust Record")</f>
        <v>HathiTrust Record</v>
      </c>
      <c r="AU467" s="5" t="str">
        <f>HYPERLINK("https://creighton-primo.hosted.exlibrisgroup.com/primo-explore/search?tab=default_tab&amp;search_scope=EVERYTHING&amp;vid=01CRU&amp;lang=en_US&amp;offset=0&amp;query=any,contains,991003688769702656","Catalog Record")</f>
        <v>Catalog Record</v>
      </c>
      <c r="AV467" s="5" t="str">
        <f>HYPERLINK("http://www.worldcat.org/oclc/40251720","WorldCat Record")</f>
        <v>WorldCat Record</v>
      </c>
      <c r="AW467" s="2" t="s">
        <v>6276</v>
      </c>
      <c r="AX467" s="2" t="s">
        <v>6277</v>
      </c>
      <c r="AY467" s="2" t="s">
        <v>6278</v>
      </c>
      <c r="AZ467" s="2" t="s">
        <v>6278</v>
      </c>
      <c r="BA467" s="2" t="s">
        <v>6279</v>
      </c>
      <c r="BB467" s="2" t="s">
        <v>21</v>
      </c>
      <c r="BD467" s="2" t="s">
        <v>6280</v>
      </c>
      <c r="BE467" s="2" t="s">
        <v>6281</v>
      </c>
      <c r="BF467" s="2" t="s">
        <v>6282</v>
      </c>
    </row>
    <row r="468" spans="1:58" ht="39.75" customHeight="1" x14ac:dyDescent="0.25">
      <c r="A468" s="1"/>
      <c r="B468" s="1" t="s">
        <v>0</v>
      </c>
      <c r="C468" s="1" t="s">
        <v>1</v>
      </c>
      <c r="D468" s="1" t="s">
        <v>6283</v>
      </c>
      <c r="E468" s="1" t="s">
        <v>6284</v>
      </c>
      <c r="F468" s="1" t="s">
        <v>6285</v>
      </c>
      <c r="H468" s="2" t="s">
        <v>5</v>
      </c>
      <c r="I468" s="2" t="s">
        <v>6</v>
      </c>
      <c r="J468" s="2" t="s">
        <v>16</v>
      </c>
      <c r="K468" s="2" t="s">
        <v>5</v>
      </c>
      <c r="L468" s="2" t="s">
        <v>7</v>
      </c>
      <c r="M468" s="1" t="s">
        <v>6286</v>
      </c>
      <c r="N468" s="1" t="s">
        <v>6287</v>
      </c>
      <c r="O468" s="2" t="s">
        <v>291</v>
      </c>
      <c r="Q468" s="2" t="s">
        <v>11</v>
      </c>
      <c r="R468" s="2" t="s">
        <v>30</v>
      </c>
      <c r="S468" s="1" t="s">
        <v>6288</v>
      </c>
      <c r="T468" s="2" t="s">
        <v>6181</v>
      </c>
      <c r="U468" s="3">
        <v>3</v>
      </c>
      <c r="V468" s="3">
        <v>3</v>
      </c>
      <c r="W468" s="4" t="s">
        <v>6289</v>
      </c>
      <c r="X468" s="4" t="s">
        <v>6290</v>
      </c>
      <c r="Y468" s="4" t="s">
        <v>6289</v>
      </c>
      <c r="Z468" s="4" t="s">
        <v>6289</v>
      </c>
      <c r="AA468" s="3">
        <v>284</v>
      </c>
      <c r="AB468" s="3">
        <v>171</v>
      </c>
      <c r="AC468" s="3">
        <v>251</v>
      </c>
      <c r="AD468" s="3">
        <v>3</v>
      </c>
      <c r="AE468" s="7">
        <v>3</v>
      </c>
      <c r="AF468" s="7">
        <v>15</v>
      </c>
      <c r="AG468" s="7">
        <v>21</v>
      </c>
      <c r="AH468" s="3">
        <v>1</v>
      </c>
      <c r="AI468" s="3">
        <v>1</v>
      </c>
      <c r="AJ468" s="3">
        <v>1</v>
      </c>
      <c r="AK468" s="3">
        <v>5</v>
      </c>
      <c r="AL468" s="3">
        <v>2</v>
      </c>
      <c r="AM468" s="3">
        <v>3</v>
      </c>
      <c r="AN468" s="3">
        <v>1</v>
      </c>
      <c r="AO468" s="3">
        <v>1</v>
      </c>
      <c r="AP468" s="3">
        <v>11</v>
      </c>
      <c r="AQ468" s="3">
        <v>13</v>
      </c>
      <c r="AR468" s="2" t="s">
        <v>5</v>
      </c>
      <c r="AS468" s="2" t="s">
        <v>5</v>
      </c>
      <c r="AU468" s="5" t="str">
        <f>HYPERLINK("https://creighton-primo.hosted.exlibrisgroup.com/primo-explore/search?tab=default_tab&amp;search_scope=EVERYTHING&amp;vid=01CRU&amp;lang=en_US&amp;offset=0&amp;query=any,contains,991001678509702656","Catalog Record")</f>
        <v>Catalog Record</v>
      </c>
      <c r="AV468" s="5" t="str">
        <f>HYPERLINK("http://www.worldcat.org/oclc/39800725","WorldCat Record")</f>
        <v>WorldCat Record</v>
      </c>
      <c r="AW468" s="2" t="s">
        <v>6291</v>
      </c>
      <c r="AX468" s="2" t="s">
        <v>6292</v>
      </c>
      <c r="AY468" s="2" t="s">
        <v>6293</v>
      </c>
      <c r="AZ468" s="2" t="s">
        <v>6293</v>
      </c>
      <c r="BA468" s="2" t="s">
        <v>6294</v>
      </c>
      <c r="BB468" s="2" t="s">
        <v>21</v>
      </c>
      <c r="BD468" s="2" t="s">
        <v>6295</v>
      </c>
      <c r="BE468" s="2" t="s">
        <v>6296</v>
      </c>
      <c r="BF468" s="2" t="s">
        <v>6297</v>
      </c>
    </row>
  </sheetData>
  <sheetProtection sheet="1" objects="1" scenario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0</xdr:col>
                    <xdr:colOff>276225</xdr:colOff>
                    <xdr:row>1</xdr:row>
                    <xdr:rowOff>9525</xdr:rowOff>
                  </from>
                  <to>
                    <xdr:col>3</xdr:col>
                    <xdr:colOff>95250</xdr:colOff>
                    <xdr:row>1</xdr:row>
                    <xdr:rowOff>485775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0</xdr:col>
                    <xdr:colOff>276225</xdr:colOff>
                    <xdr:row>2</xdr:row>
                    <xdr:rowOff>9525</xdr:rowOff>
                  </from>
                  <to>
                    <xdr:col>3</xdr:col>
                    <xdr:colOff>95250</xdr:colOff>
                    <xdr:row>2</xdr:row>
                    <xdr:rowOff>485775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276225</xdr:colOff>
                    <xdr:row>3</xdr:row>
                    <xdr:rowOff>9525</xdr:rowOff>
                  </from>
                  <to>
                    <xdr:col>3</xdr:col>
                    <xdr:colOff>95250</xdr:colOff>
                    <xdr:row>3</xdr:row>
                    <xdr:rowOff>485775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276225</xdr:colOff>
                    <xdr:row>4</xdr:row>
                    <xdr:rowOff>9525</xdr:rowOff>
                  </from>
                  <to>
                    <xdr:col>3</xdr:col>
                    <xdr:colOff>95250</xdr:colOff>
                    <xdr:row>4</xdr:row>
                    <xdr:rowOff>485775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276225</xdr:colOff>
                    <xdr:row>5</xdr:row>
                    <xdr:rowOff>9525</xdr:rowOff>
                  </from>
                  <to>
                    <xdr:col>3</xdr:col>
                    <xdr:colOff>95250</xdr:colOff>
                    <xdr:row>5</xdr:row>
                    <xdr:rowOff>485775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276225</xdr:colOff>
                    <xdr:row>6</xdr:row>
                    <xdr:rowOff>9525</xdr:rowOff>
                  </from>
                  <to>
                    <xdr:col>3</xdr:col>
                    <xdr:colOff>95250</xdr:colOff>
                    <xdr:row>6</xdr:row>
                    <xdr:rowOff>485775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0</xdr:col>
                    <xdr:colOff>276225</xdr:colOff>
                    <xdr:row>7</xdr:row>
                    <xdr:rowOff>9525</xdr:rowOff>
                  </from>
                  <to>
                    <xdr:col>3</xdr:col>
                    <xdr:colOff>95250</xdr:colOff>
                    <xdr:row>7</xdr:row>
                    <xdr:rowOff>485775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0</xdr:col>
                    <xdr:colOff>276225</xdr:colOff>
                    <xdr:row>8</xdr:row>
                    <xdr:rowOff>9525</xdr:rowOff>
                  </from>
                  <to>
                    <xdr:col>3</xdr:col>
                    <xdr:colOff>95250</xdr:colOff>
                    <xdr:row>8</xdr:row>
                    <xdr:rowOff>485775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0</xdr:col>
                    <xdr:colOff>276225</xdr:colOff>
                    <xdr:row>9</xdr:row>
                    <xdr:rowOff>9525</xdr:rowOff>
                  </from>
                  <to>
                    <xdr:col>3</xdr:col>
                    <xdr:colOff>95250</xdr:colOff>
                    <xdr:row>9</xdr:row>
                    <xdr:rowOff>485775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0</xdr:col>
                    <xdr:colOff>276225</xdr:colOff>
                    <xdr:row>10</xdr:row>
                    <xdr:rowOff>9525</xdr:rowOff>
                  </from>
                  <to>
                    <xdr:col>3</xdr:col>
                    <xdr:colOff>95250</xdr:colOff>
                    <xdr:row>10</xdr:row>
                    <xdr:rowOff>485775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0</xdr:col>
                    <xdr:colOff>276225</xdr:colOff>
                    <xdr:row>11</xdr:row>
                    <xdr:rowOff>9525</xdr:rowOff>
                  </from>
                  <to>
                    <xdr:col>3</xdr:col>
                    <xdr:colOff>95250</xdr:colOff>
                    <xdr:row>11</xdr:row>
                    <xdr:rowOff>485775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0</xdr:col>
                    <xdr:colOff>276225</xdr:colOff>
                    <xdr:row>12</xdr:row>
                    <xdr:rowOff>9525</xdr:rowOff>
                  </from>
                  <to>
                    <xdr:col>3</xdr:col>
                    <xdr:colOff>95250</xdr:colOff>
                    <xdr:row>12</xdr:row>
                    <xdr:rowOff>485775</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0</xdr:col>
                    <xdr:colOff>276225</xdr:colOff>
                    <xdr:row>13</xdr:row>
                    <xdr:rowOff>9525</xdr:rowOff>
                  </from>
                  <to>
                    <xdr:col>3</xdr:col>
                    <xdr:colOff>95250</xdr:colOff>
                    <xdr:row>13</xdr:row>
                    <xdr:rowOff>485775</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0</xdr:col>
                    <xdr:colOff>276225</xdr:colOff>
                    <xdr:row>14</xdr:row>
                    <xdr:rowOff>9525</xdr:rowOff>
                  </from>
                  <to>
                    <xdr:col>3</xdr:col>
                    <xdr:colOff>95250</xdr:colOff>
                    <xdr:row>14</xdr:row>
                    <xdr:rowOff>485775</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0</xdr:col>
                    <xdr:colOff>276225</xdr:colOff>
                    <xdr:row>15</xdr:row>
                    <xdr:rowOff>9525</xdr:rowOff>
                  </from>
                  <to>
                    <xdr:col>3</xdr:col>
                    <xdr:colOff>95250</xdr:colOff>
                    <xdr:row>15</xdr:row>
                    <xdr:rowOff>485775</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0</xdr:col>
                    <xdr:colOff>276225</xdr:colOff>
                    <xdr:row>16</xdr:row>
                    <xdr:rowOff>9525</xdr:rowOff>
                  </from>
                  <to>
                    <xdr:col>3</xdr:col>
                    <xdr:colOff>95250</xdr:colOff>
                    <xdr:row>16</xdr:row>
                    <xdr:rowOff>485775</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0</xdr:col>
                    <xdr:colOff>276225</xdr:colOff>
                    <xdr:row>17</xdr:row>
                    <xdr:rowOff>9525</xdr:rowOff>
                  </from>
                  <to>
                    <xdr:col>3</xdr:col>
                    <xdr:colOff>95250</xdr:colOff>
                    <xdr:row>17</xdr:row>
                    <xdr:rowOff>485775</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0</xdr:col>
                    <xdr:colOff>276225</xdr:colOff>
                    <xdr:row>18</xdr:row>
                    <xdr:rowOff>9525</xdr:rowOff>
                  </from>
                  <to>
                    <xdr:col>3</xdr:col>
                    <xdr:colOff>95250</xdr:colOff>
                    <xdr:row>18</xdr:row>
                    <xdr:rowOff>485775</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0</xdr:col>
                    <xdr:colOff>276225</xdr:colOff>
                    <xdr:row>19</xdr:row>
                    <xdr:rowOff>9525</xdr:rowOff>
                  </from>
                  <to>
                    <xdr:col>3</xdr:col>
                    <xdr:colOff>95250</xdr:colOff>
                    <xdr:row>19</xdr:row>
                    <xdr:rowOff>485775</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0</xdr:col>
                    <xdr:colOff>276225</xdr:colOff>
                    <xdr:row>20</xdr:row>
                    <xdr:rowOff>9525</xdr:rowOff>
                  </from>
                  <to>
                    <xdr:col>3</xdr:col>
                    <xdr:colOff>95250</xdr:colOff>
                    <xdr:row>20</xdr:row>
                    <xdr:rowOff>485775</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0</xdr:col>
                    <xdr:colOff>276225</xdr:colOff>
                    <xdr:row>21</xdr:row>
                    <xdr:rowOff>9525</xdr:rowOff>
                  </from>
                  <to>
                    <xdr:col>3</xdr:col>
                    <xdr:colOff>95250</xdr:colOff>
                    <xdr:row>21</xdr:row>
                    <xdr:rowOff>485775</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0</xdr:col>
                    <xdr:colOff>276225</xdr:colOff>
                    <xdr:row>22</xdr:row>
                    <xdr:rowOff>9525</xdr:rowOff>
                  </from>
                  <to>
                    <xdr:col>3</xdr:col>
                    <xdr:colOff>95250</xdr:colOff>
                    <xdr:row>22</xdr:row>
                    <xdr:rowOff>485775</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0</xdr:col>
                    <xdr:colOff>276225</xdr:colOff>
                    <xdr:row>23</xdr:row>
                    <xdr:rowOff>9525</xdr:rowOff>
                  </from>
                  <to>
                    <xdr:col>3</xdr:col>
                    <xdr:colOff>95250</xdr:colOff>
                    <xdr:row>23</xdr:row>
                    <xdr:rowOff>485775</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0</xdr:col>
                    <xdr:colOff>276225</xdr:colOff>
                    <xdr:row>24</xdr:row>
                    <xdr:rowOff>9525</xdr:rowOff>
                  </from>
                  <to>
                    <xdr:col>3</xdr:col>
                    <xdr:colOff>95250</xdr:colOff>
                    <xdr:row>24</xdr:row>
                    <xdr:rowOff>485775</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0</xdr:col>
                    <xdr:colOff>276225</xdr:colOff>
                    <xdr:row>25</xdr:row>
                    <xdr:rowOff>9525</xdr:rowOff>
                  </from>
                  <to>
                    <xdr:col>3</xdr:col>
                    <xdr:colOff>95250</xdr:colOff>
                    <xdr:row>25</xdr:row>
                    <xdr:rowOff>485775</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0</xdr:col>
                    <xdr:colOff>276225</xdr:colOff>
                    <xdr:row>26</xdr:row>
                    <xdr:rowOff>9525</xdr:rowOff>
                  </from>
                  <to>
                    <xdr:col>3</xdr:col>
                    <xdr:colOff>95250</xdr:colOff>
                    <xdr:row>26</xdr:row>
                    <xdr:rowOff>485775</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0</xdr:col>
                    <xdr:colOff>276225</xdr:colOff>
                    <xdr:row>27</xdr:row>
                    <xdr:rowOff>9525</xdr:rowOff>
                  </from>
                  <to>
                    <xdr:col>3</xdr:col>
                    <xdr:colOff>95250</xdr:colOff>
                    <xdr:row>27</xdr:row>
                    <xdr:rowOff>485775</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0</xdr:col>
                    <xdr:colOff>276225</xdr:colOff>
                    <xdr:row>28</xdr:row>
                    <xdr:rowOff>9525</xdr:rowOff>
                  </from>
                  <to>
                    <xdr:col>3</xdr:col>
                    <xdr:colOff>95250</xdr:colOff>
                    <xdr:row>28</xdr:row>
                    <xdr:rowOff>485775</xdr:rowOff>
                  </to>
                </anchor>
              </controlPr>
            </control>
          </mc:Choice>
        </mc:AlternateContent>
        <mc:AlternateContent xmlns:mc="http://schemas.openxmlformats.org/markup-compatibility/2006">
          <mc:Choice Requires="x14">
            <control shapeId="1053" r:id="rId31" name="Check Box 29">
              <controlPr defaultSize="0" autoFill="0" autoLine="0" autoPict="0">
                <anchor moveWithCells="1">
                  <from>
                    <xdr:col>0</xdr:col>
                    <xdr:colOff>276225</xdr:colOff>
                    <xdr:row>29</xdr:row>
                    <xdr:rowOff>9525</xdr:rowOff>
                  </from>
                  <to>
                    <xdr:col>3</xdr:col>
                    <xdr:colOff>95250</xdr:colOff>
                    <xdr:row>29</xdr:row>
                    <xdr:rowOff>485775</xdr:rowOff>
                  </to>
                </anchor>
              </controlPr>
            </control>
          </mc:Choice>
        </mc:AlternateContent>
        <mc:AlternateContent xmlns:mc="http://schemas.openxmlformats.org/markup-compatibility/2006">
          <mc:Choice Requires="x14">
            <control shapeId="1054" r:id="rId32" name="Check Box 30">
              <controlPr defaultSize="0" autoFill="0" autoLine="0" autoPict="0">
                <anchor moveWithCells="1">
                  <from>
                    <xdr:col>0</xdr:col>
                    <xdr:colOff>276225</xdr:colOff>
                    <xdr:row>30</xdr:row>
                    <xdr:rowOff>9525</xdr:rowOff>
                  </from>
                  <to>
                    <xdr:col>3</xdr:col>
                    <xdr:colOff>95250</xdr:colOff>
                    <xdr:row>30</xdr:row>
                    <xdr:rowOff>485775</xdr:rowOff>
                  </to>
                </anchor>
              </controlPr>
            </control>
          </mc:Choice>
        </mc:AlternateContent>
        <mc:AlternateContent xmlns:mc="http://schemas.openxmlformats.org/markup-compatibility/2006">
          <mc:Choice Requires="x14">
            <control shapeId="1055" r:id="rId33" name="Check Box 31">
              <controlPr defaultSize="0" autoFill="0" autoLine="0" autoPict="0">
                <anchor moveWithCells="1">
                  <from>
                    <xdr:col>0</xdr:col>
                    <xdr:colOff>276225</xdr:colOff>
                    <xdr:row>31</xdr:row>
                    <xdr:rowOff>9525</xdr:rowOff>
                  </from>
                  <to>
                    <xdr:col>3</xdr:col>
                    <xdr:colOff>95250</xdr:colOff>
                    <xdr:row>31</xdr:row>
                    <xdr:rowOff>485775</xdr:rowOff>
                  </to>
                </anchor>
              </controlPr>
            </control>
          </mc:Choice>
        </mc:AlternateContent>
        <mc:AlternateContent xmlns:mc="http://schemas.openxmlformats.org/markup-compatibility/2006">
          <mc:Choice Requires="x14">
            <control shapeId="1056" r:id="rId34" name="Check Box 32">
              <controlPr defaultSize="0" autoFill="0" autoLine="0" autoPict="0">
                <anchor moveWithCells="1">
                  <from>
                    <xdr:col>0</xdr:col>
                    <xdr:colOff>276225</xdr:colOff>
                    <xdr:row>32</xdr:row>
                    <xdr:rowOff>9525</xdr:rowOff>
                  </from>
                  <to>
                    <xdr:col>3</xdr:col>
                    <xdr:colOff>95250</xdr:colOff>
                    <xdr:row>32</xdr:row>
                    <xdr:rowOff>485775</xdr:rowOff>
                  </to>
                </anchor>
              </controlPr>
            </control>
          </mc:Choice>
        </mc:AlternateContent>
        <mc:AlternateContent xmlns:mc="http://schemas.openxmlformats.org/markup-compatibility/2006">
          <mc:Choice Requires="x14">
            <control shapeId="1057" r:id="rId35" name="Check Box 33">
              <controlPr defaultSize="0" autoFill="0" autoLine="0" autoPict="0">
                <anchor moveWithCells="1">
                  <from>
                    <xdr:col>0</xdr:col>
                    <xdr:colOff>276225</xdr:colOff>
                    <xdr:row>33</xdr:row>
                    <xdr:rowOff>9525</xdr:rowOff>
                  </from>
                  <to>
                    <xdr:col>3</xdr:col>
                    <xdr:colOff>95250</xdr:colOff>
                    <xdr:row>33</xdr:row>
                    <xdr:rowOff>485775</xdr:rowOff>
                  </to>
                </anchor>
              </controlPr>
            </control>
          </mc:Choice>
        </mc:AlternateContent>
        <mc:AlternateContent xmlns:mc="http://schemas.openxmlformats.org/markup-compatibility/2006">
          <mc:Choice Requires="x14">
            <control shapeId="1058" r:id="rId36" name="Check Box 34">
              <controlPr defaultSize="0" autoFill="0" autoLine="0" autoPict="0">
                <anchor moveWithCells="1">
                  <from>
                    <xdr:col>0</xdr:col>
                    <xdr:colOff>276225</xdr:colOff>
                    <xdr:row>34</xdr:row>
                    <xdr:rowOff>9525</xdr:rowOff>
                  </from>
                  <to>
                    <xdr:col>3</xdr:col>
                    <xdr:colOff>95250</xdr:colOff>
                    <xdr:row>34</xdr:row>
                    <xdr:rowOff>485775</xdr:rowOff>
                  </to>
                </anchor>
              </controlPr>
            </control>
          </mc:Choice>
        </mc:AlternateContent>
        <mc:AlternateContent xmlns:mc="http://schemas.openxmlformats.org/markup-compatibility/2006">
          <mc:Choice Requires="x14">
            <control shapeId="1059" r:id="rId37" name="Check Box 35">
              <controlPr defaultSize="0" autoFill="0" autoLine="0" autoPict="0">
                <anchor moveWithCells="1">
                  <from>
                    <xdr:col>0</xdr:col>
                    <xdr:colOff>276225</xdr:colOff>
                    <xdr:row>35</xdr:row>
                    <xdr:rowOff>9525</xdr:rowOff>
                  </from>
                  <to>
                    <xdr:col>3</xdr:col>
                    <xdr:colOff>95250</xdr:colOff>
                    <xdr:row>35</xdr:row>
                    <xdr:rowOff>485775</xdr:rowOff>
                  </to>
                </anchor>
              </controlPr>
            </control>
          </mc:Choice>
        </mc:AlternateContent>
        <mc:AlternateContent xmlns:mc="http://schemas.openxmlformats.org/markup-compatibility/2006">
          <mc:Choice Requires="x14">
            <control shapeId="1060" r:id="rId38" name="Check Box 36">
              <controlPr defaultSize="0" autoFill="0" autoLine="0" autoPict="0">
                <anchor moveWithCells="1">
                  <from>
                    <xdr:col>0</xdr:col>
                    <xdr:colOff>276225</xdr:colOff>
                    <xdr:row>36</xdr:row>
                    <xdr:rowOff>9525</xdr:rowOff>
                  </from>
                  <to>
                    <xdr:col>3</xdr:col>
                    <xdr:colOff>95250</xdr:colOff>
                    <xdr:row>36</xdr:row>
                    <xdr:rowOff>485775</xdr:rowOff>
                  </to>
                </anchor>
              </controlPr>
            </control>
          </mc:Choice>
        </mc:AlternateContent>
        <mc:AlternateContent xmlns:mc="http://schemas.openxmlformats.org/markup-compatibility/2006">
          <mc:Choice Requires="x14">
            <control shapeId="1061" r:id="rId39" name="Check Box 37">
              <controlPr defaultSize="0" autoFill="0" autoLine="0" autoPict="0">
                <anchor moveWithCells="1">
                  <from>
                    <xdr:col>0</xdr:col>
                    <xdr:colOff>276225</xdr:colOff>
                    <xdr:row>37</xdr:row>
                    <xdr:rowOff>9525</xdr:rowOff>
                  </from>
                  <to>
                    <xdr:col>3</xdr:col>
                    <xdr:colOff>95250</xdr:colOff>
                    <xdr:row>37</xdr:row>
                    <xdr:rowOff>485775</xdr:rowOff>
                  </to>
                </anchor>
              </controlPr>
            </control>
          </mc:Choice>
        </mc:AlternateContent>
        <mc:AlternateContent xmlns:mc="http://schemas.openxmlformats.org/markup-compatibility/2006">
          <mc:Choice Requires="x14">
            <control shapeId="1062" r:id="rId40" name="Check Box 38">
              <controlPr defaultSize="0" autoFill="0" autoLine="0" autoPict="0">
                <anchor moveWithCells="1">
                  <from>
                    <xdr:col>0</xdr:col>
                    <xdr:colOff>276225</xdr:colOff>
                    <xdr:row>38</xdr:row>
                    <xdr:rowOff>9525</xdr:rowOff>
                  </from>
                  <to>
                    <xdr:col>3</xdr:col>
                    <xdr:colOff>95250</xdr:colOff>
                    <xdr:row>38</xdr:row>
                    <xdr:rowOff>485775</xdr:rowOff>
                  </to>
                </anchor>
              </controlPr>
            </control>
          </mc:Choice>
        </mc:AlternateContent>
        <mc:AlternateContent xmlns:mc="http://schemas.openxmlformats.org/markup-compatibility/2006">
          <mc:Choice Requires="x14">
            <control shapeId="1063" r:id="rId41" name="Check Box 39">
              <controlPr defaultSize="0" autoFill="0" autoLine="0" autoPict="0">
                <anchor moveWithCells="1">
                  <from>
                    <xdr:col>0</xdr:col>
                    <xdr:colOff>276225</xdr:colOff>
                    <xdr:row>39</xdr:row>
                    <xdr:rowOff>9525</xdr:rowOff>
                  </from>
                  <to>
                    <xdr:col>3</xdr:col>
                    <xdr:colOff>95250</xdr:colOff>
                    <xdr:row>39</xdr:row>
                    <xdr:rowOff>485775</xdr:rowOff>
                  </to>
                </anchor>
              </controlPr>
            </control>
          </mc:Choice>
        </mc:AlternateContent>
        <mc:AlternateContent xmlns:mc="http://schemas.openxmlformats.org/markup-compatibility/2006">
          <mc:Choice Requires="x14">
            <control shapeId="1064" r:id="rId42" name="Check Box 40">
              <controlPr defaultSize="0" autoFill="0" autoLine="0" autoPict="0">
                <anchor moveWithCells="1">
                  <from>
                    <xdr:col>0</xdr:col>
                    <xdr:colOff>276225</xdr:colOff>
                    <xdr:row>40</xdr:row>
                    <xdr:rowOff>9525</xdr:rowOff>
                  </from>
                  <to>
                    <xdr:col>3</xdr:col>
                    <xdr:colOff>95250</xdr:colOff>
                    <xdr:row>40</xdr:row>
                    <xdr:rowOff>485775</xdr:rowOff>
                  </to>
                </anchor>
              </controlPr>
            </control>
          </mc:Choice>
        </mc:AlternateContent>
        <mc:AlternateContent xmlns:mc="http://schemas.openxmlformats.org/markup-compatibility/2006">
          <mc:Choice Requires="x14">
            <control shapeId="1065" r:id="rId43" name="Check Box 41">
              <controlPr defaultSize="0" autoFill="0" autoLine="0" autoPict="0">
                <anchor moveWithCells="1">
                  <from>
                    <xdr:col>0</xdr:col>
                    <xdr:colOff>276225</xdr:colOff>
                    <xdr:row>41</xdr:row>
                    <xdr:rowOff>9525</xdr:rowOff>
                  </from>
                  <to>
                    <xdr:col>3</xdr:col>
                    <xdr:colOff>95250</xdr:colOff>
                    <xdr:row>41</xdr:row>
                    <xdr:rowOff>485775</xdr:rowOff>
                  </to>
                </anchor>
              </controlPr>
            </control>
          </mc:Choice>
        </mc:AlternateContent>
        <mc:AlternateContent xmlns:mc="http://schemas.openxmlformats.org/markup-compatibility/2006">
          <mc:Choice Requires="x14">
            <control shapeId="1066" r:id="rId44" name="Check Box 42">
              <controlPr defaultSize="0" autoFill="0" autoLine="0" autoPict="0">
                <anchor moveWithCells="1">
                  <from>
                    <xdr:col>0</xdr:col>
                    <xdr:colOff>276225</xdr:colOff>
                    <xdr:row>42</xdr:row>
                    <xdr:rowOff>9525</xdr:rowOff>
                  </from>
                  <to>
                    <xdr:col>3</xdr:col>
                    <xdr:colOff>95250</xdr:colOff>
                    <xdr:row>42</xdr:row>
                    <xdr:rowOff>485775</xdr:rowOff>
                  </to>
                </anchor>
              </controlPr>
            </control>
          </mc:Choice>
        </mc:AlternateContent>
        <mc:AlternateContent xmlns:mc="http://schemas.openxmlformats.org/markup-compatibility/2006">
          <mc:Choice Requires="x14">
            <control shapeId="1067" r:id="rId45" name="Check Box 43">
              <controlPr defaultSize="0" autoFill="0" autoLine="0" autoPict="0">
                <anchor moveWithCells="1">
                  <from>
                    <xdr:col>0</xdr:col>
                    <xdr:colOff>276225</xdr:colOff>
                    <xdr:row>43</xdr:row>
                    <xdr:rowOff>9525</xdr:rowOff>
                  </from>
                  <to>
                    <xdr:col>3</xdr:col>
                    <xdr:colOff>95250</xdr:colOff>
                    <xdr:row>43</xdr:row>
                    <xdr:rowOff>485775</xdr:rowOff>
                  </to>
                </anchor>
              </controlPr>
            </control>
          </mc:Choice>
        </mc:AlternateContent>
        <mc:AlternateContent xmlns:mc="http://schemas.openxmlformats.org/markup-compatibility/2006">
          <mc:Choice Requires="x14">
            <control shapeId="1068" r:id="rId46" name="Check Box 44">
              <controlPr defaultSize="0" autoFill="0" autoLine="0" autoPict="0">
                <anchor moveWithCells="1">
                  <from>
                    <xdr:col>0</xdr:col>
                    <xdr:colOff>276225</xdr:colOff>
                    <xdr:row>44</xdr:row>
                    <xdr:rowOff>9525</xdr:rowOff>
                  </from>
                  <to>
                    <xdr:col>3</xdr:col>
                    <xdr:colOff>95250</xdr:colOff>
                    <xdr:row>44</xdr:row>
                    <xdr:rowOff>485775</xdr:rowOff>
                  </to>
                </anchor>
              </controlPr>
            </control>
          </mc:Choice>
        </mc:AlternateContent>
        <mc:AlternateContent xmlns:mc="http://schemas.openxmlformats.org/markup-compatibility/2006">
          <mc:Choice Requires="x14">
            <control shapeId="1069" r:id="rId47" name="Check Box 45">
              <controlPr defaultSize="0" autoFill="0" autoLine="0" autoPict="0">
                <anchor moveWithCells="1">
                  <from>
                    <xdr:col>0</xdr:col>
                    <xdr:colOff>276225</xdr:colOff>
                    <xdr:row>45</xdr:row>
                    <xdr:rowOff>9525</xdr:rowOff>
                  </from>
                  <to>
                    <xdr:col>3</xdr:col>
                    <xdr:colOff>95250</xdr:colOff>
                    <xdr:row>45</xdr:row>
                    <xdr:rowOff>485775</xdr:rowOff>
                  </to>
                </anchor>
              </controlPr>
            </control>
          </mc:Choice>
        </mc:AlternateContent>
        <mc:AlternateContent xmlns:mc="http://schemas.openxmlformats.org/markup-compatibility/2006">
          <mc:Choice Requires="x14">
            <control shapeId="1070" r:id="rId48" name="Check Box 46">
              <controlPr defaultSize="0" autoFill="0" autoLine="0" autoPict="0">
                <anchor moveWithCells="1">
                  <from>
                    <xdr:col>0</xdr:col>
                    <xdr:colOff>276225</xdr:colOff>
                    <xdr:row>46</xdr:row>
                    <xdr:rowOff>9525</xdr:rowOff>
                  </from>
                  <to>
                    <xdr:col>3</xdr:col>
                    <xdr:colOff>95250</xdr:colOff>
                    <xdr:row>46</xdr:row>
                    <xdr:rowOff>485775</xdr:rowOff>
                  </to>
                </anchor>
              </controlPr>
            </control>
          </mc:Choice>
        </mc:AlternateContent>
        <mc:AlternateContent xmlns:mc="http://schemas.openxmlformats.org/markup-compatibility/2006">
          <mc:Choice Requires="x14">
            <control shapeId="1071" r:id="rId49" name="Check Box 47">
              <controlPr defaultSize="0" autoFill="0" autoLine="0" autoPict="0">
                <anchor moveWithCells="1">
                  <from>
                    <xdr:col>0</xdr:col>
                    <xdr:colOff>276225</xdr:colOff>
                    <xdr:row>47</xdr:row>
                    <xdr:rowOff>9525</xdr:rowOff>
                  </from>
                  <to>
                    <xdr:col>3</xdr:col>
                    <xdr:colOff>95250</xdr:colOff>
                    <xdr:row>47</xdr:row>
                    <xdr:rowOff>485775</xdr:rowOff>
                  </to>
                </anchor>
              </controlPr>
            </control>
          </mc:Choice>
        </mc:AlternateContent>
        <mc:AlternateContent xmlns:mc="http://schemas.openxmlformats.org/markup-compatibility/2006">
          <mc:Choice Requires="x14">
            <control shapeId="1072" r:id="rId50" name="Check Box 48">
              <controlPr defaultSize="0" autoFill="0" autoLine="0" autoPict="0">
                <anchor moveWithCells="1">
                  <from>
                    <xdr:col>0</xdr:col>
                    <xdr:colOff>276225</xdr:colOff>
                    <xdr:row>48</xdr:row>
                    <xdr:rowOff>9525</xdr:rowOff>
                  </from>
                  <to>
                    <xdr:col>3</xdr:col>
                    <xdr:colOff>95250</xdr:colOff>
                    <xdr:row>48</xdr:row>
                    <xdr:rowOff>485775</xdr:rowOff>
                  </to>
                </anchor>
              </controlPr>
            </control>
          </mc:Choice>
        </mc:AlternateContent>
        <mc:AlternateContent xmlns:mc="http://schemas.openxmlformats.org/markup-compatibility/2006">
          <mc:Choice Requires="x14">
            <control shapeId="1073" r:id="rId51" name="Check Box 49">
              <controlPr defaultSize="0" autoFill="0" autoLine="0" autoPict="0">
                <anchor moveWithCells="1">
                  <from>
                    <xdr:col>0</xdr:col>
                    <xdr:colOff>276225</xdr:colOff>
                    <xdr:row>49</xdr:row>
                    <xdr:rowOff>9525</xdr:rowOff>
                  </from>
                  <to>
                    <xdr:col>3</xdr:col>
                    <xdr:colOff>95250</xdr:colOff>
                    <xdr:row>49</xdr:row>
                    <xdr:rowOff>485775</xdr:rowOff>
                  </to>
                </anchor>
              </controlPr>
            </control>
          </mc:Choice>
        </mc:AlternateContent>
        <mc:AlternateContent xmlns:mc="http://schemas.openxmlformats.org/markup-compatibility/2006">
          <mc:Choice Requires="x14">
            <control shapeId="1074" r:id="rId52" name="Check Box 50">
              <controlPr defaultSize="0" autoFill="0" autoLine="0" autoPict="0">
                <anchor moveWithCells="1">
                  <from>
                    <xdr:col>0</xdr:col>
                    <xdr:colOff>276225</xdr:colOff>
                    <xdr:row>50</xdr:row>
                    <xdr:rowOff>9525</xdr:rowOff>
                  </from>
                  <to>
                    <xdr:col>3</xdr:col>
                    <xdr:colOff>95250</xdr:colOff>
                    <xdr:row>50</xdr:row>
                    <xdr:rowOff>485775</xdr:rowOff>
                  </to>
                </anchor>
              </controlPr>
            </control>
          </mc:Choice>
        </mc:AlternateContent>
        <mc:AlternateContent xmlns:mc="http://schemas.openxmlformats.org/markup-compatibility/2006">
          <mc:Choice Requires="x14">
            <control shapeId="1075" r:id="rId53" name="Check Box 51">
              <controlPr defaultSize="0" autoFill="0" autoLine="0" autoPict="0">
                <anchor moveWithCells="1">
                  <from>
                    <xdr:col>0</xdr:col>
                    <xdr:colOff>276225</xdr:colOff>
                    <xdr:row>51</xdr:row>
                    <xdr:rowOff>9525</xdr:rowOff>
                  </from>
                  <to>
                    <xdr:col>3</xdr:col>
                    <xdr:colOff>95250</xdr:colOff>
                    <xdr:row>51</xdr:row>
                    <xdr:rowOff>485775</xdr:rowOff>
                  </to>
                </anchor>
              </controlPr>
            </control>
          </mc:Choice>
        </mc:AlternateContent>
        <mc:AlternateContent xmlns:mc="http://schemas.openxmlformats.org/markup-compatibility/2006">
          <mc:Choice Requires="x14">
            <control shapeId="1076" r:id="rId54" name="Check Box 52">
              <controlPr defaultSize="0" autoFill="0" autoLine="0" autoPict="0">
                <anchor moveWithCells="1">
                  <from>
                    <xdr:col>0</xdr:col>
                    <xdr:colOff>276225</xdr:colOff>
                    <xdr:row>52</xdr:row>
                    <xdr:rowOff>9525</xdr:rowOff>
                  </from>
                  <to>
                    <xdr:col>3</xdr:col>
                    <xdr:colOff>95250</xdr:colOff>
                    <xdr:row>52</xdr:row>
                    <xdr:rowOff>485775</xdr:rowOff>
                  </to>
                </anchor>
              </controlPr>
            </control>
          </mc:Choice>
        </mc:AlternateContent>
        <mc:AlternateContent xmlns:mc="http://schemas.openxmlformats.org/markup-compatibility/2006">
          <mc:Choice Requires="x14">
            <control shapeId="1077" r:id="rId55" name="Check Box 53">
              <controlPr defaultSize="0" autoFill="0" autoLine="0" autoPict="0">
                <anchor moveWithCells="1">
                  <from>
                    <xdr:col>0</xdr:col>
                    <xdr:colOff>276225</xdr:colOff>
                    <xdr:row>53</xdr:row>
                    <xdr:rowOff>9525</xdr:rowOff>
                  </from>
                  <to>
                    <xdr:col>3</xdr:col>
                    <xdr:colOff>95250</xdr:colOff>
                    <xdr:row>53</xdr:row>
                    <xdr:rowOff>485775</xdr:rowOff>
                  </to>
                </anchor>
              </controlPr>
            </control>
          </mc:Choice>
        </mc:AlternateContent>
        <mc:AlternateContent xmlns:mc="http://schemas.openxmlformats.org/markup-compatibility/2006">
          <mc:Choice Requires="x14">
            <control shapeId="1078" r:id="rId56" name="Check Box 54">
              <controlPr defaultSize="0" autoFill="0" autoLine="0" autoPict="0">
                <anchor moveWithCells="1">
                  <from>
                    <xdr:col>0</xdr:col>
                    <xdr:colOff>276225</xdr:colOff>
                    <xdr:row>54</xdr:row>
                    <xdr:rowOff>9525</xdr:rowOff>
                  </from>
                  <to>
                    <xdr:col>3</xdr:col>
                    <xdr:colOff>95250</xdr:colOff>
                    <xdr:row>54</xdr:row>
                    <xdr:rowOff>485775</xdr:rowOff>
                  </to>
                </anchor>
              </controlPr>
            </control>
          </mc:Choice>
        </mc:AlternateContent>
        <mc:AlternateContent xmlns:mc="http://schemas.openxmlformats.org/markup-compatibility/2006">
          <mc:Choice Requires="x14">
            <control shapeId="1079" r:id="rId57" name="Check Box 55">
              <controlPr defaultSize="0" autoFill="0" autoLine="0" autoPict="0">
                <anchor moveWithCells="1">
                  <from>
                    <xdr:col>0</xdr:col>
                    <xdr:colOff>276225</xdr:colOff>
                    <xdr:row>55</xdr:row>
                    <xdr:rowOff>9525</xdr:rowOff>
                  </from>
                  <to>
                    <xdr:col>3</xdr:col>
                    <xdr:colOff>95250</xdr:colOff>
                    <xdr:row>55</xdr:row>
                    <xdr:rowOff>485775</xdr:rowOff>
                  </to>
                </anchor>
              </controlPr>
            </control>
          </mc:Choice>
        </mc:AlternateContent>
        <mc:AlternateContent xmlns:mc="http://schemas.openxmlformats.org/markup-compatibility/2006">
          <mc:Choice Requires="x14">
            <control shapeId="1080" r:id="rId58" name="Check Box 56">
              <controlPr defaultSize="0" autoFill="0" autoLine="0" autoPict="0">
                <anchor moveWithCells="1">
                  <from>
                    <xdr:col>0</xdr:col>
                    <xdr:colOff>276225</xdr:colOff>
                    <xdr:row>56</xdr:row>
                    <xdr:rowOff>9525</xdr:rowOff>
                  </from>
                  <to>
                    <xdr:col>3</xdr:col>
                    <xdr:colOff>95250</xdr:colOff>
                    <xdr:row>56</xdr:row>
                    <xdr:rowOff>485775</xdr:rowOff>
                  </to>
                </anchor>
              </controlPr>
            </control>
          </mc:Choice>
        </mc:AlternateContent>
        <mc:AlternateContent xmlns:mc="http://schemas.openxmlformats.org/markup-compatibility/2006">
          <mc:Choice Requires="x14">
            <control shapeId="1081" r:id="rId59" name="Check Box 57">
              <controlPr defaultSize="0" autoFill="0" autoLine="0" autoPict="0">
                <anchor moveWithCells="1">
                  <from>
                    <xdr:col>0</xdr:col>
                    <xdr:colOff>276225</xdr:colOff>
                    <xdr:row>57</xdr:row>
                    <xdr:rowOff>9525</xdr:rowOff>
                  </from>
                  <to>
                    <xdr:col>3</xdr:col>
                    <xdr:colOff>95250</xdr:colOff>
                    <xdr:row>57</xdr:row>
                    <xdr:rowOff>485775</xdr:rowOff>
                  </to>
                </anchor>
              </controlPr>
            </control>
          </mc:Choice>
        </mc:AlternateContent>
        <mc:AlternateContent xmlns:mc="http://schemas.openxmlformats.org/markup-compatibility/2006">
          <mc:Choice Requires="x14">
            <control shapeId="1082" r:id="rId60" name="Check Box 58">
              <controlPr defaultSize="0" autoFill="0" autoLine="0" autoPict="0">
                <anchor moveWithCells="1">
                  <from>
                    <xdr:col>0</xdr:col>
                    <xdr:colOff>276225</xdr:colOff>
                    <xdr:row>58</xdr:row>
                    <xdr:rowOff>9525</xdr:rowOff>
                  </from>
                  <to>
                    <xdr:col>3</xdr:col>
                    <xdr:colOff>95250</xdr:colOff>
                    <xdr:row>58</xdr:row>
                    <xdr:rowOff>485775</xdr:rowOff>
                  </to>
                </anchor>
              </controlPr>
            </control>
          </mc:Choice>
        </mc:AlternateContent>
        <mc:AlternateContent xmlns:mc="http://schemas.openxmlformats.org/markup-compatibility/2006">
          <mc:Choice Requires="x14">
            <control shapeId="1083" r:id="rId61" name="Check Box 59">
              <controlPr defaultSize="0" autoFill="0" autoLine="0" autoPict="0">
                <anchor moveWithCells="1">
                  <from>
                    <xdr:col>0</xdr:col>
                    <xdr:colOff>276225</xdr:colOff>
                    <xdr:row>59</xdr:row>
                    <xdr:rowOff>9525</xdr:rowOff>
                  </from>
                  <to>
                    <xdr:col>3</xdr:col>
                    <xdr:colOff>95250</xdr:colOff>
                    <xdr:row>59</xdr:row>
                    <xdr:rowOff>485775</xdr:rowOff>
                  </to>
                </anchor>
              </controlPr>
            </control>
          </mc:Choice>
        </mc:AlternateContent>
        <mc:AlternateContent xmlns:mc="http://schemas.openxmlformats.org/markup-compatibility/2006">
          <mc:Choice Requires="x14">
            <control shapeId="1084" r:id="rId62" name="Check Box 60">
              <controlPr defaultSize="0" autoFill="0" autoLine="0" autoPict="0">
                <anchor moveWithCells="1">
                  <from>
                    <xdr:col>0</xdr:col>
                    <xdr:colOff>276225</xdr:colOff>
                    <xdr:row>60</xdr:row>
                    <xdr:rowOff>9525</xdr:rowOff>
                  </from>
                  <to>
                    <xdr:col>3</xdr:col>
                    <xdr:colOff>95250</xdr:colOff>
                    <xdr:row>60</xdr:row>
                    <xdr:rowOff>485775</xdr:rowOff>
                  </to>
                </anchor>
              </controlPr>
            </control>
          </mc:Choice>
        </mc:AlternateContent>
        <mc:AlternateContent xmlns:mc="http://schemas.openxmlformats.org/markup-compatibility/2006">
          <mc:Choice Requires="x14">
            <control shapeId="1085" r:id="rId63" name="Check Box 61">
              <controlPr defaultSize="0" autoFill="0" autoLine="0" autoPict="0">
                <anchor moveWithCells="1">
                  <from>
                    <xdr:col>0</xdr:col>
                    <xdr:colOff>276225</xdr:colOff>
                    <xdr:row>61</xdr:row>
                    <xdr:rowOff>9525</xdr:rowOff>
                  </from>
                  <to>
                    <xdr:col>3</xdr:col>
                    <xdr:colOff>95250</xdr:colOff>
                    <xdr:row>61</xdr:row>
                    <xdr:rowOff>485775</xdr:rowOff>
                  </to>
                </anchor>
              </controlPr>
            </control>
          </mc:Choice>
        </mc:AlternateContent>
        <mc:AlternateContent xmlns:mc="http://schemas.openxmlformats.org/markup-compatibility/2006">
          <mc:Choice Requires="x14">
            <control shapeId="1086" r:id="rId64" name="Check Box 62">
              <controlPr defaultSize="0" autoFill="0" autoLine="0" autoPict="0">
                <anchor moveWithCells="1">
                  <from>
                    <xdr:col>0</xdr:col>
                    <xdr:colOff>276225</xdr:colOff>
                    <xdr:row>62</xdr:row>
                    <xdr:rowOff>9525</xdr:rowOff>
                  </from>
                  <to>
                    <xdr:col>3</xdr:col>
                    <xdr:colOff>95250</xdr:colOff>
                    <xdr:row>62</xdr:row>
                    <xdr:rowOff>485775</xdr:rowOff>
                  </to>
                </anchor>
              </controlPr>
            </control>
          </mc:Choice>
        </mc:AlternateContent>
        <mc:AlternateContent xmlns:mc="http://schemas.openxmlformats.org/markup-compatibility/2006">
          <mc:Choice Requires="x14">
            <control shapeId="1087" r:id="rId65" name="Check Box 63">
              <controlPr defaultSize="0" autoFill="0" autoLine="0" autoPict="0">
                <anchor moveWithCells="1">
                  <from>
                    <xdr:col>0</xdr:col>
                    <xdr:colOff>276225</xdr:colOff>
                    <xdr:row>63</xdr:row>
                    <xdr:rowOff>9525</xdr:rowOff>
                  </from>
                  <to>
                    <xdr:col>3</xdr:col>
                    <xdr:colOff>95250</xdr:colOff>
                    <xdr:row>63</xdr:row>
                    <xdr:rowOff>485775</xdr:rowOff>
                  </to>
                </anchor>
              </controlPr>
            </control>
          </mc:Choice>
        </mc:AlternateContent>
        <mc:AlternateContent xmlns:mc="http://schemas.openxmlformats.org/markup-compatibility/2006">
          <mc:Choice Requires="x14">
            <control shapeId="1088" r:id="rId66" name="Check Box 64">
              <controlPr defaultSize="0" autoFill="0" autoLine="0" autoPict="0">
                <anchor moveWithCells="1">
                  <from>
                    <xdr:col>0</xdr:col>
                    <xdr:colOff>276225</xdr:colOff>
                    <xdr:row>64</xdr:row>
                    <xdr:rowOff>9525</xdr:rowOff>
                  </from>
                  <to>
                    <xdr:col>3</xdr:col>
                    <xdr:colOff>95250</xdr:colOff>
                    <xdr:row>64</xdr:row>
                    <xdr:rowOff>485775</xdr:rowOff>
                  </to>
                </anchor>
              </controlPr>
            </control>
          </mc:Choice>
        </mc:AlternateContent>
        <mc:AlternateContent xmlns:mc="http://schemas.openxmlformats.org/markup-compatibility/2006">
          <mc:Choice Requires="x14">
            <control shapeId="1089" r:id="rId67" name="Check Box 65">
              <controlPr defaultSize="0" autoFill="0" autoLine="0" autoPict="0">
                <anchor moveWithCells="1">
                  <from>
                    <xdr:col>0</xdr:col>
                    <xdr:colOff>276225</xdr:colOff>
                    <xdr:row>65</xdr:row>
                    <xdr:rowOff>9525</xdr:rowOff>
                  </from>
                  <to>
                    <xdr:col>3</xdr:col>
                    <xdr:colOff>95250</xdr:colOff>
                    <xdr:row>65</xdr:row>
                    <xdr:rowOff>485775</xdr:rowOff>
                  </to>
                </anchor>
              </controlPr>
            </control>
          </mc:Choice>
        </mc:AlternateContent>
        <mc:AlternateContent xmlns:mc="http://schemas.openxmlformats.org/markup-compatibility/2006">
          <mc:Choice Requires="x14">
            <control shapeId="1090" r:id="rId68" name="Check Box 66">
              <controlPr defaultSize="0" autoFill="0" autoLine="0" autoPict="0">
                <anchor moveWithCells="1">
                  <from>
                    <xdr:col>0</xdr:col>
                    <xdr:colOff>276225</xdr:colOff>
                    <xdr:row>66</xdr:row>
                    <xdr:rowOff>9525</xdr:rowOff>
                  </from>
                  <to>
                    <xdr:col>3</xdr:col>
                    <xdr:colOff>95250</xdr:colOff>
                    <xdr:row>66</xdr:row>
                    <xdr:rowOff>485775</xdr:rowOff>
                  </to>
                </anchor>
              </controlPr>
            </control>
          </mc:Choice>
        </mc:AlternateContent>
        <mc:AlternateContent xmlns:mc="http://schemas.openxmlformats.org/markup-compatibility/2006">
          <mc:Choice Requires="x14">
            <control shapeId="1091" r:id="rId69" name="Check Box 67">
              <controlPr defaultSize="0" autoFill="0" autoLine="0" autoPict="0">
                <anchor moveWithCells="1">
                  <from>
                    <xdr:col>0</xdr:col>
                    <xdr:colOff>276225</xdr:colOff>
                    <xdr:row>67</xdr:row>
                    <xdr:rowOff>9525</xdr:rowOff>
                  </from>
                  <to>
                    <xdr:col>3</xdr:col>
                    <xdr:colOff>95250</xdr:colOff>
                    <xdr:row>67</xdr:row>
                    <xdr:rowOff>485775</xdr:rowOff>
                  </to>
                </anchor>
              </controlPr>
            </control>
          </mc:Choice>
        </mc:AlternateContent>
        <mc:AlternateContent xmlns:mc="http://schemas.openxmlformats.org/markup-compatibility/2006">
          <mc:Choice Requires="x14">
            <control shapeId="1092" r:id="rId70" name="Check Box 68">
              <controlPr defaultSize="0" autoFill="0" autoLine="0" autoPict="0">
                <anchor moveWithCells="1">
                  <from>
                    <xdr:col>0</xdr:col>
                    <xdr:colOff>276225</xdr:colOff>
                    <xdr:row>68</xdr:row>
                    <xdr:rowOff>9525</xdr:rowOff>
                  </from>
                  <to>
                    <xdr:col>3</xdr:col>
                    <xdr:colOff>95250</xdr:colOff>
                    <xdr:row>68</xdr:row>
                    <xdr:rowOff>485775</xdr:rowOff>
                  </to>
                </anchor>
              </controlPr>
            </control>
          </mc:Choice>
        </mc:AlternateContent>
        <mc:AlternateContent xmlns:mc="http://schemas.openxmlformats.org/markup-compatibility/2006">
          <mc:Choice Requires="x14">
            <control shapeId="1093" r:id="rId71" name="Check Box 69">
              <controlPr defaultSize="0" autoFill="0" autoLine="0" autoPict="0">
                <anchor moveWithCells="1">
                  <from>
                    <xdr:col>0</xdr:col>
                    <xdr:colOff>276225</xdr:colOff>
                    <xdr:row>69</xdr:row>
                    <xdr:rowOff>9525</xdr:rowOff>
                  </from>
                  <to>
                    <xdr:col>3</xdr:col>
                    <xdr:colOff>95250</xdr:colOff>
                    <xdr:row>69</xdr:row>
                    <xdr:rowOff>485775</xdr:rowOff>
                  </to>
                </anchor>
              </controlPr>
            </control>
          </mc:Choice>
        </mc:AlternateContent>
        <mc:AlternateContent xmlns:mc="http://schemas.openxmlformats.org/markup-compatibility/2006">
          <mc:Choice Requires="x14">
            <control shapeId="1094" r:id="rId72" name="Check Box 70">
              <controlPr defaultSize="0" autoFill="0" autoLine="0" autoPict="0">
                <anchor moveWithCells="1">
                  <from>
                    <xdr:col>0</xdr:col>
                    <xdr:colOff>276225</xdr:colOff>
                    <xdr:row>70</xdr:row>
                    <xdr:rowOff>9525</xdr:rowOff>
                  </from>
                  <to>
                    <xdr:col>3</xdr:col>
                    <xdr:colOff>95250</xdr:colOff>
                    <xdr:row>70</xdr:row>
                    <xdr:rowOff>485775</xdr:rowOff>
                  </to>
                </anchor>
              </controlPr>
            </control>
          </mc:Choice>
        </mc:AlternateContent>
        <mc:AlternateContent xmlns:mc="http://schemas.openxmlformats.org/markup-compatibility/2006">
          <mc:Choice Requires="x14">
            <control shapeId="1095" r:id="rId73" name="Check Box 71">
              <controlPr defaultSize="0" autoFill="0" autoLine="0" autoPict="0">
                <anchor moveWithCells="1">
                  <from>
                    <xdr:col>0</xdr:col>
                    <xdr:colOff>276225</xdr:colOff>
                    <xdr:row>71</xdr:row>
                    <xdr:rowOff>9525</xdr:rowOff>
                  </from>
                  <to>
                    <xdr:col>3</xdr:col>
                    <xdr:colOff>95250</xdr:colOff>
                    <xdr:row>71</xdr:row>
                    <xdr:rowOff>485775</xdr:rowOff>
                  </to>
                </anchor>
              </controlPr>
            </control>
          </mc:Choice>
        </mc:AlternateContent>
        <mc:AlternateContent xmlns:mc="http://schemas.openxmlformats.org/markup-compatibility/2006">
          <mc:Choice Requires="x14">
            <control shapeId="1096" r:id="rId74" name="Check Box 72">
              <controlPr defaultSize="0" autoFill="0" autoLine="0" autoPict="0">
                <anchor moveWithCells="1">
                  <from>
                    <xdr:col>0</xdr:col>
                    <xdr:colOff>276225</xdr:colOff>
                    <xdr:row>72</xdr:row>
                    <xdr:rowOff>9525</xdr:rowOff>
                  </from>
                  <to>
                    <xdr:col>3</xdr:col>
                    <xdr:colOff>95250</xdr:colOff>
                    <xdr:row>72</xdr:row>
                    <xdr:rowOff>485775</xdr:rowOff>
                  </to>
                </anchor>
              </controlPr>
            </control>
          </mc:Choice>
        </mc:AlternateContent>
        <mc:AlternateContent xmlns:mc="http://schemas.openxmlformats.org/markup-compatibility/2006">
          <mc:Choice Requires="x14">
            <control shapeId="1097" r:id="rId75" name="Check Box 73">
              <controlPr defaultSize="0" autoFill="0" autoLine="0" autoPict="0">
                <anchor moveWithCells="1">
                  <from>
                    <xdr:col>0</xdr:col>
                    <xdr:colOff>276225</xdr:colOff>
                    <xdr:row>73</xdr:row>
                    <xdr:rowOff>9525</xdr:rowOff>
                  </from>
                  <to>
                    <xdr:col>3</xdr:col>
                    <xdr:colOff>95250</xdr:colOff>
                    <xdr:row>73</xdr:row>
                    <xdr:rowOff>485775</xdr:rowOff>
                  </to>
                </anchor>
              </controlPr>
            </control>
          </mc:Choice>
        </mc:AlternateContent>
        <mc:AlternateContent xmlns:mc="http://schemas.openxmlformats.org/markup-compatibility/2006">
          <mc:Choice Requires="x14">
            <control shapeId="1098" r:id="rId76" name="Check Box 74">
              <controlPr defaultSize="0" autoFill="0" autoLine="0" autoPict="0">
                <anchor moveWithCells="1">
                  <from>
                    <xdr:col>0</xdr:col>
                    <xdr:colOff>276225</xdr:colOff>
                    <xdr:row>74</xdr:row>
                    <xdr:rowOff>9525</xdr:rowOff>
                  </from>
                  <to>
                    <xdr:col>3</xdr:col>
                    <xdr:colOff>95250</xdr:colOff>
                    <xdr:row>74</xdr:row>
                    <xdr:rowOff>485775</xdr:rowOff>
                  </to>
                </anchor>
              </controlPr>
            </control>
          </mc:Choice>
        </mc:AlternateContent>
        <mc:AlternateContent xmlns:mc="http://schemas.openxmlformats.org/markup-compatibility/2006">
          <mc:Choice Requires="x14">
            <control shapeId="1099" r:id="rId77" name="Check Box 75">
              <controlPr defaultSize="0" autoFill="0" autoLine="0" autoPict="0">
                <anchor moveWithCells="1">
                  <from>
                    <xdr:col>0</xdr:col>
                    <xdr:colOff>276225</xdr:colOff>
                    <xdr:row>75</xdr:row>
                    <xdr:rowOff>9525</xdr:rowOff>
                  </from>
                  <to>
                    <xdr:col>3</xdr:col>
                    <xdr:colOff>95250</xdr:colOff>
                    <xdr:row>75</xdr:row>
                    <xdr:rowOff>485775</xdr:rowOff>
                  </to>
                </anchor>
              </controlPr>
            </control>
          </mc:Choice>
        </mc:AlternateContent>
        <mc:AlternateContent xmlns:mc="http://schemas.openxmlformats.org/markup-compatibility/2006">
          <mc:Choice Requires="x14">
            <control shapeId="1100" r:id="rId78" name="Check Box 76">
              <controlPr defaultSize="0" autoFill="0" autoLine="0" autoPict="0">
                <anchor moveWithCells="1">
                  <from>
                    <xdr:col>0</xdr:col>
                    <xdr:colOff>276225</xdr:colOff>
                    <xdr:row>76</xdr:row>
                    <xdr:rowOff>9525</xdr:rowOff>
                  </from>
                  <to>
                    <xdr:col>3</xdr:col>
                    <xdr:colOff>95250</xdr:colOff>
                    <xdr:row>76</xdr:row>
                    <xdr:rowOff>485775</xdr:rowOff>
                  </to>
                </anchor>
              </controlPr>
            </control>
          </mc:Choice>
        </mc:AlternateContent>
        <mc:AlternateContent xmlns:mc="http://schemas.openxmlformats.org/markup-compatibility/2006">
          <mc:Choice Requires="x14">
            <control shapeId="1101" r:id="rId79" name="Check Box 77">
              <controlPr defaultSize="0" autoFill="0" autoLine="0" autoPict="0">
                <anchor moveWithCells="1">
                  <from>
                    <xdr:col>0</xdr:col>
                    <xdr:colOff>276225</xdr:colOff>
                    <xdr:row>77</xdr:row>
                    <xdr:rowOff>9525</xdr:rowOff>
                  </from>
                  <to>
                    <xdr:col>3</xdr:col>
                    <xdr:colOff>95250</xdr:colOff>
                    <xdr:row>77</xdr:row>
                    <xdr:rowOff>485775</xdr:rowOff>
                  </to>
                </anchor>
              </controlPr>
            </control>
          </mc:Choice>
        </mc:AlternateContent>
        <mc:AlternateContent xmlns:mc="http://schemas.openxmlformats.org/markup-compatibility/2006">
          <mc:Choice Requires="x14">
            <control shapeId="1102" r:id="rId80" name="Check Box 78">
              <controlPr defaultSize="0" autoFill="0" autoLine="0" autoPict="0">
                <anchor moveWithCells="1">
                  <from>
                    <xdr:col>0</xdr:col>
                    <xdr:colOff>276225</xdr:colOff>
                    <xdr:row>78</xdr:row>
                    <xdr:rowOff>9525</xdr:rowOff>
                  </from>
                  <to>
                    <xdr:col>3</xdr:col>
                    <xdr:colOff>95250</xdr:colOff>
                    <xdr:row>78</xdr:row>
                    <xdr:rowOff>485775</xdr:rowOff>
                  </to>
                </anchor>
              </controlPr>
            </control>
          </mc:Choice>
        </mc:AlternateContent>
        <mc:AlternateContent xmlns:mc="http://schemas.openxmlformats.org/markup-compatibility/2006">
          <mc:Choice Requires="x14">
            <control shapeId="1103" r:id="rId81" name="Check Box 79">
              <controlPr defaultSize="0" autoFill="0" autoLine="0" autoPict="0">
                <anchor moveWithCells="1">
                  <from>
                    <xdr:col>0</xdr:col>
                    <xdr:colOff>276225</xdr:colOff>
                    <xdr:row>79</xdr:row>
                    <xdr:rowOff>9525</xdr:rowOff>
                  </from>
                  <to>
                    <xdr:col>3</xdr:col>
                    <xdr:colOff>95250</xdr:colOff>
                    <xdr:row>79</xdr:row>
                    <xdr:rowOff>485775</xdr:rowOff>
                  </to>
                </anchor>
              </controlPr>
            </control>
          </mc:Choice>
        </mc:AlternateContent>
        <mc:AlternateContent xmlns:mc="http://schemas.openxmlformats.org/markup-compatibility/2006">
          <mc:Choice Requires="x14">
            <control shapeId="1104" r:id="rId82" name="Check Box 80">
              <controlPr defaultSize="0" autoFill="0" autoLine="0" autoPict="0">
                <anchor moveWithCells="1">
                  <from>
                    <xdr:col>0</xdr:col>
                    <xdr:colOff>276225</xdr:colOff>
                    <xdr:row>80</xdr:row>
                    <xdr:rowOff>9525</xdr:rowOff>
                  </from>
                  <to>
                    <xdr:col>3</xdr:col>
                    <xdr:colOff>95250</xdr:colOff>
                    <xdr:row>80</xdr:row>
                    <xdr:rowOff>485775</xdr:rowOff>
                  </to>
                </anchor>
              </controlPr>
            </control>
          </mc:Choice>
        </mc:AlternateContent>
        <mc:AlternateContent xmlns:mc="http://schemas.openxmlformats.org/markup-compatibility/2006">
          <mc:Choice Requires="x14">
            <control shapeId="1105" r:id="rId83" name="Check Box 81">
              <controlPr defaultSize="0" autoFill="0" autoLine="0" autoPict="0">
                <anchor moveWithCells="1">
                  <from>
                    <xdr:col>0</xdr:col>
                    <xdr:colOff>276225</xdr:colOff>
                    <xdr:row>81</xdr:row>
                    <xdr:rowOff>9525</xdr:rowOff>
                  </from>
                  <to>
                    <xdr:col>3</xdr:col>
                    <xdr:colOff>95250</xdr:colOff>
                    <xdr:row>81</xdr:row>
                    <xdr:rowOff>485775</xdr:rowOff>
                  </to>
                </anchor>
              </controlPr>
            </control>
          </mc:Choice>
        </mc:AlternateContent>
        <mc:AlternateContent xmlns:mc="http://schemas.openxmlformats.org/markup-compatibility/2006">
          <mc:Choice Requires="x14">
            <control shapeId="1106" r:id="rId84" name="Check Box 82">
              <controlPr defaultSize="0" autoFill="0" autoLine="0" autoPict="0">
                <anchor moveWithCells="1">
                  <from>
                    <xdr:col>0</xdr:col>
                    <xdr:colOff>276225</xdr:colOff>
                    <xdr:row>82</xdr:row>
                    <xdr:rowOff>9525</xdr:rowOff>
                  </from>
                  <to>
                    <xdr:col>3</xdr:col>
                    <xdr:colOff>95250</xdr:colOff>
                    <xdr:row>82</xdr:row>
                    <xdr:rowOff>485775</xdr:rowOff>
                  </to>
                </anchor>
              </controlPr>
            </control>
          </mc:Choice>
        </mc:AlternateContent>
        <mc:AlternateContent xmlns:mc="http://schemas.openxmlformats.org/markup-compatibility/2006">
          <mc:Choice Requires="x14">
            <control shapeId="1107" r:id="rId85" name="Check Box 83">
              <controlPr defaultSize="0" autoFill="0" autoLine="0" autoPict="0">
                <anchor moveWithCells="1">
                  <from>
                    <xdr:col>0</xdr:col>
                    <xdr:colOff>276225</xdr:colOff>
                    <xdr:row>83</xdr:row>
                    <xdr:rowOff>9525</xdr:rowOff>
                  </from>
                  <to>
                    <xdr:col>3</xdr:col>
                    <xdr:colOff>95250</xdr:colOff>
                    <xdr:row>83</xdr:row>
                    <xdr:rowOff>485775</xdr:rowOff>
                  </to>
                </anchor>
              </controlPr>
            </control>
          </mc:Choice>
        </mc:AlternateContent>
        <mc:AlternateContent xmlns:mc="http://schemas.openxmlformats.org/markup-compatibility/2006">
          <mc:Choice Requires="x14">
            <control shapeId="1108" r:id="rId86" name="Check Box 84">
              <controlPr defaultSize="0" autoFill="0" autoLine="0" autoPict="0">
                <anchor moveWithCells="1">
                  <from>
                    <xdr:col>0</xdr:col>
                    <xdr:colOff>276225</xdr:colOff>
                    <xdr:row>84</xdr:row>
                    <xdr:rowOff>9525</xdr:rowOff>
                  </from>
                  <to>
                    <xdr:col>3</xdr:col>
                    <xdr:colOff>95250</xdr:colOff>
                    <xdr:row>84</xdr:row>
                    <xdr:rowOff>485775</xdr:rowOff>
                  </to>
                </anchor>
              </controlPr>
            </control>
          </mc:Choice>
        </mc:AlternateContent>
        <mc:AlternateContent xmlns:mc="http://schemas.openxmlformats.org/markup-compatibility/2006">
          <mc:Choice Requires="x14">
            <control shapeId="1109" r:id="rId87" name="Check Box 85">
              <controlPr defaultSize="0" autoFill="0" autoLine="0" autoPict="0">
                <anchor moveWithCells="1">
                  <from>
                    <xdr:col>0</xdr:col>
                    <xdr:colOff>276225</xdr:colOff>
                    <xdr:row>85</xdr:row>
                    <xdr:rowOff>9525</xdr:rowOff>
                  </from>
                  <to>
                    <xdr:col>3</xdr:col>
                    <xdr:colOff>95250</xdr:colOff>
                    <xdr:row>85</xdr:row>
                    <xdr:rowOff>485775</xdr:rowOff>
                  </to>
                </anchor>
              </controlPr>
            </control>
          </mc:Choice>
        </mc:AlternateContent>
        <mc:AlternateContent xmlns:mc="http://schemas.openxmlformats.org/markup-compatibility/2006">
          <mc:Choice Requires="x14">
            <control shapeId="1110" r:id="rId88" name="Check Box 86">
              <controlPr defaultSize="0" autoFill="0" autoLine="0" autoPict="0">
                <anchor moveWithCells="1">
                  <from>
                    <xdr:col>0</xdr:col>
                    <xdr:colOff>276225</xdr:colOff>
                    <xdr:row>86</xdr:row>
                    <xdr:rowOff>9525</xdr:rowOff>
                  </from>
                  <to>
                    <xdr:col>3</xdr:col>
                    <xdr:colOff>95250</xdr:colOff>
                    <xdr:row>86</xdr:row>
                    <xdr:rowOff>485775</xdr:rowOff>
                  </to>
                </anchor>
              </controlPr>
            </control>
          </mc:Choice>
        </mc:AlternateContent>
        <mc:AlternateContent xmlns:mc="http://schemas.openxmlformats.org/markup-compatibility/2006">
          <mc:Choice Requires="x14">
            <control shapeId="1111" r:id="rId89" name="Check Box 87">
              <controlPr defaultSize="0" autoFill="0" autoLine="0" autoPict="0">
                <anchor moveWithCells="1">
                  <from>
                    <xdr:col>0</xdr:col>
                    <xdr:colOff>276225</xdr:colOff>
                    <xdr:row>87</xdr:row>
                    <xdr:rowOff>9525</xdr:rowOff>
                  </from>
                  <to>
                    <xdr:col>3</xdr:col>
                    <xdr:colOff>95250</xdr:colOff>
                    <xdr:row>87</xdr:row>
                    <xdr:rowOff>485775</xdr:rowOff>
                  </to>
                </anchor>
              </controlPr>
            </control>
          </mc:Choice>
        </mc:AlternateContent>
        <mc:AlternateContent xmlns:mc="http://schemas.openxmlformats.org/markup-compatibility/2006">
          <mc:Choice Requires="x14">
            <control shapeId="1112" r:id="rId90" name="Check Box 88">
              <controlPr defaultSize="0" autoFill="0" autoLine="0" autoPict="0">
                <anchor moveWithCells="1">
                  <from>
                    <xdr:col>0</xdr:col>
                    <xdr:colOff>276225</xdr:colOff>
                    <xdr:row>88</xdr:row>
                    <xdr:rowOff>9525</xdr:rowOff>
                  </from>
                  <to>
                    <xdr:col>3</xdr:col>
                    <xdr:colOff>95250</xdr:colOff>
                    <xdr:row>88</xdr:row>
                    <xdr:rowOff>485775</xdr:rowOff>
                  </to>
                </anchor>
              </controlPr>
            </control>
          </mc:Choice>
        </mc:AlternateContent>
        <mc:AlternateContent xmlns:mc="http://schemas.openxmlformats.org/markup-compatibility/2006">
          <mc:Choice Requires="x14">
            <control shapeId="1113" r:id="rId91" name="Check Box 89">
              <controlPr defaultSize="0" autoFill="0" autoLine="0" autoPict="0">
                <anchor moveWithCells="1">
                  <from>
                    <xdr:col>0</xdr:col>
                    <xdr:colOff>276225</xdr:colOff>
                    <xdr:row>89</xdr:row>
                    <xdr:rowOff>9525</xdr:rowOff>
                  </from>
                  <to>
                    <xdr:col>3</xdr:col>
                    <xdr:colOff>95250</xdr:colOff>
                    <xdr:row>89</xdr:row>
                    <xdr:rowOff>485775</xdr:rowOff>
                  </to>
                </anchor>
              </controlPr>
            </control>
          </mc:Choice>
        </mc:AlternateContent>
        <mc:AlternateContent xmlns:mc="http://schemas.openxmlformats.org/markup-compatibility/2006">
          <mc:Choice Requires="x14">
            <control shapeId="1114" r:id="rId92" name="Check Box 90">
              <controlPr defaultSize="0" autoFill="0" autoLine="0" autoPict="0">
                <anchor moveWithCells="1">
                  <from>
                    <xdr:col>0</xdr:col>
                    <xdr:colOff>276225</xdr:colOff>
                    <xdr:row>90</xdr:row>
                    <xdr:rowOff>9525</xdr:rowOff>
                  </from>
                  <to>
                    <xdr:col>3</xdr:col>
                    <xdr:colOff>95250</xdr:colOff>
                    <xdr:row>90</xdr:row>
                    <xdr:rowOff>485775</xdr:rowOff>
                  </to>
                </anchor>
              </controlPr>
            </control>
          </mc:Choice>
        </mc:AlternateContent>
        <mc:AlternateContent xmlns:mc="http://schemas.openxmlformats.org/markup-compatibility/2006">
          <mc:Choice Requires="x14">
            <control shapeId="1115" r:id="rId93" name="Check Box 91">
              <controlPr defaultSize="0" autoFill="0" autoLine="0" autoPict="0">
                <anchor moveWithCells="1">
                  <from>
                    <xdr:col>0</xdr:col>
                    <xdr:colOff>276225</xdr:colOff>
                    <xdr:row>91</xdr:row>
                    <xdr:rowOff>9525</xdr:rowOff>
                  </from>
                  <to>
                    <xdr:col>3</xdr:col>
                    <xdr:colOff>95250</xdr:colOff>
                    <xdr:row>91</xdr:row>
                    <xdr:rowOff>485775</xdr:rowOff>
                  </to>
                </anchor>
              </controlPr>
            </control>
          </mc:Choice>
        </mc:AlternateContent>
        <mc:AlternateContent xmlns:mc="http://schemas.openxmlformats.org/markup-compatibility/2006">
          <mc:Choice Requires="x14">
            <control shapeId="1116" r:id="rId94" name="Check Box 92">
              <controlPr defaultSize="0" autoFill="0" autoLine="0" autoPict="0">
                <anchor moveWithCells="1">
                  <from>
                    <xdr:col>0</xdr:col>
                    <xdr:colOff>276225</xdr:colOff>
                    <xdr:row>92</xdr:row>
                    <xdr:rowOff>9525</xdr:rowOff>
                  </from>
                  <to>
                    <xdr:col>3</xdr:col>
                    <xdr:colOff>95250</xdr:colOff>
                    <xdr:row>92</xdr:row>
                    <xdr:rowOff>485775</xdr:rowOff>
                  </to>
                </anchor>
              </controlPr>
            </control>
          </mc:Choice>
        </mc:AlternateContent>
        <mc:AlternateContent xmlns:mc="http://schemas.openxmlformats.org/markup-compatibility/2006">
          <mc:Choice Requires="x14">
            <control shapeId="1117" r:id="rId95" name="Check Box 93">
              <controlPr defaultSize="0" autoFill="0" autoLine="0" autoPict="0">
                <anchor moveWithCells="1">
                  <from>
                    <xdr:col>0</xdr:col>
                    <xdr:colOff>276225</xdr:colOff>
                    <xdr:row>93</xdr:row>
                    <xdr:rowOff>9525</xdr:rowOff>
                  </from>
                  <to>
                    <xdr:col>3</xdr:col>
                    <xdr:colOff>95250</xdr:colOff>
                    <xdr:row>93</xdr:row>
                    <xdr:rowOff>485775</xdr:rowOff>
                  </to>
                </anchor>
              </controlPr>
            </control>
          </mc:Choice>
        </mc:AlternateContent>
        <mc:AlternateContent xmlns:mc="http://schemas.openxmlformats.org/markup-compatibility/2006">
          <mc:Choice Requires="x14">
            <control shapeId="1118" r:id="rId96" name="Check Box 94">
              <controlPr defaultSize="0" autoFill="0" autoLine="0" autoPict="0">
                <anchor moveWithCells="1">
                  <from>
                    <xdr:col>0</xdr:col>
                    <xdr:colOff>276225</xdr:colOff>
                    <xdr:row>94</xdr:row>
                    <xdr:rowOff>9525</xdr:rowOff>
                  </from>
                  <to>
                    <xdr:col>3</xdr:col>
                    <xdr:colOff>95250</xdr:colOff>
                    <xdr:row>94</xdr:row>
                    <xdr:rowOff>485775</xdr:rowOff>
                  </to>
                </anchor>
              </controlPr>
            </control>
          </mc:Choice>
        </mc:AlternateContent>
        <mc:AlternateContent xmlns:mc="http://schemas.openxmlformats.org/markup-compatibility/2006">
          <mc:Choice Requires="x14">
            <control shapeId="1119" r:id="rId97" name="Check Box 95">
              <controlPr defaultSize="0" autoFill="0" autoLine="0" autoPict="0">
                <anchor moveWithCells="1">
                  <from>
                    <xdr:col>0</xdr:col>
                    <xdr:colOff>276225</xdr:colOff>
                    <xdr:row>95</xdr:row>
                    <xdr:rowOff>9525</xdr:rowOff>
                  </from>
                  <to>
                    <xdr:col>3</xdr:col>
                    <xdr:colOff>95250</xdr:colOff>
                    <xdr:row>95</xdr:row>
                    <xdr:rowOff>485775</xdr:rowOff>
                  </to>
                </anchor>
              </controlPr>
            </control>
          </mc:Choice>
        </mc:AlternateContent>
        <mc:AlternateContent xmlns:mc="http://schemas.openxmlformats.org/markup-compatibility/2006">
          <mc:Choice Requires="x14">
            <control shapeId="1120" r:id="rId98" name="Check Box 96">
              <controlPr defaultSize="0" autoFill="0" autoLine="0" autoPict="0">
                <anchor moveWithCells="1">
                  <from>
                    <xdr:col>0</xdr:col>
                    <xdr:colOff>276225</xdr:colOff>
                    <xdr:row>96</xdr:row>
                    <xdr:rowOff>9525</xdr:rowOff>
                  </from>
                  <to>
                    <xdr:col>3</xdr:col>
                    <xdr:colOff>95250</xdr:colOff>
                    <xdr:row>96</xdr:row>
                    <xdr:rowOff>485775</xdr:rowOff>
                  </to>
                </anchor>
              </controlPr>
            </control>
          </mc:Choice>
        </mc:AlternateContent>
        <mc:AlternateContent xmlns:mc="http://schemas.openxmlformats.org/markup-compatibility/2006">
          <mc:Choice Requires="x14">
            <control shapeId="1121" r:id="rId99" name="Check Box 97">
              <controlPr defaultSize="0" autoFill="0" autoLine="0" autoPict="0">
                <anchor moveWithCells="1">
                  <from>
                    <xdr:col>0</xdr:col>
                    <xdr:colOff>276225</xdr:colOff>
                    <xdr:row>97</xdr:row>
                    <xdr:rowOff>9525</xdr:rowOff>
                  </from>
                  <to>
                    <xdr:col>3</xdr:col>
                    <xdr:colOff>95250</xdr:colOff>
                    <xdr:row>97</xdr:row>
                    <xdr:rowOff>485775</xdr:rowOff>
                  </to>
                </anchor>
              </controlPr>
            </control>
          </mc:Choice>
        </mc:AlternateContent>
        <mc:AlternateContent xmlns:mc="http://schemas.openxmlformats.org/markup-compatibility/2006">
          <mc:Choice Requires="x14">
            <control shapeId="1122" r:id="rId100" name="Check Box 98">
              <controlPr defaultSize="0" autoFill="0" autoLine="0" autoPict="0">
                <anchor moveWithCells="1">
                  <from>
                    <xdr:col>0</xdr:col>
                    <xdr:colOff>276225</xdr:colOff>
                    <xdr:row>98</xdr:row>
                    <xdr:rowOff>9525</xdr:rowOff>
                  </from>
                  <to>
                    <xdr:col>3</xdr:col>
                    <xdr:colOff>95250</xdr:colOff>
                    <xdr:row>98</xdr:row>
                    <xdr:rowOff>485775</xdr:rowOff>
                  </to>
                </anchor>
              </controlPr>
            </control>
          </mc:Choice>
        </mc:AlternateContent>
        <mc:AlternateContent xmlns:mc="http://schemas.openxmlformats.org/markup-compatibility/2006">
          <mc:Choice Requires="x14">
            <control shapeId="1123" r:id="rId101" name="Check Box 99">
              <controlPr defaultSize="0" autoFill="0" autoLine="0" autoPict="0">
                <anchor moveWithCells="1">
                  <from>
                    <xdr:col>0</xdr:col>
                    <xdr:colOff>276225</xdr:colOff>
                    <xdr:row>99</xdr:row>
                    <xdr:rowOff>9525</xdr:rowOff>
                  </from>
                  <to>
                    <xdr:col>3</xdr:col>
                    <xdr:colOff>95250</xdr:colOff>
                    <xdr:row>99</xdr:row>
                    <xdr:rowOff>485775</xdr:rowOff>
                  </to>
                </anchor>
              </controlPr>
            </control>
          </mc:Choice>
        </mc:AlternateContent>
        <mc:AlternateContent xmlns:mc="http://schemas.openxmlformats.org/markup-compatibility/2006">
          <mc:Choice Requires="x14">
            <control shapeId="1124" r:id="rId102" name="Check Box 100">
              <controlPr defaultSize="0" autoFill="0" autoLine="0" autoPict="0">
                <anchor moveWithCells="1">
                  <from>
                    <xdr:col>0</xdr:col>
                    <xdr:colOff>276225</xdr:colOff>
                    <xdr:row>100</xdr:row>
                    <xdr:rowOff>9525</xdr:rowOff>
                  </from>
                  <to>
                    <xdr:col>3</xdr:col>
                    <xdr:colOff>95250</xdr:colOff>
                    <xdr:row>100</xdr:row>
                    <xdr:rowOff>485775</xdr:rowOff>
                  </to>
                </anchor>
              </controlPr>
            </control>
          </mc:Choice>
        </mc:AlternateContent>
        <mc:AlternateContent xmlns:mc="http://schemas.openxmlformats.org/markup-compatibility/2006">
          <mc:Choice Requires="x14">
            <control shapeId="1125" r:id="rId103" name="Check Box 101">
              <controlPr defaultSize="0" autoFill="0" autoLine="0" autoPict="0">
                <anchor moveWithCells="1">
                  <from>
                    <xdr:col>0</xdr:col>
                    <xdr:colOff>276225</xdr:colOff>
                    <xdr:row>101</xdr:row>
                    <xdr:rowOff>9525</xdr:rowOff>
                  </from>
                  <to>
                    <xdr:col>3</xdr:col>
                    <xdr:colOff>95250</xdr:colOff>
                    <xdr:row>101</xdr:row>
                    <xdr:rowOff>485775</xdr:rowOff>
                  </to>
                </anchor>
              </controlPr>
            </control>
          </mc:Choice>
        </mc:AlternateContent>
        <mc:AlternateContent xmlns:mc="http://schemas.openxmlformats.org/markup-compatibility/2006">
          <mc:Choice Requires="x14">
            <control shapeId="1126" r:id="rId104" name="Check Box 102">
              <controlPr defaultSize="0" autoFill="0" autoLine="0" autoPict="0">
                <anchor moveWithCells="1">
                  <from>
                    <xdr:col>0</xdr:col>
                    <xdr:colOff>276225</xdr:colOff>
                    <xdr:row>102</xdr:row>
                    <xdr:rowOff>9525</xdr:rowOff>
                  </from>
                  <to>
                    <xdr:col>3</xdr:col>
                    <xdr:colOff>95250</xdr:colOff>
                    <xdr:row>102</xdr:row>
                    <xdr:rowOff>485775</xdr:rowOff>
                  </to>
                </anchor>
              </controlPr>
            </control>
          </mc:Choice>
        </mc:AlternateContent>
        <mc:AlternateContent xmlns:mc="http://schemas.openxmlformats.org/markup-compatibility/2006">
          <mc:Choice Requires="x14">
            <control shapeId="1127" r:id="rId105" name="Check Box 103">
              <controlPr defaultSize="0" autoFill="0" autoLine="0" autoPict="0">
                <anchor moveWithCells="1">
                  <from>
                    <xdr:col>0</xdr:col>
                    <xdr:colOff>276225</xdr:colOff>
                    <xdr:row>103</xdr:row>
                    <xdr:rowOff>9525</xdr:rowOff>
                  </from>
                  <to>
                    <xdr:col>3</xdr:col>
                    <xdr:colOff>95250</xdr:colOff>
                    <xdr:row>103</xdr:row>
                    <xdr:rowOff>485775</xdr:rowOff>
                  </to>
                </anchor>
              </controlPr>
            </control>
          </mc:Choice>
        </mc:AlternateContent>
        <mc:AlternateContent xmlns:mc="http://schemas.openxmlformats.org/markup-compatibility/2006">
          <mc:Choice Requires="x14">
            <control shapeId="1128" r:id="rId106" name="Check Box 104">
              <controlPr defaultSize="0" autoFill="0" autoLine="0" autoPict="0">
                <anchor moveWithCells="1">
                  <from>
                    <xdr:col>0</xdr:col>
                    <xdr:colOff>276225</xdr:colOff>
                    <xdr:row>104</xdr:row>
                    <xdr:rowOff>9525</xdr:rowOff>
                  </from>
                  <to>
                    <xdr:col>3</xdr:col>
                    <xdr:colOff>95250</xdr:colOff>
                    <xdr:row>104</xdr:row>
                    <xdr:rowOff>485775</xdr:rowOff>
                  </to>
                </anchor>
              </controlPr>
            </control>
          </mc:Choice>
        </mc:AlternateContent>
        <mc:AlternateContent xmlns:mc="http://schemas.openxmlformats.org/markup-compatibility/2006">
          <mc:Choice Requires="x14">
            <control shapeId="1129" r:id="rId107" name="Check Box 105">
              <controlPr defaultSize="0" autoFill="0" autoLine="0" autoPict="0">
                <anchor moveWithCells="1">
                  <from>
                    <xdr:col>0</xdr:col>
                    <xdr:colOff>276225</xdr:colOff>
                    <xdr:row>105</xdr:row>
                    <xdr:rowOff>9525</xdr:rowOff>
                  </from>
                  <to>
                    <xdr:col>3</xdr:col>
                    <xdr:colOff>95250</xdr:colOff>
                    <xdr:row>105</xdr:row>
                    <xdr:rowOff>485775</xdr:rowOff>
                  </to>
                </anchor>
              </controlPr>
            </control>
          </mc:Choice>
        </mc:AlternateContent>
        <mc:AlternateContent xmlns:mc="http://schemas.openxmlformats.org/markup-compatibility/2006">
          <mc:Choice Requires="x14">
            <control shapeId="1130" r:id="rId108" name="Check Box 106">
              <controlPr defaultSize="0" autoFill="0" autoLine="0" autoPict="0">
                <anchor moveWithCells="1">
                  <from>
                    <xdr:col>0</xdr:col>
                    <xdr:colOff>276225</xdr:colOff>
                    <xdr:row>106</xdr:row>
                    <xdr:rowOff>9525</xdr:rowOff>
                  </from>
                  <to>
                    <xdr:col>3</xdr:col>
                    <xdr:colOff>95250</xdr:colOff>
                    <xdr:row>106</xdr:row>
                    <xdr:rowOff>485775</xdr:rowOff>
                  </to>
                </anchor>
              </controlPr>
            </control>
          </mc:Choice>
        </mc:AlternateContent>
        <mc:AlternateContent xmlns:mc="http://schemas.openxmlformats.org/markup-compatibility/2006">
          <mc:Choice Requires="x14">
            <control shapeId="1131" r:id="rId109" name="Check Box 107">
              <controlPr defaultSize="0" autoFill="0" autoLine="0" autoPict="0">
                <anchor moveWithCells="1">
                  <from>
                    <xdr:col>0</xdr:col>
                    <xdr:colOff>276225</xdr:colOff>
                    <xdr:row>107</xdr:row>
                    <xdr:rowOff>9525</xdr:rowOff>
                  </from>
                  <to>
                    <xdr:col>3</xdr:col>
                    <xdr:colOff>95250</xdr:colOff>
                    <xdr:row>107</xdr:row>
                    <xdr:rowOff>485775</xdr:rowOff>
                  </to>
                </anchor>
              </controlPr>
            </control>
          </mc:Choice>
        </mc:AlternateContent>
        <mc:AlternateContent xmlns:mc="http://schemas.openxmlformats.org/markup-compatibility/2006">
          <mc:Choice Requires="x14">
            <control shapeId="1132" r:id="rId110" name="Check Box 108">
              <controlPr defaultSize="0" autoFill="0" autoLine="0" autoPict="0">
                <anchor moveWithCells="1">
                  <from>
                    <xdr:col>0</xdr:col>
                    <xdr:colOff>276225</xdr:colOff>
                    <xdr:row>108</xdr:row>
                    <xdr:rowOff>9525</xdr:rowOff>
                  </from>
                  <to>
                    <xdr:col>3</xdr:col>
                    <xdr:colOff>95250</xdr:colOff>
                    <xdr:row>108</xdr:row>
                    <xdr:rowOff>485775</xdr:rowOff>
                  </to>
                </anchor>
              </controlPr>
            </control>
          </mc:Choice>
        </mc:AlternateContent>
        <mc:AlternateContent xmlns:mc="http://schemas.openxmlformats.org/markup-compatibility/2006">
          <mc:Choice Requires="x14">
            <control shapeId="1133" r:id="rId111" name="Check Box 109">
              <controlPr defaultSize="0" autoFill="0" autoLine="0" autoPict="0">
                <anchor moveWithCells="1">
                  <from>
                    <xdr:col>0</xdr:col>
                    <xdr:colOff>276225</xdr:colOff>
                    <xdr:row>109</xdr:row>
                    <xdr:rowOff>9525</xdr:rowOff>
                  </from>
                  <to>
                    <xdr:col>3</xdr:col>
                    <xdr:colOff>95250</xdr:colOff>
                    <xdr:row>109</xdr:row>
                    <xdr:rowOff>485775</xdr:rowOff>
                  </to>
                </anchor>
              </controlPr>
            </control>
          </mc:Choice>
        </mc:AlternateContent>
        <mc:AlternateContent xmlns:mc="http://schemas.openxmlformats.org/markup-compatibility/2006">
          <mc:Choice Requires="x14">
            <control shapeId="1134" r:id="rId112" name="Check Box 110">
              <controlPr defaultSize="0" autoFill="0" autoLine="0" autoPict="0">
                <anchor moveWithCells="1">
                  <from>
                    <xdr:col>0</xdr:col>
                    <xdr:colOff>276225</xdr:colOff>
                    <xdr:row>110</xdr:row>
                    <xdr:rowOff>9525</xdr:rowOff>
                  </from>
                  <to>
                    <xdr:col>3</xdr:col>
                    <xdr:colOff>95250</xdr:colOff>
                    <xdr:row>110</xdr:row>
                    <xdr:rowOff>485775</xdr:rowOff>
                  </to>
                </anchor>
              </controlPr>
            </control>
          </mc:Choice>
        </mc:AlternateContent>
        <mc:AlternateContent xmlns:mc="http://schemas.openxmlformats.org/markup-compatibility/2006">
          <mc:Choice Requires="x14">
            <control shapeId="1135" r:id="rId113" name="Check Box 111">
              <controlPr defaultSize="0" autoFill="0" autoLine="0" autoPict="0">
                <anchor moveWithCells="1">
                  <from>
                    <xdr:col>0</xdr:col>
                    <xdr:colOff>276225</xdr:colOff>
                    <xdr:row>111</xdr:row>
                    <xdr:rowOff>9525</xdr:rowOff>
                  </from>
                  <to>
                    <xdr:col>3</xdr:col>
                    <xdr:colOff>95250</xdr:colOff>
                    <xdr:row>111</xdr:row>
                    <xdr:rowOff>485775</xdr:rowOff>
                  </to>
                </anchor>
              </controlPr>
            </control>
          </mc:Choice>
        </mc:AlternateContent>
        <mc:AlternateContent xmlns:mc="http://schemas.openxmlformats.org/markup-compatibility/2006">
          <mc:Choice Requires="x14">
            <control shapeId="1136" r:id="rId114" name="Check Box 112">
              <controlPr defaultSize="0" autoFill="0" autoLine="0" autoPict="0">
                <anchor moveWithCells="1">
                  <from>
                    <xdr:col>0</xdr:col>
                    <xdr:colOff>276225</xdr:colOff>
                    <xdr:row>112</xdr:row>
                    <xdr:rowOff>9525</xdr:rowOff>
                  </from>
                  <to>
                    <xdr:col>3</xdr:col>
                    <xdr:colOff>95250</xdr:colOff>
                    <xdr:row>112</xdr:row>
                    <xdr:rowOff>485775</xdr:rowOff>
                  </to>
                </anchor>
              </controlPr>
            </control>
          </mc:Choice>
        </mc:AlternateContent>
        <mc:AlternateContent xmlns:mc="http://schemas.openxmlformats.org/markup-compatibility/2006">
          <mc:Choice Requires="x14">
            <control shapeId="1137" r:id="rId115" name="Check Box 113">
              <controlPr defaultSize="0" autoFill="0" autoLine="0" autoPict="0">
                <anchor moveWithCells="1">
                  <from>
                    <xdr:col>0</xdr:col>
                    <xdr:colOff>276225</xdr:colOff>
                    <xdr:row>113</xdr:row>
                    <xdr:rowOff>9525</xdr:rowOff>
                  </from>
                  <to>
                    <xdr:col>3</xdr:col>
                    <xdr:colOff>95250</xdr:colOff>
                    <xdr:row>113</xdr:row>
                    <xdr:rowOff>485775</xdr:rowOff>
                  </to>
                </anchor>
              </controlPr>
            </control>
          </mc:Choice>
        </mc:AlternateContent>
        <mc:AlternateContent xmlns:mc="http://schemas.openxmlformats.org/markup-compatibility/2006">
          <mc:Choice Requires="x14">
            <control shapeId="1138" r:id="rId116" name="Check Box 114">
              <controlPr defaultSize="0" autoFill="0" autoLine="0" autoPict="0">
                <anchor moveWithCells="1">
                  <from>
                    <xdr:col>0</xdr:col>
                    <xdr:colOff>276225</xdr:colOff>
                    <xdr:row>114</xdr:row>
                    <xdr:rowOff>9525</xdr:rowOff>
                  </from>
                  <to>
                    <xdr:col>3</xdr:col>
                    <xdr:colOff>95250</xdr:colOff>
                    <xdr:row>114</xdr:row>
                    <xdr:rowOff>485775</xdr:rowOff>
                  </to>
                </anchor>
              </controlPr>
            </control>
          </mc:Choice>
        </mc:AlternateContent>
        <mc:AlternateContent xmlns:mc="http://schemas.openxmlformats.org/markup-compatibility/2006">
          <mc:Choice Requires="x14">
            <control shapeId="1139" r:id="rId117" name="Check Box 115">
              <controlPr defaultSize="0" autoFill="0" autoLine="0" autoPict="0">
                <anchor moveWithCells="1">
                  <from>
                    <xdr:col>0</xdr:col>
                    <xdr:colOff>276225</xdr:colOff>
                    <xdr:row>115</xdr:row>
                    <xdr:rowOff>9525</xdr:rowOff>
                  </from>
                  <to>
                    <xdr:col>3</xdr:col>
                    <xdr:colOff>95250</xdr:colOff>
                    <xdr:row>115</xdr:row>
                    <xdr:rowOff>485775</xdr:rowOff>
                  </to>
                </anchor>
              </controlPr>
            </control>
          </mc:Choice>
        </mc:AlternateContent>
        <mc:AlternateContent xmlns:mc="http://schemas.openxmlformats.org/markup-compatibility/2006">
          <mc:Choice Requires="x14">
            <control shapeId="1140" r:id="rId118" name="Check Box 116">
              <controlPr defaultSize="0" autoFill="0" autoLine="0" autoPict="0">
                <anchor moveWithCells="1">
                  <from>
                    <xdr:col>0</xdr:col>
                    <xdr:colOff>276225</xdr:colOff>
                    <xdr:row>116</xdr:row>
                    <xdr:rowOff>9525</xdr:rowOff>
                  </from>
                  <to>
                    <xdr:col>3</xdr:col>
                    <xdr:colOff>95250</xdr:colOff>
                    <xdr:row>116</xdr:row>
                    <xdr:rowOff>485775</xdr:rowOff>
                  </to>
                </anchor>
              </controlPr>
            </control>
          </mc:Choice>
        </mc:AlternateContent>
        <mc:AlternateContent xmlns:mc="http://schemas.openxmlformats.org/markup-compatibility/2006">
          <mc:Choice Requires="x14">
            <control shapeId="1141" r:id="rId119" name="Check Box 117">
              <controlPr defaultSize="0" autoFill="0" autoLine="0" autoPict="0">
                <anchor moveWithCells="1">
                  <from>
                    <xdr:col>0</xdr:col>
                    <xdr:colOff>276225</xdr:colOff>
                    <xdr:row>117</xdr:row>
                    <xdr:rowOff>9525</xdr:rowOff>
                  </from>
                  <to>
                    <xdr:col>3</xdr:col>
                    <xdr:colOff>95250</xdr:colOff>
                    <xdr:row>117</xdr:row>
                    <xdr:rowOff>485775</xdr:rowOff>
                  </to>
                </anchor>
              </controlPr>
            </control>
          </mc:Choice>
        </mc:AlternateContent>
        <mc:AlternateContent xmlns:mc="http://schemas.openxmlformats.org/markup-compatibility/2006">
          <mc:Choice Requires="x14">
            <control shapeId="1142" r:id="rId120" name="Check Box 118">
              <controlPr defaultSize="0" autoFill="0" autoLine="0" autoPict="0">
                <anchor moveWithCells="1">
                  <from>
                    <xdr:col>0</xdr:col>
                    <xdr:colOff>276225</xdr:colOff>
                    <xdr:row>118</xdr:row>
                    <xdr:rowOff>9525</xdr:rowOff>
                  </from>
                  <to>
                    <xdr:col>3</xdr:col>
                    <xdr:colOff>95250</xdr:colOff>
                    <xdr:row>118</xdr:row>
                    <xdr:rowOff>485775</xdr:rowOff>
                  </to>
                </anchor>
              </controlPr>
            </control>
          </mc:Choice>
        </mc:AlternateContent>
        <mc:AlternateContent xmlns:mc="http://schemas.openxmlformats.org/markup-compatibility/2006">
          <mc:Choice Requires="x14">
            <control shapeId="1143" r:id="rId121" name="Check Box 119">
              <controlPr defaultSize="0" autoFill="0" autoLine="0" autoPict="0">
                <anchor moveWithCells="1">
                  <from>
                    <xdr:col>0</xdr:col>
                    <xdr:colOff>276225</xdr:colOff>
                    <xdr:row>119</xdr:row>
                    <xdr:rowOff>9525</xdr:rowOff>
                  </from>
                  <to>
                    <xdr:col>3</xdr:col>
                    <xdr:colOff>95250</xdr:colOff>
                    <xdr:row>119</xdr:row>
                    <xdr:rowOff>485775</xdr:rowOff>
                  </to>
                </anchor>
              </controlPr>
            </control>
          </mc:Choice>
        </mc:AlternateContent>
        <mc:AlternateContent xmlns:mc="http://schemas.openxmlformats.org/markup-compatibility/2006">
          <mc:Choice Requires="x14">
            <control shapeId="1144" r:id="rId122" name="Check Box 120">
              <controlPr defaultSize="0" autoFill="0" autoLine="0" autoPict="0">
                <anchor moveWithCells="1">
                  <from>
                    <xdr:col>0</xdr:col>
                    <xdr:colOff>276225</xdr:colOff>
                    <xdr:row>120</xdr:row>
                    <xdr:rowOff>9525</xdr:rowOff>
                  </from>
                  <to>
                    <xdr:col>3</xdr:col>
                    <xdr:colOff>95250</xdr:colOff>
                    <xdr:row>120</xdr:row>
                    <xdr:rowOff>485775</xdr:rowOff>
                  </to>
                </anchor>
              </controlPr>
            </control>
          </mc:Choice>
        </mc:AlternateContent>
        <mc:AlternateContent xmlns:mc="http://schemas.openxmlformats.org/markup-compatibility/2006">
          <mc:Choice Requires="x14">
            <control shapeId="1145" r:id="rId123" name="Check Box 121">
              <controlPr defaultSize="0" autoFill="0" autoLine="0" autoPict="0">
                <anchor moveWithCells="1">
                  <from>
                    <xdr:col>0</xdr:col>
                    <xdr:colOff>276225</xdr:colOff>
                    <xdr:row>121</xdr:row>
                    <xdr:rowOff>9525</xdr:rowOff>
                  </from>
                  <to>
                    <xdr:col>3</xdr:col>
                    <xdr:colOff>95250</xdr:colOff>
                    <xdr:row>121</xdr:row>
                    <xdr:rowOff>485775</xdr:rowOff>
                  </to>
                </anchor>
              </controlPr>
            </control>
          </mc:Choice>
        </mc:AlternateContent>
        <mc:AlternateContent xmlns:mc="http://schemas.openxmlformats.org/markup-compatibility/2006">
          <mc:Choice Requires="x14">
            <control shapeId="1146" r:id="rId124" name="Check Box 122">
              <controlPr defaultSize="0" autoFill="0" autoLine="0" autoPict="0">
                <anchor moveWithCells="1">
                  <from>
                    <xdr:col>0</xdr:col>
                    <xdr:colOff>276225</xdr:colOff>
                    <xdr:row>122</xdr:row>
                    <xdr:rowOff>9525</xdr:rowOff>
                  </from>
                  <to>
                    <xdr:col>3</xdr:col>
                    <xdr:colOff>95250</xdr:colOff>
                    <xdr:row>122</xdr:row>
                    <xdr:rowOff>485775</xdr:rowOff>
                  </to>
                </anchor>
              </controlPr>
            </control>
          </mc:Choice>
        </mc:AlternateContent>
        <mc:AlternateContent xmlns:mc="http://schemas.openxmlformats.org/markup-compatibility/2006">
          <mc:Choice Requires="x14">
            <control shapeId="1147" r:id="rId125" name="Check Box 123">
              <controlPr defaultSize="0" autoFill="0" autoLine="0" autoPict="0">
                <anchor moveWithCells="1">
                  <from>
                    <xdr:col>0</xdr:col>
                    <xdr:colOff>276225</xdr:colOff>
                    <xdr:row>123</xdr:row>
                    <xdr:rowOff>9525</xdr:rowOff>
                  </from>
                  <to>
                    <xdr:col>3</xdr:col>
                    <xdr:colOff>95250</xdr:colOff>
                    <xdr:row>123</xdr:row>
                    <xdr:rowOff>485775</xdr:rowOff>
                  </to>
                </anchor>
              </controlPr>
            </control>
          </mc:Choice>
        </mc:AlternateContent>
        <mc:AlternateContent xmlns:mc="http://schemas.openxmlformats.org/markup-compatibility/2006">
          <mc:Choice Requires="x14">
            <control shapeId="1148" r:id="rId126" name="Check Box 124">
              <controlPr defaultSize="0" autoFill="0" autoLine="0" autoPict="0">
                <anchor moveWithCells="1">
                  <from>
                    <xdr:col>0</xdr:col>
                    <xdr:colOff>276225</xdr:colOff>
                    <xdr:row>124</xdr:row>
                    <xdr:rowOff>9525</xdr:rowOff>
                  </from>
                  <to>
                    <xdr:col>3</xdr:col>
                    <xdr:colOff>95250</xdr:colOff>
                    <xdr:row>124</xdr:row>
                    <xdr:rowOff>485775</xdr:rowOff>
                  </to>
                </anchor>
              </controlPr>
            </control>
          </mc:Choice>
        </mc:AlternateContent>
        <mc:AlternateContent xmlns:mc="http://schemas.openxmlformats.org/markup-compatibility/2006">
          <mc:Choice Requires="x14">
            <control shapeId="1149" r:id="rId127" name="Check Box 125">
              <controlPr defaultSize="0" autoFill="0" autoLine="0" autoPict="0">
                <anchor moveWithCells="1">
                  <from>
                    <xdr:col>0</xdr:col>
                    <xdr:colOff>276225</xdr:colOff>
                    <xdr:row>125</xdr:row>
                    <xdr:rowOff>9525</xdr:rowOff>
                  </from>
                  <to>
                    <xdr:col>3</xdr:col>
                    <xdr:colOff>95250</xdr:colOff>
                    <xdr:row>125</xdr:row>
                    <xdr:rowOff>485775</xdr:rowOff>
                  </to>
                </anchor>
              </controlPr>
            </control>
          </mc:Choice>
        </mc:AlternateContent>
        <mc:AlternateContent xmlns:mc="http://schemas.openxmlformats.org/markup-compatibility/2006">
          <mc:Choice Requires="x14">
            <control shapeId="1150" r:id="rId128" name="Check Box 126">
              <controlPr defaultSize="0" autoFill="0" autoLine="0" autoPict="0">
                <anchor moveWithCells="1">
                  <from>
                    <xdr:col>0</xdr:col>
                    <xdr:colOff>276225</xdr:colOff>
                    <xdr:row>126</xdr:row>
                    <xdr:rowOff>9525</xdr:rowOff>
                  </from>
                  <to>
                    <xdr:col>3</xdr:col>
                    <xdr:colOff>95250</xdr:colOff>
                    <xdr:row>126</xdr:row>
                    <xdr:rowOff>485775</xdr:rowOff>
                  </to>
                </anchor>
              </controlPr>
            </control>
          </mc:Choice>
        </mc:AlternateContent>
        <mc:AlternateContent xmlns:mc="http://schemas.openxmlformats.org/markup-compatibility/2006">
          <mc:Choice Requires="x14">
            <control shapeId="1151" r:id="rId129" name="Check Box 127">
              <controlPr defaultSize="0" autoFill="0" autoLine="0" autoPict="0">
                <anchor moveWithCells="1">
                  <from>
                    <xdr:col>0</xdr:col>
                    <xdr:colOff>276225</xdr:colOff>
                    <xdr:row>127</xdr:row>
                    <xdr:rowOff>9525</xdr:rowOff>
                  </from>
                  <to>
                    <xdr:col>3</xdr:col>
                    <xdr:colOff>95250</xdr:colOff>
                    <xdr:row>127</xdr:row>
                    <xdr:rowOff>485775</xdr:rowOff>
                  </to>
                </anchor>
              </controlPr>
            </control>
          </mc:Choice>
        </mc:AlternateContent>
        <mc:AlternateContent xmlns:mc="http://schemas.openxmlformats.org/markup-compatibility/2006">
          <mc:Choice Requires="x14">
            <control shapeId="1152" r:id="rId130" name="Check Box 128">
              <controlPr defaultSize="0" autoFill="0" autoLine="0" autoPict="0">
                <anchor moveWithCells="1">
                  <from>
                    <xdr:col>0</xdr:col>
                    <xdr:colOff>276225</xdr:colOff>
                    <xdr:row>128</xdr:row>
                    <xdr:rowOff>9525</xdr:rowOff>
                  </from>
                  <to>
                    <xdr:col>3</xdr:col>
                    <xdr:colOff>95250</xdr:colOff>
                    <xdr:row>128</xdr:row>
                    <xdr:rowOff>485775</xdr:rowOff>
                  </to>
                </anchor>
              </controlPr>
            </control>
          </mc:Choice>
        </mc:AlternateContent>
        <mc:AlternateContent xmlns:mc="http://schemas.openxmlformats.org/markup-compatibility/2006">
          <mc:Choice Requires="x14">
            <control shapeId="1153" r:id="rId131" name="Check Box 129">
              <controlPr defaultSize="0" autoFill="0" autoLine="0" autoPict="0">
                <anchor moveWithCells="1">
                  <from>
                    <xdr:col>0</xdr:col>
                    <xdr:colOff>276225</xdr:colOff>
                    <xdr:row>129</xdr:row>
                    <xdr:rowOff>9525</xdr:rowOff>
                  </from>
                  <to>
                    <xdr:col>3</xdr:col>
                    <xdr:colOff>95250</xdr:colOff>
                    <xdr:row>129</xdr:row>
                    <xdr:rowOff>485775</xdr:rowOff>
                  </to>
                </anchor>
              </controlPr>
            </control>
          </mc:Choice>
        </mc:AlternateContent>
        <mc:AlternateContent xmlns:mc="http://schemas.openxmlformats.org/markup-compatibility/2006">
          <mc:Choice Requires="x14">
            <control shapeId="1154" r:id="rId132" name="Check Box 130">
              <controlPr defaultSize="0" autoFill="0" autoLine="0" autoPict="0">
                <anchor moveWithCells="1">
                  <from>
                    <xdr:col>0</xdr:col>
                    <xdr:colOff>276225</xdr:colOff>
                    <xdr:row>130</xdr:row>
                    <xdr:rowOff>9525</xdr:rowOff>
                  </from>
                  <to>
                    <xdr:col>3</xdr:col>
                    <xdr:colOff>95250</xdr:colOff>
                    <xdr:row>130</xdr:row>
                    <xdr:rowOff>485775</xdr:rowOff>
                  </to>
                </anchor>
              </controlPr>
            </control>
          </mc:Choice>
        </mc:AlternateContent>
        <mc:AlternateContent xmlns:mc="http://schemas.openxmlformats.org/markup-compatibility/2006">
          <mc:Choice Requires="x14">
            <control shapeId="1155" r:id="rId133" name="Check Box 131">
              <controlPr defaultSize="0" autoFill="0" autoLine="0" autoPict="0">
                <anchor moveWithCells="1">
                  <from>
                    <xdr:col>0</xdr:col>
                    <xdr:colOff>276225</xdr:colOff>
                    <xdr:row>131</xdr:row>
                    <xdr:rowOff>9525</xdr:rowOff>
                  </from>
                  <to>
                    <xdr:col>3</xdr:col>
                    <xdr:colOff>95250</xdr:colOff>
                    <xdr:row>131</xdr:row>
                    <xdr:rowOff>485775</xdr:rowOff>
                  </to>
                </anchor>
              </controlPr>
            </control>
          </mc:Choice>
        </mc:AlternateContent>
        <mc:AlternateContent xmlns:mc="http://schemas.openxmlformats.org/markup-compatibility/2006">
          <mc:Choice Requires="x14">
            <control shapeId="1156" r:id="rId134" name="Check Box 132">
              <controlPr defaultSize="0" autoFill="0" autoLine="0" autoPict="0">
                <anchor moveWithCells="1">
                  <from>
                    <xdr:col>0</xdr:col>
                    <xdr:colOff>276225</xdr:colOff>
                    <xdr:row>132</xdr:row>
                    <xdr:rowOff>9525</xdr:rowOff>
                  </from>
                  <to>
                    <xdr:col>3</xdr:col>
                    <xdr:colOff>95250</xdr:colOff>
                    <xdr:row>132</xdr:row>
                    <xdr:rowOff>485775</xdr:rowOff>
                  </to>
                </anchor>
              </controlPr>
            </control>
          </mc:Choice>
        </mc:AlternateContent>
        <mc:AlternateContent xmlns:mc="http://schemas.openxmlformats.org/markup-compatibility/2006">
          <mc:Choice Requires="x14">
            <control shapeId="1157" r:id="rId135" name="Check Box 133">
              <controlPr defaultSize="0" autoFill="0" autoLine="0" autoPict="0">
                <anchor moveWithCells="1">
                  <from>
                    <xdr:col>0</xdr:col>
                    <xdr:colOff>276225</xdr:colOff>
                    <xdr:row>133</xdr:row>
                    <xdr:rowOff>9525</xdr:rowOff>
                  </from>
                  <to>
                    <xdr:col>3</xdr:col>
                    <xdr:colOff>95250</xdr:colOff>
                    <xdr:row>133</xdr:row>
                    <xdr:rowOff>485775</xdr:rowOff>
                  </to>
                </anchor>
              </controlPr>
            </control>
          </mc:Choice>
        </mc:AlternateContent>
        <mc:AlternateContent xmlns:mc="http://schemas.openxmlformats.org/markup-compatibility/2006">
          <mc:Choice Requires="x14">
            <control shapeId="1158" r:id="rId136" name="Check Box 134">
              <controlPr defaultSize="0" autoFill="0" autoLine="0" autoPict="0">
                <anchor moveWithCells="1">
                  <from>
                    <xdr:col>0</xdr:col>
                    <xdr:colOff>276225</xdr:colOff>
                    <xdr:row>134</xdr:row>
                    <xdr:rowOff>9525</xdr:rowOff>
                  </from>
                  <to>
                    <xdr:col>3</xdr:col>
                    <xdr:colOff>95250</xdr:colOff>
                    <xdr:row>134</xdr:row>
                    <xdr:rowOff>485775</xdr:rowOff>
                  </to>
                </anchor>
              </controlPr>
            </control>
          </mc:Choice>
        </mc:AlternateContent>
        <mc:AlternateContent xmlns:mc="http://schemas.openxmlformats.org/markup-compatibility/2006">
          <mc:Choice Requires="x14">
            <control shapeId="1159" r:id="rId137" name="Check Box 135">
              <controlPr defaultSize="0" autoFill="0" autoLine="0" autoPict="0">
                <anchor moveWithCells="1">
                  <from>
                    <xdr:col>0</xdr:col>
                    <xdr:colOff>276225</xdr:colOff>
                    <xdr:row>135</xdr:row>
                    <xdr:rowOff>9525</xdr:rowOff>
                  </from>
                  <to>
                    <xdr:col>3</xdr:col>
                    <xdr:colOff>95250</xdr:colOff>
                    <xdr:row>135</xdr:row>
                    <xdr:rowOff>485775</xdr:rowOff>
                  </to>
                </anchor>
              </controlPr>
            </control>
          </mc:Choice>
        </mc:AlternateContent>
        <mc:AlternateContent xmlns:mc="http://schemas.openxmlformats.org/markup-compatibility/2006">
          <mc:Choice Requires="x14">
            <control shapeId="1160" r:id="rId138" name="Check Box 136">
              <controlPr defaultSize="0" autoFill="0" autoLine="0" autoPict="0">
                <anchor moveWithCells="1">
                  <from>
                    <xdr:col>0</xdr:col>
                    <xdr:colOff>276225</xdr:colOff>
                    <xdr:row>136</xdr:row>
                    <xdr:rowOff>9525</xdr:rowOff>
                  </from>
                  <to>
                    <xdr:col>3</xdr:col>
                    <xdr:colOff>95250</xdr:colOff>
                    <xdr:row>136</xdr:row>
                    <xdr:rowOff>485775</xdr:rowOff>
                  </to>
                </anchor>
              </controlPr>
            </control>
          </mc:Choice>
        </mc:AlternateContent>
        <mc:AlternateContent xmlns:mc="http://schemas.openxmlformats.org/markup-compatibility/2006">
          <mc:Choice Requires="x14">
            <control shapeId="1161" r:id="rId139" name="Check Box 137">
              <controlPr defaultSize="0" autoFill="0" autoLine="0" autoPict="0">
                <anchor moveWithCells="1">
                  <from>
                    <xdr:col>0</xdr:col>
                    <xdr:colOff>276225</xdr:colOff>
                    <xdr:row>137</xdr:row>
                    <xdr:rowOff>9525</xdr:rowOff>
                  </from>
                  <to>
                    <xdr:col>3</xdr:col>
                    <xdr:colOff>95250</xdr:colOff>
                    <xdr:row>137</xdr:row>
                    <xdr:rowOff>485775</xdr:rowOff>
                  </to>
                </anchor>
              </controlPr>
            </control>
          </mc:Choice>
        </mc:AlternateContent>
        <mc:AlternateContent xmlns:mc="http://schemas.openxmlformats.org/markup-compatibility/2006">
          <mc:Choice Requires="x14">
            <control shapeId="1162" r:id="rId140" name="Check Box 138">
              <controlPr defaultSize="0" autoFill="0" autoLine="0" autoPict="0">
                <anchor moveWithCells="1">
                  <from>
                    <xdr:col>0</xdr:col>
                    <xdr:colOff>276225</xdr:colOff>
                    <xdr:row>138</xdr:row>
                    <xdr:rowOff>9525</xdr:rowOff>
                  </from>
                  <to>
                    <xdr:col>3</xdr:col>
                    <xdr:colOff>95250</xdr:colOff>
                    <xdr:row>138</xdr:row>
                    <xdr:rowOff>485775</xdr:rowOff>
                  </to>
                </anchor>
              </controlPr>
            </control>
          </mc:Choice>
        </mc:AlternateContent>
        <mc:AlternateContent xmlns:mc="http://schemas.openxmlformats.org/markup-compatibility/2006">
          <mc:Choice Requires="x14">
            <control shapeId="1163" r:id="rId141" name="Check Box 139">
              <controlPr defaultSize="0" autoFill="0" autoLine="0" autoPict="0">
                <anchor moveWithCells="1">
                  <from>
                    <xdr:col>0</xdr:col>
                    <xdr:colOff>276225</xdr:colOff>
                    <xdr:row>139</xdr:row>
                    <xdr:rowOff>9525</xdr:rowOff>
                  </from>
                  <to>
                    <xdr:col>3</xdr:col>
                    <xdr:colOff>95250</xdr:colOff>
                    <xdr:row>139</xdr:row>
                    <xdr:rowOff>485775</xdr:rowOff>
                  </to>
                </anchor>
              </controlPr>
            </control>
          </mc:Choice>
        </mc:AlternateContent>
        <mc:AlternateContent xmlns:mc="http://schemas.openxmlformats.org/markup-compatibility/2006">
          <mc:Choice Requires="x14">
            <control shapeId="1164" r:id="rId142" name="Check Box 140">
              <controlPr defaultSize="0" autoFill="0" autoLine="0" autoPict="0">
                <anchor moveWithCells="1">
                  <from>
                    <xdr:col>0</xdr:col>
                    <xdr:colOff>276225</xdr:colOff>
                    <xdr:row>140</xdr:row>
                    <xdr:rowOff>9525</xdr:rowOff>
                  </from>
                  <to>
                    <xdr:col>3</xdr:col>
                    <xdr:colOff>95250</xdr:colOff>
                    <xdr:row>140</xdr:row>
                    <xdr:rowOff>485775</xdr:rowOff>
                  </to>
                </anchor>
              </controlPr>
            </control>
          </mc:Choice>
        </mc:AlternateContent>
        <mc:AlternateContent xmlns:mc="http://schemas.openxmlformats.org/markup-compatibility/2006">
          <mc:Choice Requires="x14">
            <control shapeId="1165" r:id="rId143" name="Check Box 141">
              <controlPr defaultSize="0" autoFill="0" autoLine="0" autoPict="0">
                <anchor moveWithCells="1">
                  <from>
                    <xdr:col>0</xdr:col>
                    <xdr:colOff>276225</xdr:colOff>
                    <xdr:row>141</xdr:row>
                    <xdr:rowOff>9525</xdr:rowOff>
                  </from>
                  <to>
                    <xdr:col>3</xdr:col>
                    <xdr:colOff>95250</xdr:colOff>
                    <xdr:row>141</xdr:row>
                    <xdr:rowOff>485775</xdr:rowOff>
                  </to>
                </anchor>
              </controlPr>
            </control>
          </mc:Choice>
        </mc:AlternateContent>
        <mc:AlternateContent xmlns:mc="http://schemas.openxmlformats.org/markup-compatibility/2006">
          <mc:Choice Requires="x14">
            <control shapeId="1166" r:id="rId144" name="Check Box 142">
              <controlPr defaultSize="0" autoFill="0" autoLine="0" autoPict="0">
                <anchor moveWithCells="1">
                  <from>
                    <xdr:col>0</xdr:col>
                    <xdr:colOff>276225</xdr:colOff>
                    <xdr:row>142</xdr:row>
                    <xdr:rowOff>9525</xdr:rowOff>
                  </from>
                  <to>
                    <xdr:col>3</xdr:col>
                    <xdr:colOff>95250</xdr:colOff>
                    <xdr:row>142</xdr:row>
                    <xdr:rowOff>485775</xdr:rowOff>
                  </to>
                </anchor>
              </controlPr>
            </control>
          </mc:Choice>
        </mc:AlternateContent>
        <mc:AlternateContent xmlns:mc="http://schemas.openxmlformats.org/markup-compatibility/2006">
          <mc:Choice Requires="x14">
            <control shapeId="1167" r:id="rId145" name="Check Box 143">
              <controlPr defaultSize="0" autoFill="0" autoLine="0" autoPict="0">
                <anchor moveWithCells="1">
                  <from>
                    <xdr:col>0</xdr:col>
                    <xdr:colOff>276225</xdr:colOff>
                    <xdr:row>143</xdr:row>
                    <xdr:rowOff>9525</xdr:rowOff>
                  </from>
                  <to>
                    <xdr:col>3</xdr:col>
                    <xdr:colOff>95250</xdr:colOff>
                    <xdr:row>143</xdr:row>
                    <xdr:rowOff>485775</xdr:rowOff>
                  </to>
                </anchor>
              </controlPr>
            </control>
          </mc:Choice>
        </mc:AlternateContent>
        <mc:AlternateContent xmlns:mc="http://schemas.openxmlformats.org/markup-compatibility/2006">
          <mc:Choice Requires="x14">
            <control shapeId="1168" r:id="rId146" name="Check Box 144">
              <controlPr defaultSize="0" autoFill="0" autoLine="0" autoPict="0">
                <anchor moveWithCells="1">
                  <from>
                    <xdr:col>0</xdr:col>
                    <xdr:colOff>276225</xdr:colOff>
                    <xdr:row>144</xdr:row>
                    <xdr:rowOff>9525</xdr:rowOff>
                  </from>
                  <to>
                    <xdr:col>3</xdr:col>
                    <xdr:colOff>95250</xdr:colOff>
                    <xdr:row>144</xdr:row>
                    <xdr:rowOff>485775</xdr:rowOff>
                  </to>
                </anchor>
              </controlPr>
            </control>
          </mc:Choice>
        </mc:AlternateContent>
        <mc:AlternateContent xmlns:mc="http://schemas.openxmlformats.org/markup-compatibility/2006">
          <mc:Choice Requires="x14">
            <control shapeId="1169" r:id="rId147" name="Check Box 145">
              <controlPr defaultSize="0" autoFill="0" autoLine="0" autoPict="0">
                <anchor moveWithCells="1">
                  <from>
                    <xdr:col>0</xdr:col>
                    <xdr:colOff>276225</xdr:colOff>
                    <xdr:row>145</xdr:row>
                    <xdr:rowOff>9525</xdr:rowOff>
                  </from>
                  <to>
                    <xdr:col>3</xdr:col>
                    <xdr:colOff>95250</xdr:colOff>
                    <xdr:row>145</xdr:row>
                    <xdr:rowOff>485775</xdr:rowOff>
                  </to>
                </anchor>
              </controlPr>
            </control>
          </mc:Choice>
        </mc:AlternateContent>
        <mc:AlternateContent xmlns:mc="http://schemas.openxmlformats.org/markup-compatibility/2006">
          <mc:Choice Requires="x14">
            <control shapeId="1170" r:id="rId148" name="Check Box 146">
              <controlPr defaultSize="0" autoFill="0" autoLine="0" autoPict="0">
                <anchor moveWithCells="1">
                  <from>
                    <xdr:col>0</xdr:col>
                    <xdr:colOff>276225</xdr:colOff>
                    <xdr:row>146</xdr:row>
                    <xdr:rowOff>9525</xdr:rowOff>
                  </from>
                  <to>
                    <xdr:col>3</xdr:col>
                    <xdr:colOff>95250</xdr:colOff>
                    <xdr:row>146</xdr:row>
                    <xdr:rowOff>485775</xdr:rowOff>
                  </to>
                </anchor>
              </controlPr>
            </control>
          </mc:Choice>
        </mc:AlternateContent>
        <mc:AlternateContent xmlns:mc="http://schemas.openxmlformats.org/markup-compatibility/2006">
          <mc:Choice Requires="x14">
            <control shapeId="1171" r:id="rId149" name="Check Box 147">
              <controlPr defaultSize="0" autoFill="0" autoLine="0" autoPict="0">
                <anchor moveWithCells="1">
                  <from>
                    <xdr:col>0</xdr:col>
                    <xdr:colOff>276225</xdr:colOff>
                    <xdr:row>147</xdr:row>
                    <xdr:rowOff>9525</xdr:rowOff>
                  </from>
                  <to>
                    <xdr:col>3</xdr:col>
                    <xdr:colOff>95250</xdr:colOff>
                    <xdr:row>147</xdr:row>
                    <xdr:rowOff>485775</xdr:rowOff>
                  </to>
                </anchor>
              </controlPr>
            </control>
          </mc:Choice>
        </mc:AlternateContent>
        <mc:AlternateContent xmlns:mc="http://schemas.openxmlformats.org/markup-compatibility/2006">
          <mc:Choice Requires="x14">
            <control shapeId="1172" r:id="rId150" name="Check Box 148">
              <controlPr defaultSize="0" autoFill="0" autoLine="0" autoPict="0">
                <anchor moveWithCells="1">
                  <from>
                    <xdr:col>0</xdr:col>
                    <xdr:colOff>276225</xdr:colOff>
                    <xdr:row>148</xdr:row>
                    <xdr:rowOff>9525</xdr:rowOff>
                  </from>
                  <to>
                    <xdr:col>3</xdr:col>
                    <xdr:colOff>95250</xdr:colOff>
                    <xdr:row>148</xdr:row>
                    <xdr:rowOff>485775</xdr:rowOff>
                  </to>
                </anchor>
              </controlPr>
            </control>
          </mc:Choice>
        </mc:AlternateContent>
        <mc:AlternateContent xmlns:mc="http://schemas.openxmlformats.org/markup-compatibility/2006">
          <mc:Choice Requires="x14">
            <control shapeId="1173" r:id="rId151" name="Check Box 149">
              <controlPr defaultSize="0" autoFill="0" autoLine="0" autoPict="0">
                <anchor moveWithCells="1">
                  <from>
                    <xdr:col>0</xdr:col>
                    <xdr:colOff>276225</xdr:colOff>
                    <xdr:row>149</xdr:row>
                    <xdr:rowOff>9525</xdr:rowOff>
                  </from>
                  <to>
                    <xdr:col>3</xdr:col>
                    <xdr:colOff>95250</xdr:colOff>
                    <xdr:row>149</xdr:row>
                    <xdr:rowOff>485775</xdr:rowOff>
                  </to>
                </anchor>
              </controlPr>
            </control>
          </mc:Choice>
        </mc:AlternateContent>
        <mc:AlternateContent xmlns:mc="http://schemas.openxmlformats.org/markup-compatibility/2006">
          <mc:Choice Requires="x14">
            <control shapeId="1174" r:id="rId152" name="Check Box 150">
              <controlPr defaultSize="0" autoFill="0" autoLine="0" autoPict="0">
                <anchor moveWithCells="1">
                  <from>
                    <xdr:col>0</xdr:col>
                    <xdr:colOff>276225</xdr:colOff>
                    <xdr:row>150</xdr:row>
                    <xdr:rowOff>9525</xdr:rowOff>
                  </from>
                  <to>
                    <xdr:col>3</xdr:col>
                    <xdr:colOff>95250</xdr:colOff>
                    <xdr:row>150</xdr:row>
                    <xdr:rowOff>485775</xdr:rowOff>
                  </to>
                </anchor>
              </controlPr>
            </control>
          </mc:Choice>
        </mc:AlternateContent>
        <mc:AlternateContent xmlns:mc="http://schemas.openxmlformats.org/markup-compatibility/2006">
          <mc:Choice Requires="x14">
            <control shapeId="1175" r:id="rId153" name="Check Box 151">
              <controlPr defaultSize="0" autoFill="0" autoLine="0" autoPict="0">
                <anchor moveWithCells="1">
                  <from>
                    <xdr:col>0</xdr:col>
                    <xdr:colOff>276225</xdr:colOff>
                    <xdr:row>151</xdr:row>
                    <xdr:rowOff>9525</xdr:rowOff>
                  </from>
                  <to>
                    <xdr:col>3</xdr:col>
                    <xdr:colOff>95250</xdr:colOff>
                    <xdr:row>151</xdr:row>
                    <xdr:rowOff>485775</xdr:rowOff>
                  </to>
                </anchor>
              </controlPr>
            </control>
          </mc:Choice>
        </mc:AlternateContent>
        <mc:AlternateContent xmlns:mc="http://schemas.openxmlformats.org/markup-compatibility/2006">
          <mc:Choice Requires="x14">
            <control shapeId="1176" r:id="rId154" name="Check Box 152">
              <controlPr defaultSize="0" autoFill="0" autoLine="0" autoPict="0">
                <anchor moveWithCells="1">
                  <from>
                    <xdr:col>0</xdr:col>
                    <xdr:colOff>276225</xdr:colOff>
                    <xdr:row>152</xdr:row>
                    <xdr:rowOff>9525</xdr:rowOff>
                  </from>
                  <to>
                    <xdr:col>3</xdr:col>
                    <xdr:colOff>95250</xdr:colOff>
                    <xdr:row>152</xdr:row>
                    <xdr:rowOff>485775</xdr:rowOff>
                  </to>
                </anchor>
              </controlPr>
            </control>
          </mc:Choice>
        </mc:AlternateContent>
        <mc:AlternateContent xmlns:mc="http://schemas.openxmlformats.org/markup-compatibility/2006">
          <mc:Choice Requires="x14">
            <control shapeId="1177" r:id="rId155" name="Check Box 153">
              <controlPr defaultSize="0" autoFill="0" autoLine="0" autoPict="0">
                <anchor moveWithCells="1">
                  <from>
                    <xdr:col>0</xdr:col>
                    <xdr:colOff>276225</xdr:colOff>
                    <xdr:row>153</xdr:row>
                    <xdr:rowOff>9525</xdr:rowOff>
                  </from>
                  <to>
                    <xdr:col>3</xdr:col>
                    <xdr:colOff>95250</xdr:colOff>
                    <xdr:row>153</xdr:row>
                    <xdr:rowOff>485775</xdr:rowOff>
                  </to>
                </anchor>
              </controlPr>
            </control>
          </mc:Choice>
        </mc:AlternateContent>
        <mc:AlternateContent xmlns:mc="http://schemas.openxmlformats.org/markup-compatibility/2006">
          <mc:Choice Requires="x14">
            <control shapeId="1178" r:id="rId156" name="Check Box 154">
              <controlPr defaultSize="0" autoFill="0" autoLine="0" autoPict="0">
                <anchor moveWithCells="1">
                  <from>
                    <xdr:col>0</xdr:col>
                    <xdr:colOff>276225</xdr:colOff>
                    <xdr:row>154</xdr:row>
                    <xdr:rowOff>9525</xdr:rowOff>
                  </from>
                  <to>
                    <xdr:col>3</xdr:col>
                    <xdr:colOff>95250</xdr:colOff>
                    <xdr:row>154</xdr:row>
                    <xdr:rowOff>485775</xdr:rowOff>
                  </to>
                </anchor>
              </controlPr>
            </control>
          </mc:Choice>
        </mc:AlternateContent>
        <mc:AlternateContent xmlns:mc="http://schemas.openxmlformats.org/markup-compatibility/2006">
          <mc:Choice Requires="x14">
            <control shapeId="1179" r:id="rId157" name="Check Box 155">
              <controlPr defaultSize="0" autoFill="0" autoLine="0" autoPict="0">
                <anchor moveWithCells="1">
                  <from>
                    <xdr:col>0</xdr:col>
                    <xdr:colOff>276225</xdr:colOff>
                    <xdr:row>155</xdr:row>
                    <xdr:rowOff>9525</xdr:rowOff>
                  </from>
                  <to>
                    <xdr:col>3</xdr:col>
                    <xdr:colOff>95250</xdr:colOff>
                    <xdr:row>155</xdr:row>
                    <xdr:rowOff>485775</xdr:rowOff>
                  </to>
                </anchor>
              </controlPr>
            </control>
          </mc:Choice>
        </mc:AlternateContent>
        <mc:AlternateContent xmlns:mc="http://schemas.openxmlformats.org/markup-compatibility/2006">
          <mc:Choice Requires="x14">
            <control shapeId="1180" r:id="rId158" name="Check Box 156">
              <controlPr defaultSize="0" autoFill="0" autoLine="0" autoPict="0">
                <anchor moveWithCells="1">
                  <from>
                    <xdr:col>0</xdr:col>
                    <xdr:colOff>276225</xdr:colOff>
                    <xdr:row>156</xdr:row>
                    <xdr:rowOff>9525</xdr:rowOff>
                  </from>
                  <to>
                    <xdr:col>3</xdr:col>
                    <xdr:colOff>95250</xdr:colOff>
                    <xdr:row>156</xdr:row>
                    <xdr:rowOff>485775</xdr:rowOff>
                  </to>
                </anchor>
              </controlPr>
            </control>
          </mc:Choice>
        </mc:AlternateContent>
        <mc:AlternateContent xmlns:mc="http://schemas.openxmlformats.org/markup-compatibility/2006">
          <mc:Choice Requires="x14">
            <control shapeId="1181" r:id="rId159" name="Check Box 157">
              <controlPr defaultSize="0" autoFill="0" autoLine="0" autoPict="0">
                <anchor moveWithCells="1">
                  <from>
                    <xdr:col>0</xdr:col>
                    <xdr:colOff>276225</xdr:colOff>
                    <xdr:row>157</xdr:row>
                    <xdr:rowOff>9525</xdr:rowOff>
                  </from>
                  <to>
                    <xdr:col>3</xdr:col>
                    <xdr:colOff>95250</xdr:colOff>
                    <xdr:row>157</xdr:row>
                    <xdr:rowOff>485775</xdr:rowOff>
                  </to>
                </anchor>
              </controlPr>
            </control>
          </mc:Choice>
        </mc:AlternateContent>
        <mc:AlternateContent xmlns:mc="http://schemas.openxmlformats.org/markup-compatibility/2006">
          <mc:Choice Requires="x14">
            <control shapeId="1182" r:id="rId160" name="Check Box 158">
              <controlPr defaultSize="0" autoFill="0" autoLine="0" autoPict="0">
                <anchor moveWithCells="1">
                  <from>
                    <xdr:col>0</xdr:col>
                    <xdr:colOff>276225</xdr:colOff>
                    <xdr:row>158</xdr:row>
                    <xdr:rowOff>9525</xdr:rowOff>
                  </from>
                  <to>
                    <xdr:col>3</xdr:col>
                    <xdr:colOff>95250</xdr:colOff>
                    <xdr:row>158</xdr:row>
                    <xdr:rowOff>485775</xdr:rowOff>
                  </to>
                </anchor>
              </controlPr>
            </control>
          </mc:Choice>
        </mc:AlternateContent>
        <mc:AlternateContent xmlns:mc="http://schemas.openxmlformats.org/markup-compatibility/2006">
          <mc:Choice Requires="x14">
            <control shapeId="1183" r:id="rId161" name="Check Box 159">
              <controlPr defaultSize="0" autoFill="0" autoLine="0" autoPict="0">
                <anchor moveWithCells="1">
                  <from>
                    <xdr:col>0</xdr:col>
                    <xdr:colOff>276225</xdr:colOff>
                    <xdr:row>159</xdr:row>
                    <xdr:rowOff>9525</xdr:rowOff>
                  </from>
                  <to>
                    <xdr:col>3</xdr:col>
                    <xdr:colOff>95250</xdr:colOff>
                    <xdr:row>159</xdr:row>
                    <xdr:rowOff>485775</xdr:rowOff>
                  </to>
                </anchor>
              </controlPr>
            </control>
          </mc:Choice>
        </mc:AlternateContent>
        <mc:AlternateContent xmlns:mc="http://schemas.openxmlformats.org/markup-compatibility/2006">
          <mc:Choice Requires="x14">
            <control shapeId="1184" r:id="rId162" name="Check Box 160">
              <controlPr defaultSize="0" autoFill="0" autoLine="0" autoPict="0">
                <anchor moveWithCells="1">
                  <from>
                    <xdr:col>0</xdr:col>
                    <xdr:colOff>276225</xdr:colOff>
                    <xdr:row>160</xdr:row>
                    <xdr:rowOff>9525</xdr:rowOff>
                  </from>
                  <to>
                    <xdr:col>3</xdr:col>
                    <xdr:colOff>95250</xdr:colOff>
                    <xdr:row>160</xdr:row>
                    <xdr:rowOff>485775</xdr:rowOff>
                  </to>
                </anchor>
              </controlPr>
            </control>
          </mc:Choice>
        </mc:AlternateContent>
        <mc:AlternateContent xmlns:mc="http://schemas.openxmlformats.org/markup-compatibility/2006">
          <mc:Choice Requires="x14">
            <control shapeId="1185" r:id="rId163" name="Check Box 161">
              <controlPr defaultSize="0" autoFill="0" autoLine="0" autoPict="0">
                <anchor moveWithCells="1">
                  <from>
                    <xdr:col>0</xdr:col>
                    <xdr:colOff>276225</xdr:colOff>
                    <xdr:row>161</xdr:row>
                    <xdr:rowOff>9525</xdr:rowOff>
                  </from>
                  <to>
                    <xdr:col>3</xdr:col>
                    <xdr:colOff>95250</xdr:colOff>
                    <xdr:row>161</xdr:row>
                    <xdr:rowOff>485775</xdr:rowOff>
                  </to>
                </anchor>
              </controlPr>
            </control>
          </mc:Choice>
        </mc:AlternateContent>
        <mc:AlternateContent xmlns:mc="http://schemas.openxmlformats.org/markup-compatibility/2006">
          <mc:Choice Requires="x14">
            <control shapeId="1186" r:id="rId164" name="Check Box 162">
              <controlPr defaultSize="0" autoFill="0" autoLine="0" autoPict="0">
                <anchor moveWithCells="1">
                  <from>
                    <xdr:col>0</xdr:col>
                    <xdr:colOff>276225</xdr:colOff>
                    <xdr:row>162</xdr:row>
                    <xdr:rowOff>9525</xdr:rowOff>
                  </from>
                  <to>
                    <xdr:col>3</xdr:col>
                    <xdr:colOff>95250</xdr:colOff>
                    <xdr:row>162</xdr:row>
                    <xdr:rowOff>485775</xdr:rowOff>
                  </to>
                </anchor>
              </controlPr>
            </control>
          </mc:Choice>
        </mc:AlternateContent>
        <mc:AlternateContent xmlns:mc="http://schemas.openxmlformats.org/markup-compatibility/2006">
          <mc:Choice Requires="x14">
            <control shapeId="1187" r:id="rId165" name="Check Box 163">
              <controlPr defaultSize="0" autoFill="0" autoLine="0" autoPict="0">
                <anchor moveWithCells="1">
                  <from>
                    <xdr:col>0</xdr:col>
                    <xdr:colOff>276225</xdr:colOff>
                    <xdr:row>163</xdr:row>
                    <xdr:rowOff>9525</xdr:rowOff>
                  </from>
                  <to>
                    <xdr:col>3</xdr:col>
                    <xdr:colOff>95250</xdr:colOff>
                    <xdr:row>163</xdr:row>
                    <xdr:rowOff>485775</xdr:rowOff>
                  </to>
                </anchor>
              </controlPr>
            </control>
          </mc:Choice>
        </mc:AlternateContent>
        <mc:AlternateContent xmlns:mc="http://schemas.openxmlformats.org/markup-compatibility/2006">
          <mc:Choice Requires="x14">
            <control shapeId="1188" r:id="rId166" name="Check Box 164">
              <controlPr defaultSize="0" autoFill="0" autoLine="0" autoPict="0">
                <anchor moveWithCells="1">
                  <from>
                    <xdr:col>0</xdr:col>
                    <xdr:colOff>276225</xdr:colOff>
                    <xdr:row>164</xdr:row>
                    <xdr:rowOff>9525</xdr:rowOff>
                  </from>
                  <to>
                    <xdr:col>3</xdr:col>
                    <xdr:colOff>95250</xdr:colOff>
                    <xdr:row>164</xdr:row>
                    <xdr:rowOff>485775</xdr:rowOff>
                  </to>
                </anchor>
              </controlPr>
            </control>
          </mc:Choice>
        </mc:AlternateContent>
        <mc:AlternateContent xmlns:mc="http://schemas.openxmlformats.org/markup-compatibility/2006">
          <mc:Choice Requires="x14">
            <control shapeId="1189" r:id="rId167" name="Check Box 165">
              <controlPr defaultSize="0" autoFill="0" autoLine="0" autoPict="0">
                <anchor moveWithCells="1">
                  <from>
                    <xdr:col>0</xdr:col>
                    <xdr:colOff>276225</xdr:colOff>
                    <xdr:row>165</xdr:row>
                    <xdr:rowOff>9525</xdr:rowOff>
                  </from>
                  <to>
                    <xdr:col>3</xdr:col>
                    <xdr:colOff>95250</xdr:colOff>
                    <xdr:row>165</xdr:row>
                    <xdr:rowOff>485775</xdr:rowOff>
                  </to>
                </anchor>
              </controlPr>
            </control>
          </mc:Choice>
        </mc:AlternateContent>
        <mc:AlternateContent xmlns:mc="http://schemas.openxmlformats.org/markup-compatibility/2006">
          <mc:Choice Requires="x14">
            <control shapeId="1190" r:id="rId168" name="Check Box 166">
              <controlPr defaultSize="0" autoFill="0" autoLine="0" autoPict="0">
                <anchor moveWithCells="1">
                  <from>
                    <xdr:col>0</xdr:col>
                    <xdr:colOff>276225</xdr:colOff>
                    <xdr:row>166</xdr:row>
                    <xdr:rowOff>9525</xdr:rowOff>
                  </from>
                  <to>
                    <xdr:col>3</xdr:col>
                    <xdr:colOff>95250</xdr:colOff>
                    <xdr:row>166</xdr:row>
                    <xdr:rowOff>485775</xdr:rowOff>
                  </to>
                </anchor>
              </controlPr>
            </control>
          </mc:Choice>
        </mc:AlternateContent>
        <mc:AlternateContent xmlns:mc="http://schemas.openxmlformats.org/markup-compatibility/2006">
          <mc:Choice Requires="x14">
            <control shapeId="1191" r:id="rId169" name="Check Box 167">
              <controlPr defaultSize="0" autoFill="0" autoLine="0" autoPict="0">
                <anchor moveWithCells="1">
                  <from>
                    <xdr:col>0</xdr:col>
                    <xdr:colOff>276225</xdr:colOff>
                    <xdr:row>167</xdr:row>
                    <xdr:rowOff>9525</xdr:rowOff>
                  </from>
                  <to>
                    <xdr:col>3</xdr:col>
                    <xdr:colOff>95250</xdr:colOff>
                    <xdr:row>167</xdr:row>
                    <xdr:rowOff>485775</xdr:rowOff>
                  </to>
                </anchor>
              </controlPr>
            </control>
          </mc:Choice>
        </mc:AlternateContent>
        <mc:AlternateContent xmlns:mc="http://schemas.openxmlformats.org/markup-compatibility/2006">
          <mc:Choice Requires="x14">
            <control shapeId="1192" r:id="rId170" name="Check Box 168">
              <controlPr defaultSize="0" autoFill="0" autoLine="0" autoPict="0">
                <anchor moveWithCells="1">
                  <from>
                    <xdr:col>0</xdr:col>
                    <xdr:colOff>276225</xdr:colOff>
                    <xdr:row>168</xdr:row>
                    <xdr:rowOff>9525</xdr:rowOff>
                  </from>
                  <to>
                    <xdr:col>3</xdr:col>
                    <xdr:colOff>95250</xdr:colOff>
                    <xdr:row>168</xdr:row>
                    <xdr:rowOff>485775</xdr:rowOff>
                  </to>
                </anchor>
              </controlPr>
            </control>
          </mc:Choice>
        </mc:AlternateContent>
        <mc:AlternateContent xmlns:mc="http://schemas.openxmlformats.org/markup-compatibility/2006">
          <mc:Choice Requires="x14">
            <control shapeId="1193" r:id="rId171" name="Check Box 169">
              <controlPr defaultSize="0" autoFill="0" autoLine="0" autoPict="0">
                <anchor moveWithCells="1">
                  <from>
                    <xdr:col>0</xdr:col>
                    <xdr:colOff>276225</xdr:colOff>
                    <xdr:row>169</xdr:row>
                    <xdr:rowOff>9525</xdr:rowOff>
                  </from>
                  <to>
                    <xdr:col>3</xdr:col>
                    <xdr:colOff>95250</xdr:colOff>
                    <xdr:row>169</xdr:row>
                    <xdr:rowOff>485775</xdr:rowOff>
                  </to>
                </anchor>
              </controlPr>
            </control>
          </mc:Choice>
        </mc:AlternateContent>
        <mc:AlternateContent xmlns:mc="http://schemas.openxmlformats.org/markup-compatibility/2006">
          <mc:Choice Requires="x14">
            <control shapeId="1194" r:id="rId172" name="Check Box 170">
              <controlPr defaultSize="0" autoFill="0" autoLine="0" autoPict="0">
                <anchor moveWithCells="1">
                  <from>
                    <xdr:col>0</xdr:col>
                    <xdr:colOff>276225</xdr:colOff>
                    <xdr:row>170</xdr:row>
                    <xdr:rowOff>9525</xdr:rowOff>
                  </from>
                  <to>
                    <xdr:col>3</xdr:col>
                    <xdr:colOff>95250</xdr:colOff>
                    <xdr:row>170</xdr:row>
                    <xdr:rowOff>485775</xdr:rowOff>
                  </to>
                </anchor>
              </controlPr>
            </control>
          </mc:Choice>
        </mc:AlternateContent>
        <mc:AlternateContent xmlns:mc="http://schemas.openxmlformats.org/markup-compatibility/2006">
          <mc:Choice Requires="x14">
            <control shapeId="1195" r:id="rId173" name="Check Box 171">
              <controlPr defaultSize="0" autoFill="0" autoLine="0" autoPict="0">
                <anchor moveWithCells="1">
                  <from>
                    <xdr:col>0</xdr:col>
                    <xdr:colOff>276225</xdr:colOff>
                    <xdr:row>171</xdr:row>
                    <xdr:rowOff>9525</xdr:rowOff>
                  </from>
                  <to>
                    <xdr:col>3</xdr:col>
                    <xdr:colOff>95250</xdr:colOff>
                    <xdr:row>171</xdr:row>
                    <xdr:rowOff>485775</xdr:rowOff>
                  </to>
                </anchor>
              </controlPr>
            </control>
          </mc:Choice>
        </mc:AlternateContent>
        <mc:AlternateContent xmlns:mc="http://schemas.openxmlformats.org/markup-compatibility/2006">
          <mc:Choice Requires="x14">
            <control shapeId="1196" r:id="rId174" name="Check Box 172">
              <controlPr defaultSize="0" autoFill="0" autoLine="0" autoPict="0">
                <anchor moveWithCells="1">
                  <from>
                    <xdr:col>0</xdr:col>
                    <xdr:colOff>276225</xdr:colOff>
                    <xdr:row>172</xdr:row>
                    <xdr:rowOff>9525</xdr:rowOff>
                  </from>
                  <to>
                    <xdr:col>3</xdr:col>
                    <xdr:colOff>95250</xdr:colOff>
                    <xdr:row>172</xdr:row>
                    <xdr:rowOff>485775</xdr:rowOff>
                  </to>
                </anchor>
              </controlPr>
            </control>
          </mc:Choice>
        </mc:AlternateContent>
        <mc:AlternateContent xmlns:mc="http://schemas.openxmlformats.org/markup-compatibility/2006">
          <mc:Choice Requires="x14">
            <control shapeId="1197" r:id="rId175" name="Check Box 173">
              <controlPr defaultSize="0" autoFill="0" autoLine="0" autoPict="0">
                <anchor moveWithCells="1">
                  <from>
                    <xdr:col>0</xdr:col>
                    <xdr:colOff>276225</xdr:colOff>
                    <xdr:row>173</xdr:row>
                    <xdr:rowOff>9525</xdr:rowOff>
                  </from>
                  <to>
                    <xdr:col>3</xdr:col>
                    <xdr:colOff>95250</xdr:colOff>
                    <xdr:row>173</xdr:row>
                    <xdr:rowOff>485775</xdr:rowOff>
                  </to>
                </anchor>
              </controlPr>
            </control>
          </mc:Choice>
        </mc:AlternateContent>
        <mc:AlternateContent xmlns:mc="http://schemas.openxmlformats.org/markup-compatibility/2006">
          <mc:Choice Requires="x14">
            <control shapeId="1198" r:id="rId176" name="Check Box 174">
              <controlPr defaultSize="0" autoFill="0" autoLine="0" autoPict="0">
                <anchor moveWithCells="1">
                  <from>
                    <xdr:col>0</xdr:col>
                    <xdr:colOff>276225</xdr:colOff>
                    <xdr:row>174</xdr:row>
                    <xdr:rowOff>9525</xdr:rowOff>
                  </from>
                  <to>
                    <xdr:col>3</xdr:col>
                    <xdr:colOff>95250</xdr:colOff>
                    <xdr:row>174</xdr:row>
                    <xdr:rowOff>485775</xdr:rowOff>
                  </to>
                </anchor>
              </controlPr>
            </control>
          </mc:Choice>
        </mc:AlternateContent>
        <mc:AlternateContent xmlns:mc="http://schemas.openxmlformats.org/markup-compatibility/2006">
          <mc:Choice Requires="x14">
            <control shapeId="1199" r:id="rId177" name="Check Box 175">
              <controlPr defaultSize="0" autoFill="0" autoLine="0" autoPict="0">
                <anchor moveWithCells="1">
                  <from>
                    <xdr:col>0</xdr:col>
                    <xdr:colOff>276225</xdr:colOff>
                    <xdr:row>175</xdr:row>
                    <xdr:rowOff>9525</xdr:rowOff>
                  </from>
                  <to>
                    <xdr:col>3</xdr:col>
                    <xdr:colOff>95250</xdr:colOff>
                    <xdr:row>175</xdr:row>
                    <xdr:rowOff>485775</xdr:rowOff>
                  </to>
                </anchor>
              </controlPr>
            </control>
          </mc:Choice>
        </mc:AlternateContent>
        <mc:AlternateContent xmlns:mc="http://schemas.openxmlformats.org/markup-compatibility/2006">
          <mc:Choice Requires="x14">
            <control shapeId="1200" r:id="rId178" name="Check Box 176">
              <controlPr defaultSize="0" autoFill="0" autoLine="0" autoPict="0">
                <anchor moveWithCells="1">
                  <from>
                    <xdr:col>0</xdr:col>
                    <xdr:colOff>276225</xdr:colOff>
                    <xdr:row>176</xdr:row>
                    <xdr:rowOff>9525</xdr:rowOff>
                  </from>
                  <to>
                    <xdr:col>3</xdr:col>
                    <xdr:colOff>95250</xdr:colOff>
                    <xdr:row>176</xdr:row>
                    <xdr:rowOff>485775</xdr:rowOff>
                  </to>
                </anchor>
              </controlPr>
            </control>
          </mc:Choice>
        </mc:AlternateContent>
        <mc:AlternateContent xmlns:mc="http://schemas.openxmlformats.org/markup-compatibility/2006">
          <mc:Choice Requires="x14">
            <control shapeId="1201" r:id="rId179" name="Check Box 177">
              <controlPr defaultSize="0" autoFill="0" autoLine="0" autoPict="0">
                <anchor moveWithCells="1">
                  <from>
                    <xdr:col>0</xdr:col>
                    <xdr:colOff>276225</xdr:colOff>
                    <xdr:row>177</xdr:row>
                    <xdr:rowOff>9525</xdr:rowOff>
                  </from>
                  <to>
                    <xdr:col>3</xdr:col>
                    <xdr:colOff>95250</xdr:colOff>
                    <xdr:row>177</xdr:row>
                    <xdr:rowOff>485775</xdr:rowOff>
                  </to>
                </anchor>
              </controlPr>
            </control>
          </mc:Choice>
        </mc:AlternateContent>
        <mc:AlternateContent xmlns:mc="http://schemas.openxmlformats.org/markup-compatibility/2006">
          <mc:Choice Requires="x14">
            <control shapeId="1202" r:id="rId180" name="Check Box 178">
              <controlPr defaultSize="0" autoFill="0" autoLine="0" autoPict="0">
                <anchor moveWithCells="1">
                  <from>
                    <xdr:col>0</xdr:col>
                    <xdr:colOff>276225</xdr:colOff>
                    <xdr:row>178</xdr:row>
                    <xdr:rowOff>9525</xdr:rowOff>
                  </from>
                  <to>
                    <xdr:col>3</xdr:col>
                    <xdr:colOff>95250</xdr:colOff>
                    <xdr:row>178</xdr:row>
                    <xdr:rowOff>485775</xdr:rowOff>
                  </to>
                </anchor>
              </controlPr>
            </control>
          </mc:Choice>
        </mc:AlternateContent>
        <mc:AlternateContent xmlns:mc="http://schemas.openxmlformats.org/markup-compatibility/2006">
          <mc:Choice Requires="x14">
            <control shapeId="1203" r:id="rId181" name="Check Box 179">
              <controlPr defaultSize="0" autoFill="0" autoLine="0" autoPict="0">
                <anchor moveWithCells="1">
                  <from>
                    <xdr:col>0</xdr:col>
                    <xdr:colOff>276225</xdr:colOff>
                    <xdr:row>179</xdr:row>
                    <xdr:rowOff>9525</xdr:rowOff>
                  </from>
                  <to>
                    <xdr:col>3</xdr:col>
                    <xdr:colOff>95250</xdr:colOff>
                    <xdr:row>179</xdr:row>
                    <xdr:rowOff>485775</xdr:rowOff>
                  </to>
                </anchor>
              </controlPr>
            </control>
          </mc:Choice>
        </mc:AlternateContent>
        <mc:AlternateContent xmlns:mc="http://schemas.openxmlformats.org/markup-compatibility/2006">
          <mc:Choice Requires="x14">
            <control shapeId="1204" r:id="rId182" name="Check Box 180">
              <controlPr defaultSize="0" autoFill="0" autoLine="0" autoPict="0">
                <anchor moveWithCells="1">
                  <from>
                    <xdr:col>0</xdr:col>
                    <xdr:colOff>276225</xdr:colOff>
                    <xdr:row>180</xdr:row>
                    <xdr:rowOff>9525</xdr:rowOff>
                  </from>
                  <to>
                    <xdr:col>3</xdr:col>
                    <xdr:colOff>95250</xdr:colOff>
                    <xdr:row>180</xdr:row>
                    <xdr:rowOff>485775</xdr:rowOff>
                  </to>
                </anchor>
              </controlPr>
            </control>
          </mc:Choice>
        </mc:AlternateContent>
        <mc:AlternateContent xmlns:mc="http://schemas.openxmlformats.org/markup-compatibility/2006">
          <mc:Choice Requires="x14">
            <control shapeId="1205" r:id="rId183" name="Check Box 181">
              <controlPr defaultSize="0" autoFill="0" autoLine="0" autoPict="0">
                <anchor moveWithCells="1">
                  <from>
                    <xdr:col>0</xdr:col>
                    <xdr:colOff>276225</xdr:colOff>
                    <xdr:row>181</xdr:row>
                    <xdr:rowOff>9525</xdr:rowOff>
                  </from>
                  <to>
                    <xdr:col>3</xdr:col>
                    <xdr:colOff>95250</xdr:colOff>
                    <xdr:row>181</xdr:row>
                    <xdr:rowOff>485775</xdr:rowOff>
                  </to>
                </anchor>
              </controlPr>
            </control>
          </mc:Choice>
        </mc:AlternateContent>
        <mc:AlternateContent xmlns:mc="http://schemas.openxmlformats.org/markup-compatibility/2006">
          <mc:Choice Requires="x14">
            <control shapeId="1206" r:id="rId184" name="Check Box 182">
              <controlPr defaultSize="0" autoFill="0" autoLine="0" autoPict="0">
                <anchor moveWithCells="1">
                  <from>
                    <xdr:col>0</xdr:col>
                    <xdr:colOff>276225</xdr:colOff>
                    <xdr:row>182</xdr:row>
                    <xdr:rowOff>9525</xdr:rowOff>
                  </from>
                  <to>
                    <xdr:col>3</xdr:col>
                    <xdr:colOff>95250</xdr:colOff>
                    <xdr:row>182</xdr:row>
                    <xdr:rowOff>485775</xdr:rowOff>
                  </to>
                </anchor>
              </controlPr>
            </control>
          </mc:Choice>
        </mc:AlternateContent>
        <mc:AlternateContent xmlns:mc="http://schemas.openxmlformats.org/markup-compatibility/2006">
          <mc:Choice Requires="x14">
            <control shapeId="1207" r:id="rId185" name="Check Box 183">
              <controlPr defaultSize="0" autoFill="0" autoLine="0" autoPict="0">
                <anchor moveWithCells="1">
                  <from>
                    <xdr:col>0</xdr:col>
                    <xdr:colOff>276225</xdr:colOff>
                    <xdr:row>183</xdr:row>
                    <xdr:rowOff>9525</xdr:rowOff>
                  </from>
                  <to>
                    <xdr:col>3</xdr:col>
                    <xdr:colOff>95250</xdr:colOff>
                    <xdr:row>183</xdr:row>
                    <xdr:rowOff>485775</xdr:rowOff>
                  </to>
                </anchor>
              </controlPr>
            </control>
          </mc:Choice>
        </mc:AlternateContent>
        <mc:AlternateContent xmlns:mc="http://schemas.openxmlformats.org/markup-compatibility/2006">
          <mc:Choice Requires="x14">
            <control shapeId="1208" r:id="rId186" name="Check Box 184">
              <controlPr defaultSize="0" autoFill="0" autoLine="0" autoPict="0">
                <anchor moveWithCells="1">
                  <from>
                    <xdr:col>0</xdr:col>
                    <xdr:colOff>276225</xdr:colOff>
                    <xdr:row>184</xdr:row>
                    <xdr:rowOff>9525</xdr:rowOff>
                  </from>
                  <to>
                    <xdr:col>3</xdr:col>
                    <xdr:colOff>95250</xdr:colOff>
                    <xdr:row>184</xdr:row>
                    <xdr:rowOff>485775</xdr:rowOff>
                  </to>
                </anchor>
              </controlPr>
            </control>
          </mc:Choice>
        </mc:AlternateContent>
        <mc:AlternateContent xmlns:mc="http://schemas.openxmlformats.org/markup-compatibility/2006">
          <mc:Choice Requires="x14">
            <control shapeId="1209" r:id="rId187" name="Check Box 185">
              <controlPr defaultSize="0" autoFill="0" autoLine="0" autoPict="0">
                <anchor moveWithCells="1">
                  <from>
                    <xdr:col>0</xdr:col>
                    <xdr:colOff>276225</xdr:colOff>
                    <xdr:row>185</xdr:row>
                    <xdr:rowOff>9525</xdr:rowOff>
                  </from>
                  <to>
                    <xdr:col>3</xdr:col>
                    <xdr:colOff>95250</xdr:colOff>
                    <xdr:row>185</xdr:row>
                    <xdr:rowOff>485775</xdr:rowOff>
                  </to>
                </anchor>
              </controlPr>
            </control>
          </mc:Choice>
        </mc:AlternateContent>
        <mc:AlternateContent xmlns:mc="http://schemas.openxmlformats.org/markup-compatibility/2006">
          <mc:Choice Requires="x14">
            <control shapeId="1210" r:id="rId188" name="Check Box 186">
              <controlPr defaultSize="0" autoFill="0" autoLine="0" autoPict="0">
                <anchor moveWithCells="1">
                  <from>
                    <xdr:col>0</xdr:col>
                    <xdr:colOff>276225</xdr:colOff>
                    <xdr:row>186</xdr:row>
                    <xdr:rowOff>9525</xdr:rowOff>
                  </from>
                  <to>
                    <xdr:col>3</xdr:col>
                    <xdr:colOff>95250</xdr:colOff>
                    <xdr:row>186</xdr:row>
                    <xdr:rowOff>485775</xdr:rowOff>
                  </to>
                </anchor>
              </controlPr>
            </control>
          </mc:Choice>
        </mc:AlternateContent>
        <mc:AlternateContent xmlns:mc="http://schemas.openxmlformats.org/markup-compatibility/2006">
          <mc:Choice Requires="x14">
            <control shapeId="1211" r:id="rId189" name="Check Box 187">
              <controlPr defaultSize="0" autoFill="0" autoLine="0" autoPict="0">
                <anchor moveWithCells="1">
                  <from>
                    <xdr:col>0</xdr:col>
                    <xdr:colOff>276225</xdr:colOff>
                    <xdr:row>187</xdr:row>
                    <xdr:rowOff>9525</xdr:rowOff>
                  </from>
                  <to>
                    <xdr:col>3</xdr:col>
                    <xdr:colOff>95250</xdr:colOff>
                    <xdr:row>187</xdr:row>
                    <xdr:rowOff>485775</xdr:rowOff>
                  </to>
                </anchor>
              </controlPr>
            </control>
          </mc:Choice>
        </mc:AlternateContent>
        <mc:AlternateContent xmlns:mc="http://schemas.openxmlformats.org/markup-compatibility/2006">
          <mc:Choice Requires="x14">
            <control shapeId="1212" r:id="rId190" name="Check Box 188">
              <controlPr defaultSize="0" autoFill="0" autoLine="0" autoPict="0">
                <anchor moveWithCells="1">
                  <from>
                    <xdr:col>0</xdr:col>
                    <xdr:colOff>276225</xdr:colOff>
                    <xdr:row>188</xdr:row>
                    <xdr:rowOff>9525</xdr:rowOff>
                  </from>
                  <to>
                    <xdr:col>3</xdr:col>
                    <xdr:colOff>95250</xdr:colOff>
                    <xdr:row>188</xdr:row>
                    <xdr:rowOff>485775</xdr:rowOff>
                  </to>
                </anchor>
              </controlPr>
            </control>
          </mc:Choice>
        </mc:AlternateContent>
        <mc:AlternateContent xmlns:mc="http://schemas.openxmlformats.org/markup-compatibility/2006">
          <mc:Choice Requires="x14">
            <control shapeId="1213" r:id="rId191" name="Check Box 189">
              <controlPr defaultSize="0" autoFill="0" autoLine="0" autoPict="0">
                <anchor moveWithCells="1">
                  <from>
                    <xdr:col>0</xdr:col>
                    <xdr:colOff>276225</xdr:colOff>
                    <xdr:row>189</xdr:row>
                    <xdr:rowOff>9525</xdr:rowOff>
                  </from>
                  <to>
                    <xdr:col>3</xdr:col>
                    <xdr:colOff>95250</xdr:colOff>
                    <xdr:row>189</xdr:row>
                    <xdr:rowOff>485775</xdr:rowOff>
                  </to>
                </anchor>
              </controlPr>
            </control>
          </mc:Choice>
        </mc:AlternateContent>
        <mc:AlternateContent xmlns:mc="http://schemas.openxmlformats.org/markup-compatibility/2006">
          <mc:Choice Requires="x14">
            <control shapeId="1214" r:id="rId192" name="Check Box 190">
              <controlPr defaultSize="0" autoFill="0" autoLine="0" autoPict="0">
                <anchor moveWithCells="1">
                  <from>
                    <xdr:col>0</xdr:col>
                    <xdr:colOff>276225</xdr:colOff>
                    <xdr:row>190</xdr:row>
                    <xdr:rowOff>9525</xdr:rowOff>
                  </from>
                  <to>
                    <xdr:col>3</xdr:col>
                    <xdr:colOff>95250</xdr:colOff>
                    <xdr:row>190</xdr:row>
                    <xdr:rowOff>485775</xdr:rowOff>
                  </to>
                </anchor>
              </controlPr>
            </control>
          </mc:Choice>
        </mc:AlternateContent>
        <mc:AlternateContent xmlns:mc="http://schemas.openxmlformats.org/markup-compatibility/2006">
          <mc:Choice Requires="x14">
            <control shapeId="1215" r:id="rId193" name="Check Box 191">
              <controlPr defaultSize="0" autoFill="0" autoLine="0" autoPict="0">
                <anchor moveWithCells="1">
                  <from>
                    <xdr:col>0</xdr:col>
                    <xdr:colOff>276225</xdr:colOff>
                    <xdr:row>191</xdr:row>
                    <xdr:rowOff>9525</xdr:rowOff>
                  </from>
                  <to>
                    <xdr:col>3</xdr:col>
                    <xdr:colOff>95250</xdr:colOff>
                    <xdr:row>191</xdr:row>
                    <xdr:rowOff>485775</xdr:rowOff>
                  </to>
                </anchor>
              </controlPr>
            </control>
          </mc:Choice>
        </mc:AlternateContent>
        <mc:AlternateContent xmlns:mc="http://schemas.openxmlformats.org/markup-compatibility/2006">
          <mc:Choice Requires="x14">
            <control shapeId="1216" r:id="rId194" name="Check Box 192">
              <controlPr defaultSize="0" autoFill="0" autoLine="0" autoPict="0">
                <anchor moveWithCells="1">
                  <from>
                    <xdr:col>0</xdr:col>
                    <xdr:colOff>276225</xdr:colOff>
                    <xdr:row>192</xdr:row>
                    <xdr:rowOff>9525</xdr:rowOff>
                  </from>
                  <to>
                    <xdr:col>3</xdr:col>
                    <xdr:colOff>95250</xdr:colOff>
                    <xdr:row>192</xdr:row>
                    <xdr:rowOff>485775</xdr:rowOff>
                  </to>
                </anchor>
              </controlPr>
            </control>
          </mc:Choice>
        </mc:AlternateContent>
        <mc:AlternateContent xmlns:mc="http://schemas.openxmlformats.org/markup-compatibility/2006">
          <mc:Choice Requires="x14">
            <control shapeId="1217" r:id="rId195" name="Check Box 193">
              <controlPr defaultSize="0" autoFill="0" autoLine="0" autoPict="0">
                <anchor moveWithCells="1">
                  <from>
                    <xdr:col>0</xdr:col>
                    <xdr:colOff>276225</xdr:colOff>
                    <xdr:row>193</xdr:row>
                    <xdr:rowOff>9525</xdr:rowOff>
                  </from>
                  <to>
                    <xdr:col>3</xdr:col>
                    <xdr:colOff>95250</xdr:colOff>
                    <xdr:row>193</xdr:row>
                    <xdr:rowOff>485775</xdr:rowOff>
                  </to>
                </anchor>
              </controlPr>
            </control>
          </mc:Choice>
        </mc:AlternateContent>
        <mc:AlternateContent xmlns:mc="http://schemas.openxmlformats.org/markup-compatibility/2006">
          <mc:Choice Requires="x14">
            <control shapeId="1218" r:id="rId196" name="Check Box 194">
              <controlPr defaultSize="0" autoFill="0" autoLine="0" autoPict="0">
                <anchor moveWithCells="1">
                  <from>
                    <xdr:col>0</xdr:col>
                    <xdr:colOff>276225</xdr:colOff>
                    <xdr:row>194</xdr:row>
                    <xdr:rowOff>9525</xdr:rowOff>
                  </from>
                  <to>
                    <xdr:col>3</xdr:col>
                    <xdr:colOff>95250</xdr:colOff>
                    <xdr:row>194</xdr:row>
                    <xdr:rowOff>485775</xdr:rowOff>
                  </to>
                </anchor>
              </controlPr>
            </control>
          </mc:Choice>
        </mc:AlternateContent>
        <mc:AlternateContent xmlns:mc="http://schemas.openxmlformats.org/markup-compatibility/2006">
          <mc:Choice Requires="x14">
            <control shapeId="1219" r:id="rId197" name="Check Box 195">
              <controlPr defaultSize="0" autoFill="0" autoLine="0" autoPict="0">
                <anchor moveWithCells="1">
                  <from>
                    <xdr:col>0</xdr:col>
                    <xdr:colOff>276225</xdr:colOff>
                    <xdr:row>195</xdr:row>
                    <xdr:rowOff>9525</xdr:rowOff>
                  </from>
                  <to>
                    <xdr:col>3</xdr:col>
                    <xdr:colOff>95250</xdr:colOff>
                    <xdr:row>195</xdr:row>
                    <xdr:rowOff>485775</xdr:rowOff>
                  </to>
                </anchor>
              </controlPr>
            </control>
          </mc:Choice>
        </mc:AlternateContent>
        <mc:AlternateContent xmlns:mc="http://schemas.openxmlformats.org/markup-compatibility/2006">
          <mc:Choice Requires="x14">
            <control shapeId="1220" r:id="rId198" name="Check Box 196">
              <controlPr defaultSize="0" autoFill="0" autoLine="0" autoPict="0">
                <anchor moveWithCells="1">
                  <from>
                    <xdr:col>0</xdr:col>
                    <xdr:colOff>276225</xdr:colOff>
                    <xdr:row>196</xdr:row>
                    <xdr:rowOff>9525</xdr:rowOff>
                  </from>
                  <to>
                    <xdr:col>3</xdr:col>
                    <xdr:colOff>95250</xdr:colOff>
                    <xdr:row>196</xdr:row>
                    <xdr:rowOff>485775</xdr:rowOff>
                  </to>
                </anchor>
              </controlPr>
            </control>
          </mc:Choice>
        </mc:AlternateContent>
        <mc:AlternateContent xmlns:mc="http://schemas.openxmlformats.org/markup-compatibility/2006">
          <mc:Choice Requires="x14">
            <control shapeId="1221" r:id="rId199" name="Check Box 197">
              <controlPr defaultSize="0" autoFill="0" autoLine="0" autoPict="0">
                <anchor moveWithCells="1">
                  <from>
                    <xdr:col>0</xdr:col>
                    <xdr:colOff>276225</xdr:colOff>
                    <xdr:row>197</xdr:row>
                    <xdr:rowOff>9525</xdr:rowOff>
                  </from>
                  <to>
                    <xdr:col>3</xdr:col>
                    <xdr:colOff>95250</xdr:colOff>
                    <xdr:row>197</xdr:row>
                    <xdr:rowOff>485775</xdr:rowOff>
                  </to>
                </anchor>
              </controlPr>
            </control>
          </mc:Choice>
        </mc:AlternateContent>
        <mc:AlternateContent xmlns:mc="http://schemas.openxmlformats.org/markup-compatibility/2006">
          <mc:Choice Requires="x14">
            <control shapeId="1222" r:id="rId200" name="Check Box 198">
              <controlPr defaultSize="0" autoFill="0" autoLine="0" autoPict="0">
                <anchor moveWithCells="1">
                  <from>
                    <xdr:col>0</xdr:col>
                    <xdr:colOff>276225</xdr:colOff>
                    <xdr:row>198</xdr:row>
                    <xdr:rowOff>9525</xdr:rowOff>
                  </from>
                  <to>
                    <xdr:col>3</xdr:col>
                    <xdr:colOff>95250</xdr:colOff>
                    <xdr:row>198</xdr:row>
                    <xdr:rowOff>485775</xdr:rowOff>
                  </to>
                </anchor>
              </controlPr>
            </control>
          </mc:Choice>
        </mc:AlternateContent>
        <mc:AlternateContent xmlns:mc="http://schemas.openxmlformats.org/markup-compatibility/2006">
          <mc:Choice Requires="x14">
            <control shapeId="1223" r:id="rId201" name="Check Box 199">
              <controlPr defaultSize="0" autoFill="0" autoLine="0" autoPict="0">
                <anchor moveWithCells="1">
                  <from>
                    <xdr:col>0</xdr:col>
                    <xdr:colOff>276225</xdr:colOff>
                    <xdr:row>199</xdr:row>
                    <xdr:rowOff>9525</xdr:rowOff>
                  </from>
                  <to>
                    <xdr:col>3</xdr:col>
                    <xdr:colOff>95250</xdr:colOff>
                    <xdr:row>199</xdr:row>
                    <xdr:rowOff>485775</xdr:rowOff>
                  </to>
                </anchor>
              </controlPr>
            </control>
          </mc:Choice>
        </mc:AlternateContent>
        <mc:AlternateContent xmlns:mc="http://schemas.openxmlformats.org/markup-compatibility/2006">
          <mc:Choice Requires="x14">
            <control shapeId="1224" r:id="rId202" name="Check Box 200">
              <controlPr defaultSize="0" autoFill="0" autoLine="0" autoPict="0">
                <anchor moveWithCells="1">
                  <from>
                    <xdr:col>0</xdr:col>
                    <xdr:colOff>276225</xdr:colOff>
                    <xdr:row>200</xdr:row>
                    <xdr:rowOff>9525</xdr:rowOff>
                  </from>
                  <to>
                    <xdr:col>3</xdr:col>
                    <xdr:colOff>95250</xdr:colOff>
                    <xdr:row>200</xdr:row>
                    <xdr:rowOff>485775</xdr:rowOff>
                  </to>
                </anchor>
              </controlPr>
            </control>
          </mc:Choice>
        </mc:AlternateContent>
        <mc:AlternateContent xmlns:mc="http://schemas.openxmlformats.org/markup-compatibility/2006">
          <mc:Choice Requires="x14">
            <control shapeId="1225" r:id="rId203" name="Check Box 201">
              <controlPr defaultSize="0" autoFill="0" autoLine="0" autoPict="0">
                <anchor moveWithCells="1">
                  <from>
                    <xdr:col>0</xdr:col>
                    <xdr:colOff>276225</xdr:colOff>
                    <xdr:row>201</xdr:row>
                    <xdr:rowOff>9525</xdr:rowOff>
                  </from>
                  <to>
                    <xdr:col>3</xdr:col>
                    <xdr:colOff>95250</xdr:colOff>
                    <xdr:row>201</xdr:row>
                    <xdr:rowOff>485775</xdr:rowOff>
                  </to>
                </anchor>
              </controlPr>
            </control>
          </mc:Choice>
        </mc:AlternateContent>
        <mc:AlternateContent xmlns:mc="http://schemas.openxmlformats.org/markup-compatibility/2006">
          <mc:Choice Requires="x14">
            <control shapeId="1226" r:id="rId204" name="Check Box 202">
              <controlPr defaultSize="0" autoFill="0" autoLine="0" autoPict="0">
                <anchor moveWithCells="1">
                  <from>
                    <xdr:col>0</xdr:col>
                    <xdr:colOff>276225</xdr:colOff>
                    <xdr:row>202</xdr:row>
                    <xdr:rowOff>9525</xdr:rowOff>
                  </from>
                  <to>
                    <xdr:col>3</xdr:col>
                    <xdr:colOff>95250</xdr:colOff>
                    <xdr:row>202</xdr:row>
                    <xdr:rowOff>485775</xdr:rowOff>
                  </to>
                </anchor>
              </controlPr>
            </control>
          </mc:Choice>
        </mc:AlternateContent>
        <mc:AlternateContent xmlns:mc="http://schemas.openxmlformats.org/markup-compatibility/2006">
          <mc:Choice Requires="x14">
            <control shapeId="1227" r:id="rId205" name="Check Box 203">
              <controlPr defaultSize="0" autoFill="0" autoLine="0" autoPict="0">
                <anchor moveWithCells="1">
                  <from>
                    <xdr:col>0</xdr:col>
                    <xdr:colOff>276225</xdr:colOff>
                    <xdr:row>203</xdr:row>
                    <xdr:rowOff>9525</xdr:rowOff>
                  </from>
                  <to>
                    <xdr:col>3</xdr:col>
                    <xdr:colOff>95250</xdr:colOff>
                    <xdr:row>203</xdr:row>
                    <xdr:rowOff>485775</xdr:rowOff>
                  </to>
                </anchor>
              </controlPr>
            </control>
          </mc:Choice>
        </mc:AlternateContent>
        <mc:AlternateContent xmlns:mc="http://schemas.openxmlformats.org/markup-compatibility/2006">
          <mc:Choice Requires="x14">
            <control shapeId="1228" r:id="rId206" name="Check Box 204">
              <controlPr defaultSize="0" autoFill="0" autoLine="0" autoPict="0">
                <anchor moveWithCells="1">
                  <from>
                    <xdr:col>0</xdr:col>
                    <xdr:colOff>276225</xdr:colOff>
                    <xdr:row>204</xdr:row>
                    <xdr:rowOff>9525</xdr:rowOff>
                  </from>
                  <to>
                    <xdr:col>3</xdr:col>
                    <xdr:colOff>95250</xdr:colOff>
                    <xdr:row>204</xdr:row>
                    <xdr:rowOff>485775</xdr:rowOff>
                  </to>
                </anchor>
              </controlPr>
            </control>
          </mc:Choice>
        </mc:AlternateContent>
        <mc:AlternateContent xmlns:mc="http://schemas.openxmlformats.org/markup-compatibility/2006">
          <mc:Choice Requires="x14">
            <control shapeId="1229" r:id="rId207" name="Check Box 205">
              <controlPr defaultSize="0" autoFill="0" autoLine="0" autoPict="0">
                <anchor moveWithCells="1">
                  <from>
                    <xdr:col>0</xdr:col>
                    <xdr:colOff>276225</xdr:colOff>
                    <xdr:row>205</xdr:row>
                    <xdr:rowOff>9525</xdr:rowOff>
                  </from>
                  <to>
                    <xdr:col>3</xdr:col>
                    <xdr:colOff>95250</xdr:colOff>
                    <xdr:row>205</xdr:row>
                    <xdr:rowOff>485775</xdr:rowOff>
                  </to>
                </anchor>
              </controlPr>
            </control>
          </mc:Choice>
        </mc:AlternateContent>
        <mc:AlternateContent xmlns:mc="http://schemas.openxmlformats.org/markup-compatibility/2006">
          <mc:Choice Requires="x14">
            <control shapeId="1230" r:id="rId208" name="Check Box 206">
              <controlPr defaultSize="0" autoFill="0" autoLine="0" autoPict="0">
                <anchor moveWithCells="1">
                  <from>
                    <xdr:col>0</xdr:col>
                    <xdr:colOff>276225</xdr:colOff>
                    <xdr:row>206</xdr:row>
                    <xdr:rowOff>9525</xdr:rowOff>
                  </from>
                  <to>
                    <xdr:col>3</xdr:col>
                    <xdr:colOff>95250</xdr:colOff>
                    <xdr:row>206</xdr:row>
                    <xdr:rowOff>485775</xdr:rowOff>
                  </to>
                </anchor>
              </controlPr>
            </control>
          </mc:Choice>
        </mc:AlternateContent>
        <mc:AlternateContent xmlns:mc="http://schemas.openxmlformats.org/markup-compatibility/2006">
          <mc:Choice Requires="x14">
            <control shapeId="1231" r:id="rId209" name="Check Box 207">
              <controlPr defaultSize="0" autoFill="0" autoLine="0" autoPict="0">
                <anchor moveWithCells="1">
                  <from>
                    <xdr:col>0</xdr:col>
                    <xdr:colOff>276225</xdr:colOff>
                    <xdr:row>207</xdr:row>
                    <xdr:rowOff>9525</xdr:rowOff>
                  </from>
                  <to>
                    <xdr:col>3</xdr:col>
                    <xdr:colOff>95250</xdr:colOff>
                    <xdr:row>207</xdr:row>
                    <xdr:rowOff>485775</xdr:rowOff>
                  </to>
                </anchor>
              </controlPr>
            </control>
          </mc:Choice>
        </mc:AlternateContent>
        <mc:AlternateContent xmlns:mc="http://schemas.openxmlformats.org/markup-compatibility/2006">
          <mc:Choice Requires="x14">
            <control shapeId="1232" r:id="rId210" name="Check Box 208">
              <controlPr defaultSize="0" autoFill="0" autoLine="0" autoPict="0">
                <anchor moveWithCells="1">
                  <from>
                    <xdr:col>0</xdr:col>
                    <xdr:colOff>276225</xdr:colOff>
                    <xdr:row>208</xdr:row>
                    <xdr:rowOff>9525</xdr:rowOff>
                  </from>
                  <to>
                    <xdr:col>3</xdr:col>
                    <xdr:colOff>95250</xdr:colOff>
                    <xdr:row>208</xdr:row>
                    <xdr:rowOff>485775</xdr:rowOff>
                  </to>
                </anchor>
              </controlPr>
            </control>
          </mc:Choice>
        </mc:AlternateContent>
        <mc:AlternateContent xmlns:mc="http://schemas.openxmlformats.org/markup-compatibility/2006">
          <mc:Choice Requires="x14">
            <control shapeId="1233" r:id="rId211" name="Check Box 209">
              <controlPr defaultSize="0" autoFill="0" autoLine="0" autoPict="0">
                <anchor moveWithCells="1">
                  <from>
                    <xdr:col>0</xdr:col>
                    <xdr:colOff>276225</xdr:colOff>
                    <xdr:row>209</xdr:row>
                    <xdr:rowOff>9525</xdr:rowOff>
                  </from>
                  <to>
                    <xdr:col>3</xdr:col>
                    <xdr:colOff>95250</xdr:colOff>
                    <xdr:row>209</xdr:row>
                    <xdr:rowOff>485775</xdr:rowOff>
                  </to>
                </anchor>
              </controlPr>
            </control>
          </mc:Choice>
        </mc:AlternateContent>
        <mc:AlternateContent xmlns:mc="http://schemas.openxmlformats.org/markup-compatibility/2006">
          <mc:Choice Requires="x14">
            <control shapeId="1234" r:id="rId212" name="Check Box 210">
              <controlPr defaultSize="0" autoFill="0" autoLine="0" autoPict="0">
                <anchor moveWithCells="1">
                  <from>
                    <xdr:col>0</xdr:col>
                    <xdr:colOff>276225</xdr:colOff>
                    <xdr:row>210</xdr:row>
                    <xdr:rowOff>9525</xdr:rowOff>
                  </from>
                  <to>
                    <xdr:col>3</xdr:col>
                    <xdr:colOff>95250</xdr:colOff>
                    <xdr:row>210</xdr:row>
                    <xdr:rowOff>485775</xdr:rowOff>
                  </to>
                </anchor>
              </controlPr>
            </control>
          </mc:Choice>
        </mc:AlternateContent>
        <mc:AlternateContent xmlns:mc="http://schemas.openxmlformats.org/markup-compatibility/2006">
          <mc:Choice Requires="x14">
            <control shapeId="1235" r:id="rId213" name="Check Box 211">
              <controlPr defaultSize="0" autoFill="0" autoLine="0" autoPict="0">
                <anchor moveWithCells="1">
                  <from>
                    <xdr:col>0</xdr:col>
                    <xdr:colOff>276225</xdr:colOff>
                    <xdr:row>211</xdr:row>
                    <xdr:rowOff>9525</xdr:rowOff>
                  </from>
                  <to>
                    <xdr:col>3</xdr:col>
                    <xdr:colOff>95250</xdr:colOff>
                    <xdr:row>211</xdr:row>
                    <xdr:rowOff>485775</xdr:rowOff>
                  </to>
                </anchor>
              </controlPr>
            </control>
          </mc:Choice>
        </mc:AlternateContent>
        <mc:AlternateContent xmlns:mc="http://schemas.openxmlformats.org/markup-compatibility/2006">
          <mc:Choice Requires="x14">
            <control shapeId="1236" r:id="rId214" name="Check Box 212">
              <controlPr defaultSize="0" autoFill="0" autoLine="0" autoPict="0">
                <anchor moveWithCells="1">
                  <from>
                    <xdr:col>0</xdr:col>
                    <xdr:colOff>276225</xdr:colOff>
                    <xdr:row>212</xdr:row>
                    <xdr:rowOff>9525</xdr:rowOff>
                  </from>
                  <to>
                    <xdr:col>3</xdr:col>
                    <xdr:colOff>95250</xdr:colOff>
                    <xdr:row>212</xdr:row>
                    <xdr:rowOff>485775</xdr:rowOff>
                  </to>
                </anchor>
              </controlPr>
            </control>
          </mc:Choice>
        </mc:AlternateContent>
        <mc:AlternateContent xmlns:mc="http://schemas.openxmlformats.org/markup-compatibility/2006">
          <mc:Choice Requires="x14">
            <control shapeId="1237" r:id="rId215" name="Check Box 213">
              <controlPr defaultSize="0" autoFill="0" autoLine="0" autoPict="0">
                <anchor moveWithCells="1">
                  <from>
                    <xdr:col>0</xdr:col>
                    <xdr:colOff>276225</xdr:colOff>
                    <xdr:row>213</xdr:row>
                    <xdr:rowOff>9525</xdr:rowOff>
                  </from>
                  <to>
                    <xdr:col>3</xdr:col>
                    <xdr:colOff>95250</xdr:colOff>
                    <xdr:row>213</xdr:row>
                    <xdr:rowOff>485775</xdr:rowOff>
                  </to>
                </anchor>
              </controlPr>
            </control>
          </mc:Choice>
        </mc:AlternateContent>
        <mc:AlternateContent xmlns:mc="http://schemas.openxmlformats.org/markup-compatibility/2006">
          <mc:Choice Requires="x14">
            <control shapeId="1238" r:id="rId216" name="Check Box 214">
              <controlPr defaultSize="0" autoFill="0" autoLine="0" autoPict="0">
                <anchor moveWithCells="1">
                  <from>
                    <xdr:col>0</xdr:col>
                    <xdr:colOff>276225</xdr:colOff>
                    <xdr:row>214</xdr:row>
                    <xdr:rowOff>9525</xdr:rowOff>
                  </from>
                  <to>
                    <xdr:col>3</xdr:col>
                    <xdr:colOff>95250</xdr:colOff>
                    <xdr:row>214</xdr:row>
                    <xdr:rowOff>485775</xdr:rowOff>
                  </to>
                </anchor>
              </controlPr>
            </control>
          </mc:Choice>
        </mc:AlternateContent>
        <mc:AlternateContent xmlns:mc="http://schemas.openxmlformats.org/markup-compatibility/2006">
          <mc:Choice Requires="x14">
            <control shapeId="1239" r:id="rId217" name="Check Box 215">
              <controlPr defaultSize="0" autoFill="0" autoLine="0" autoPict="0">
                <anchor moveWithCells="1">
                  <from>
                    <xdr:col>0</xdr:col>
                    <xdr:colOff>276225</xdr:colOff>
                    <xdr:row>215</xdr:row>
                    <xdr:rowOff>9525</xdr:rowOff>
                  </from>
                  <to>
                    <xdr:col>3</xdr:col>
                    <xdr:colOff>95250</xdr:colOff>
                    <xdr:row>215</xdr:row>
                    <xdr:rowOff>485775</xdr:rowOff>
                  </to>
                </anchor>
              </controlPr>
            </control>
          </mc:Choice>
        </mc:AlternateContent>
        <mc:AlternateContent xmlns:mc="http://schemas.openxmlformats.org/markup-compatibility/2006">
          <mc:Choice Requires="x14">
            <control shapeId="1240" r:id="rId218" name="Check Box 216">
              <controlPr defaultSize="0" autoFill="0" autoLine="0" autoPict="0">
                <anchor moveWithCells="1">
                  <from>
                    <xdr:col>0</xdr:col>
                    <xdr:colOff>276225</xdr:colOff>
                    <xdr:row>216</xdr:row>
                    <xdr:rowOff>9525</xdr:rowOff>
                  </from>
                  <to>
                    <xdr:col>3</xdr:col>
                    <xdr:colOff>95250</xdr:colOff>
                    <xdr:row>216</xdr:row>
                    <xdr:rowOff>485775</xdr:rowOff>
                  </to>
                </anchor>
              </controlPr>
            </control>
          </mc:Choice>
        </mc:AlternateContent>
        <mc:AlternateContent xmlns:mc="http://schemas.openxmlformats.org/markup-compatibility/2006">
          <mc:Choice Requires="x14">
            <control shapeId="1241" r:id="rId219" name="Check Box 217">
              <controlPr defaultSize="0" autoFill="0" autoLine="0" autoPict="0">
                <anchor moveWithCells="1">
                  <from>
                    <xdr:col>0</xdr:col>
                    <xdr:colOff>276225</xdr:colOff>
                    <xdr:row>217</xdr:row>
                    <xdr:rowOff>9525</xdr:rowOff>
                  </from>
                  <to>
                    <xdr:col>3</xdr:col>
                    <xdr:colOff>95250</xdr:colOff>
                    <xdr:row>217</xdr:row>
                    <xdr:rowOff>485775</xdr:rowOff>
                  </to>
                </anchor>
              </controlPr>
            </control>
          </mc:Choice>
        </mc:AlternateContent>
        <mc:AlternateContent xmlns:mc="http://schemas.openxmlformats.org/markup-compatibility/2006">
          <mc:Choice Requires="x14">
            <control shapeId="1242" r:id="rId220" name="Check Box 218">
              <controlPr defaultSize="0" autoFill="0" autoLine="0" autoPict="0">
                <anchor moveWithCells="1">
                  <from>
                    <xdr:col>0</xdr:col>
                    <xdr:colOff>276225</xdr:colOff>
                    <xdr:row>218</xdr:row>
                    <xdr:rowOff>9525</xdr:rowOff>
                  </from>
                  <to>
                    <xdr:col>3</xdr:col>
                    <xdr:colOff>95250</xdr:colOff>
                    <xdr:row>218</xdr:row>
                    <xdr:rowOff>485775</xdr:rowOff>
                  </to>
                </anchor>
              </controlPr>
            </control>
          </mc:Choice>
        </mc:AlternateContent>
        <mc:AlternateContent xmlns:mc="http://schemas.openxmlformats.org/markup-compatibility/2006">
          <mc:Choice Requires="x14">
            <control shapeId="1243" r:id="rId221" name="Check Box 219">
              <controlPr defaultSize="0" autoFill="0" autoLine="0" autoPict="0">
                <anchor moveWithCells="1">
                  <from>
                    <xdr:col>0</xdr:col>
                    <xdr:colOff>276225</xdr:colOff>
                    <xdr:row>219</xdr:row>
                    <xdr:rowOff>9525</xdr:rowOff>
                  </from>
                  <to>
                    <xdr:col>3</xdr:col>
                    <xdr:colOff>95250</xdr:colOff>
                    <xdr:row>219</xdr:row>
                    <xdr:rowOff>485775</xdr:rowOff>
                  </to>
                </anchor>
              </controlPr>
            </control>
          </mc:Choice>
        </mc:AlternateContent>
        <mc:AlternateContent xmlns:mc="http://schemas.openxmlformats.org/markup-compatibility/2006">
          <mc:Choice Requires="x14">
            <control shapeId="1244" r:id="rId222" name="Check Box 220">
              <controlPr defaultSize="0" autoFill="0" autoLine="0" autoPict="0">
                <anchor moveWithCells="1">
                  <from>
                    <xdr:col>0</xdr:col>
                    <xdr:colOff>276225</xdr:colOff>
                    <xdr:row>220</xdr:row>
                    <xdr:rowOff>9525</xdr:rowOff>
                  </from>
                  <to>
                    <xdr:col>3</xdr:col>
                    <xdr:colOff>95250</xdr:colOff>
                    <xdr:row>220</xdr:row>
                    <xdr:rowOff>485775</xdr:rowOff>
                  </to>
                </anchor>
              </controlPr>
            </control>
          </mc:Choice>
        </mc:AlternateContent>
        <mc:AlternateContent xmlns:mc="http://schemas.openxmlformats.org/markup-compatibility/2006">
          <mc:Choice Requires="x14">
            <control shapeId="1245" r:id="rId223" name="Check Box 221">
              <controlPr defaultSize="0" autoFill="0" autoLine="0" autoPict="0">
                <anchor moveWithCells="1">
                  <from>
                    <xdr:col>0</xdr:col>
                    <xdr:colOff>276225</xdr:colOff>
                    <xdr:row>221</xdr:row>
                    <xdr:rowOff>9525</xdr:rowOff>
                  </from>
                  <to>
                    <xdr:col>3</xdr:col>
                    <xdr:colOff>95250</xdr:colOff>
                    <xdr:row>221</xdr:row>
                    <xdr:rowOff>485775</xdr:rowOff>
                  </to>
                </anchor>
              </controlPr>
            </control>
          </mc:Choice>
        </mc:AlternateContent>
        <mc:AlternateContent xmlns:mc="http://schemas.openxmlformats.org/markup-compatibility/2006">
          <mc:Choice Requires="x14">
            <control shapeId="1246" r:id="rId224" name="Check Box 222">
              <controlPr defaultSize="0" autoFill="0" autoLine="0" autoPict="0">
                <anchor moveWithCells="1">
                  <from>
                    <xdr:col>0</xdr:col>
                    <xdr:colOff>276225</xdr:colOff>
                    <xdr:row>222</xdr:row>
                    <xdr:rowOff>9525</xdr:rowOff>
                  </from>
                  <to>
                    <xdr:col>3</xdr:col>
                    <xdr:colOff>95250</xdr:colOff>
                    <xdr:row>222</xdr:row>
                    <xdr:rowOff>485775</xdr:rowOff>
                  </to>
                </anchor>
              </controlPr>
            </control>
          </mc:Choice>
        </mc:AlternateContent>
        <mc:AlternateContent xmlns:mc="http://schemas.openxmlformats.org/markup-compatibility/2006">
          <mc:Choice Requires="x14">
            <control shapeId="1247" r:id="rId225" name="Check Box 223">
              <controlPr defaultSize="0" autoFill="0" autoLine="0" autoPict="0">
                <anchor moveWithCells="1">
                  <from>
                    <xdr:col>0</xdr:col>
                    <xdr:colOff>276225</xdr:colOff>
                    <xdr:row>223</xdr:row>
                    <xdr:rowOff>9525</xdr:rowOff>
                  </from>
                  <to>
                    <xdr:col>3</xdr:col>
                    <xdr:colOff>95250</xdr:colOff>
                    <xdr:row>223</xdr:row>
                    <xdr:rowOff>485775</xdr:rowOff>
                  </to>
                </anchor>
              </controlPr>
            </control>
          </mc:Choice>
        </mc:AlternateContent>
        <mc:AlternateContent xmlns:mc="http://schemas.openxmlformats.org/markup-compatibility/2006">
          <mc:Choice Requires="x14">
            <control shapeId="1248" r:id="rId226" name="Check Box 224">
              <controlPr defaultSize="0" autoFill="0" autoLine="0" autoPict="0">
                <anchor moveWithCells="1">
                  <from>
                    <xdr:col>0</xdr:col>
                    <xdr:colOff>276225</xdr:colOff>
                    <xdr:row>224</xdr:row>
                    <xdr:rowOff>9525</xdr:rowOff>
                  </from>
                  <to>
                    <xdr:col>3</xdr:col>
                    <xdr:colOff>95250</xdr:colOff>
                    <xdr:row>224</xdr:row>
                    <xdr:rowOff>485775</xdr:rowOff>
                  </to>
                </anchor>
              </controlPr>
            </control>
          </mc:Choice>
        </mc:AlternateContent>
        <mc:AlternateContent xmlns:mc="http://schemas.openxmlformats.org/markup-compatibility/2006">
          <mc:Choice Requires="x14">
            <control shapeId="1249" r:id="rId227" name="Check Box 225">
              <controlPr defaultSize="0" autoFill="0" autoLine="0" autoPict="0">
                <anchor moveWithCells="1">
                  <from>
                    <xdr:col>0</xdr:col>
                    <xdr:colOff>276225</xdr:colOff>
                    <xdr:row>225</xdr:row>
                    <xdr:rowOff>9525</xdr:rowOff>
                  </from>
                  <to>
                    <xdr:col>3</xdr:col>
                    <xdr:colOff>95250</xdr:colOff>
                    <xdr:row>225</xdr:row>
                    <xdr:rowOff>485775</xdr:rowOff>
                  </to>
                </anchor>
              </controlPr>
            </control>
          </mc:Choice>
        </mc:AlternateContent>
        <mc:AlternateContent xmlns:mc="http://schemas.openxmlformats.org/markup-compatibility/2006">
          <mc:Choice Requires="x14">
            <control shapeId="1250" r:id="rId228" name="Check Box 226">
              <controlPr defaultSize="0" autoFill="0" autoLine="0" autoPict="0">
                <anchor moveWithCells="1">
                  <from>
                    <xdr:col>0</xdr:col>
                    <xdr:colOff>276225</xdr:colOff>
                    <xdr:row>226</xdr:row>
                    <xdr:rowOff>9525</xdr:rowOff>
                  </from>
                  <to>
                    <xdr:col>3</xdr:col>
                    <xdr:colOff>95250</xdr:colOff>
                    <xdr:row>226</xdr:row>
                    <xdr:rowOff>485775</xdr:rowOff>
                  </to>
                </anchor>
              </controlPr>
            </control>
          </mc:Choice>
        </mc:AlternateContent>
        <mc:AlternateContent xmlns:mc="http://schemas.openxmlformats.org/markup-compatibility/2006">
          <mc:Choice Requires="x14">
            <control shapeId="1251" r:id="rId229" name="Check Box 227">
              <controlPr defaultSize="0" autoFill="0" autoLine="0" autoPict="0">
                <anchor moveWithCells="1">
                  <from>
                    <xdr:col>0</xdr:col>
                    <xdr:colOff>276225</xdr:colOff>
                    <xdr:row>227</xdr:row>
                    <xdr:rowOff>9525</xdr:rowOff>
                  </from>
                  <to>
                    <xdr:col>3</xdr:col>
                    <xdr:colOff>95250</xdr:colOff>
                    <xdr:row>227</xdr:row>
                    <xdr:rowOff>485775</xdr:rowOff>
                  </to>
                </anchor>
              </controlPr>
            </control>
          </mc:Choice>
        </mc:AlternateContent>
        <mc:AlternateContent xmlns:mc="http://schemas.openxmlformats.org/markup-compatibility/2006">
          <mc:Choice Requires="x14">
            <control shapeId="1252" r:id="rId230" name="Check Box 228">
              <controlPr defaultSize="0" autoFill="0" autoLine="0" autoPict="0">
                <anchor moveWithCells="1">
                  <from>
                    <xdr:col>0</xdr:col>
                    <xdr:colOff>276225</xdr:colOff>
                    <xdr:row>228</xdr:row>
                    <xdr:rowOff>9525</xdr:rowOff>
                  </from>
                  <to>
                    <xdr:col>3</xdr:col>
                    <xdr:colOff>95250</xdr:colOff>
                    <xdr:row>228</xdr:row>
                    <xdr:rowOff>485775</xdr:rowOff>
                  </to>
                </anchor>
              </controlPr>
            </control>
          </mc:Choice>
        </mc:AlternateContent>
        <mc:AlternateContent xmlns:mc="http://schemas.openxmlformats.org/markup-compatibility/2006">
          <mc:Choice Requires="x14">
            <control shapeId="1253" r:id="rId231" name="Check Box 229">
              <controlPr defaultSize="0" autoFill="0" autoLine="0" autoPict="0">
                <anchor moveWithCells="1">
                  <from>
                    <xdr:col>0</xdr:col>
                    <xdr:colOff>276225</xdr:colOff>
                    <xdr:row>229</xdr:row>
                    <xdr:rowOff>9525</xdr:rowOff>
                  </from>
                  <to>
                    <xdr:col>3</xdr:col>
                    <xdr:colOff>95250</xdr:colOff>
                    <xdr:row>229</xdr:row>
                    <xdr:rowOff>485775</xdr:rowOff>
                  </to>
                </anchor>
              </controlPr>
            </control>
          </mc:Choice>
        </mc:AlternateContent>
        <mc:AlternateContent xmlns:mc="http://schemas.openxmlformats.org/markup-compatibility/2006">
          <mc:Choice Requires="x14">
            <control shapeId="1254" r:id="rId232" name="Check Box 230">
              <controlPr defaultSize="0" autoFill="0" autoLine="0" autoPict="0">
                <anchor moveWithCells="1">
                  <from>
                    <xdr:col>0</xdr:col>
                    <xdr:colOff>276225</xdr:colOff>
                    <xdr:row>230</xdr:row>
                    <xdr:rowOff>9525</xdr:rowOff>
                  </from>
                  <to>
                    <xdr:col>3</xdr:col>
                    <xdr:colOff>95250</xdr:colOff>
                    <xdr:row>230</xdr:row>
                    <xdr:rowOff>485775</xdr:rowOff>
                  </to>
                </anchor>
              </controlPr>
            </control>
          </mc:Choice>
        </mc:AlternateContent>
        <mc:AlternateContent xmlns:mc="http://schemas.openxmlformats.org/markup-compatibility/2006">
          <mc:Choice Requires="x14">
            <control shapeId="1255" r:id="rId233" name="Check Box 231">
              <controlPr defaultSize="0" autoFill="0" autoLine="0" autoPict="0">
                <anchor moveWithCells="1">
                  <from>
                    <xdr:col>0</xdr:col>
                    <xdr:colOff>276225</xdr:colOff>
                    <xdr:row>231</xdr:row>
                    <xdr:rowOff>9525</xdr:rowOff>
                  </from>
                  <to>
                    <xdr:col>3</xdr:col>
                    <xdr:colOff>95250</xdr:colOff>
                    <xdr:row>231</xdr:row>
                    <xdr:rowOff>485775</xdr:rowOff>
                  </to>
                </anchor>
              </controlPr>
            </control>
          </mc:Choice>
        </mc:AlternateContent>
        <mc:AlternateContent xmlns:mc="http://schemas.openxmlformats.org/markup-compatibility/2006">
          <mc:Choice Requires="x14">
            <control shapeId="1256" r:id="rId234" name="Check Box 232">
              <controlPr defaultSize="0" autoFill="0" autoLine="0" autoPict="0">
                <anchor moveWithCells="1">
                  <from>
                    <xdr:col>0</xdr:col>
                    <xdr:colOff>276225</xdr:colOff>
                    <xdr:row>232</xdr:row>
                    <xdr:rowOff>9525</xdr:rowOff>
                  </from>
                  <to>
                    <xdr:col>3</xdr:col>
                    <xdr:colOff>95250</xdr:colOff>
                    <xdr:row>232</xdr:row>
                    <xdr:rowOff>485775</xdr:rowOff>
                  </to>
                </anchor>
              </controlPr>
            </control>
          </mc:Choice>
        </mc:AlternateContent>
        <mc:AlternateContent xmlns:mc="http://schemas.openxmlformats.org/markup-compatibility/2006">
          <mc:Choice Requires="x14">
            <control shapeId="1257" r:id="rId235" name="Check Box 233">
              <controlPr defaultSize="0" autoFill="0" autoLine="0" autoPict="0">
                <anchor moveWithCells="1">
                  <from>
                    <xdr:col>0</xdr:col>
                    <xdr:colOff>276225</xdr:colOff>
                    <xdr:row>233</xdr:row>
                    <xdr:rowOff>9525</xdr:rowOff>
                  </from>
                  <to>
                    <xdr:col>3</xdr:col>
                    <xdr:colOff>95250</xdr:colOff>
                    <xdr:row>233</xdr:row>
                    <xdr:rowOff>485775</xdr:rowOff>
                  </to>
                </anchor>
              </controlPr>
            </control>
          </mc:Choice>
        </mc:AlternateContent>
        <mc:AlternateContent xmlns:mc="http://schemas.openxmlformats.org/markup-compatibility/2006">
          <mc:Choice Requires="x14">
            <control shapeId="1258" r:id="rId236" name="Check Box 234">
              <controlPr defaultSize="0" autoFill="0" autoLine="0" autoPict="0">
                <anchor moveWithCells="1">
                  <from>
                    <xdr:col>0</xdr:col>
                    <xdr:colOff>276225</xdr:colOff>
                    <xdr:row>234</xdr:row>
                    <xdr:rowOff>9525</xdr:rowOff>
                  </from>
                  <to>
                    <xdr:col>3</xdr:col>
                    <xdr:colOff>95250</xdr:colOff>
                    <xdr:row>234</xdr:row>
                    <xdr:rowOff>485775</xdr:rowOff>
                  </to>
                </anchor>
              </controlPr>
            </control>
          </mc:Choice>
        </mc:AlternateContent>
        <mc:AlternateContent xmlns:mc="http://schemas.openxmlformats.org/markup-compatibility/2006">
          <mc:Choice Requires="x14">
            <control shapeId="1259" r:id="rId237" name="Check Box 235">
              <controlPr defaultSize="0" autoFill="0" autoLine="0" autoPict="0">
                <anchor moveWithCells="1">
                  <from>
                    <xdr:col>0</xdr:col>
                    <xdr:colOff>276225</xdr:colOff>
                    <xdr:row>235</xdr:row>
                    <xdr:rowOff>9525</xdr:rowOff>
                  </from>
                  <to>
                    <xdr:col>3</xdr:col>
                    <xdr:colOff>95250</xdr:colOff>
                    <xdr:row>235</xdr:row>
                    <xdr:rowOff>485775</xdr:rowOff>
                  </to>
                </anchor>
              </controlPr>
            </control>
          </mc:Choice>
        </mc:AlternateContent>
        <mc:AlternateContent xmlns:mc="http://schemas.openxmlformats.org/markup-compatibility/2006">
          <mc:Choice Requires="x14">
            <control shapeId="1260" r:id="rId238" name="Check Box 236">
              <controlPr defaultSize="0" autoFill="0" autoLine="0" autoPict="0">
                <anchor moveWithCells="1">
                  <from>
                    <xdr:col>0</xdr:col>
                    <xdr:colOff>276225</xdr:colOff>
                    <xdr:row>236</xdr:row>
                    <xdr:rowOff>9525</xdr:rowOff>
                  </from>
                  <to>
                    <xdr:col>3</xdr:col>
                    <xdr:colOff>95250</xdr:colOff>
                    <xdr:row>236</xdr:row>
                    <xdr:rowOff>485775</xdr:rowOff>
                  </to>
                </anchor>
              </controlPr>
            </control>
          </mc:Choice>
        </mc:AlternateContent>
        <mc:AlternateContent xmlns:mc="http://schemas.openxmlformats.org/markup-compatibility/2006">
          <mc:Choice Requires="x14">
            <control shapeId="1261" r:id="rId239" name="Check Box 237">
              <controlPr defaultSize="0" autoFill="0" autoLine="0" autoPict="0">
                <anchor moveWithCells="1">
                  <from>
                    <xdr:col>0</xdr:col>
                    <xdr:colOff>276225</xdr:colOff>
                    <xdr:row>237</xdr:row>
                    <xdr:rowOff>9525</xdr:rowOff>
                  </from>
                  <to>
                    <xdr:col>3</xdr:col>
                    <xdr:colOff>95250</xdr:colOff>
                    <xdr:row>237</xdr:row>
                    <xdr:rowOff>485775</xdr:rowOff>
                  </to>
                </anchor>
              </controlPr>
            </control>
          </mc:Choice>
        </mc:AlternateContent>
        <mc:AlternateContent xmlns:mc="http://schemas.openxmlformats.org/markup-compatibility/2006">
          <mc:Choice Requires="x14">
            <control shapeId="1262" r:id="rId240" name="Check Box 238">
              <controlPr defaultSize="0" autoFill="0" autoLine="0" autoPict="0">
                <anchor moveWithCells="1">
                  <from>
                    <xdr:col>0</xdr:col>
                    <xdr:colOff>276225</xdr:colOff>
                    <xdr:row>238</xdr:row>
                    <xdr:rowOff>9525</xdr:rowOff>
                  </from>
                  <to>
                    <xdr:col>3</xdr:col>
                    <xdr:colOff>95250</xdr:colOff>
                    <xdr:row>238</xdr:row>
                    <xdr:rowOff>485775</xdr:rowOff>
                  </to>
                </anchor>
              </controlPr>
            </control>
          </mc:Choice>
        </mc:AlternateContent>
        <mc:AlternateContent xmlns:mc="http://schemas.openxmlformats.org/markup-compatibility/2006">
          <mc:Choice Requires="x14">
            <control shapeId="1263" r:id="rId241" name="Check Box 239">
              <controlPr defaultSize="0" autoFill="0" autoLine="0" autoPict="0">
                <anchor moveWithCells="1">
                  <from>
                    <xdr:col>0</xdr:col>
                    <xdr:colOff>276225</xdr:colOff>
                    <xdr:row>239</xdr:row>
                    <xdr:rowOff>9525</xdr:rowOff>
                  </from>
                  <to>
                    <xdr:col>3</xdr:col>
                    <xdr:colOff>95250</xdr:colOff>
                    <xdr:row>239</xdr:row>
                    <xdr:rowOff>485775</xdr:rowOff>
                  </to>
                </anchor>
              </controlPr>
            </control>
          </mc:Choice>
        </mc:AlternateContent>
        <mc:AlternateContent xmlns:mc="http://schemas.openxmlformats.org/markup-compatibility/2006">
          <mc:Choice Requires="x14">
            <control shapeId="1264" r:id="rId242" name="Check Box 240">
              <controlPr defaultSize="0" autoFill="0" autoLine="0" autoPict="0">
                <anchor moveWithCells="1">
                  <from>
                    <xdr:col>0</xdr:col>
                    <xdr:colOff>276225</xdr:colOff>
                    <xdr:row>240</xdr:row>
                    <xdr:rowOff>9525</xdr:rowOff>
                  </from>
                  <to>
                    <xdr:col>3</xdr:col>
                    <xdr:colOff>95250</xdr:colOff>
                    <xdr:row>240</xdr:row>
                    <xdr:rowOff>485775</xdr:rowOff>
                  </to>
                </anchor>
              </controlPr>
            </control>
          </mc:Choice>
        </mc:AlternateContent>
        <mc:AlternateContent xmlns:mc="http://schemas.openxmlformats.org/markup-compatibility/2006">
          <mc:Choice Requires="x14">
            <control shapeId="1265" r:id="rId243" name="Check Box 241">
              <controlPr defaultSize="0" autoFill="0" autoLine="0" autoPict="0">
                <anchor moveWithCells="1">
                  <from>
                    <xdr:col>0</xdr:col>
                    <xdr:colOff>276225</xdr:colOff>
                    <xdr:row>241</xdr:row>
                    <xdr:rowOff>9525</xdr:rowOff>
                  </from>
                  <to>
                    <xdr:col>3</xdr:col>
                    <xdr:colOff>95250</xdr:colOff>
                    <xdr:row>241</xdr:row>
                    <xdr:rowOff>485775</xdr:rowOff>
                  </to>
                </anchor>
              </controlPr>
            </control>
          </mc:Choice>
        </mc:AlternateContent>
        <mc:AlternateContent xmlns:mc="http://schemas.openxmlformats.org/markup-compatibility/2006">
          <mc:Choice Requires="x14">
            <control shapeId="1266" r:id="rId244" name="Check Box 242">
              <controlPr defaultSize="0" autoFill="0" autoLine="0" autoPict="0">
                <anchor moveWithCells="1">
                  <from>
                    <xdr:col>0</xdr:col>
                    <xdr:colOff>276225</xdr:colOff>
                    <xdr:row>242</xdr:row>
                    <xdr:rowOff>9525</xdr:rowOff>
                  </from>
                  <to>
                    <xdr:col>3</xdr:col>
                    <xdr:colOff>95250</xdr:colOff>
                    <xdr:row>242</xdr:row>
                    <xdr:rowOff>485775</xdr:rowOff>
                  </to>
                </anchor>
              </controlPr>
            </control>
          </mc:Choice>
        </mc:AlternateContent>
        <mc:AlternateContent xmlns:mc="http://schemas.openxmlformats.org/markup-compatibility/2006">
          <mc:Choice Requires="x14">
            <control shapeId="1267" r:id="rId245" name="Check Box 243">
              <controlPr defaultSize="0" autoFill="0" autoLine="0" autoPict="0">
                <anchor moveWithCells="1">
                  <from>
                    <xdr:col>0</xdr:col>
                    <xdr:colOff>276225</xdr:colOff>
                    <xdr:row>243</xdr:row>
                    <xdr:rowOff>9525</xdr:rowOff>
                  </from>
                  <to>
                    <xdr:col>3</xdr:col>
                    <xdr:colOff>95250</xdr:colOff>
                    <xdr:row>243</xdr:row>
                    <xdr:rowOff>485775</xdr:rowOff>
                  </to>
                </anchor>
              </controlPr>
            </control>
          </mc:Choice>
        </mc:AlternateContent>
        <mc:AlternateContent xmlns:mc="http://schemas.openxmlformats.org/markup-compatibility/2006">
          <mc:Choice Requires="x14">
            <control shapeId="1268" r:id="rId246" name="Check Box 244">
              <controlPr defaultSize="0" autoFill="0" autoLine="0" autoPict="0">
                <anchor moveWithCells="1">
                  <from>
                    <xdr:col>0</xdr:col>
                    <xdr:colOff>276225</xdr:colOff>
                    <xdr:row>244</xdr:row>
                    <xdr:rowOff>9525</xdr:rowOff>
                  </from>
                  <to>
                    <xdr:col>3</xdr:col>
                    <xdr:colOff>95250</xdr:colOff>
                    <xdr:row>244</xdr:row>
                    <xdr:rowOff>485775</xdr:rowOff>
                  </to>
                </anchor>
              </controlPr>
            </control>
          </mc:Choice>
        </mc:AlternateContent>
        <mc:AlternateContent xmlns:mc="http://schemas.openxmlformats.org/markup-compatibility/2006">
          <mc:Choice Requires="x14">
            <control shapeId="1269" r:id="rId247" name="Check Box 245">
              <controlPr defaultSize="0" autoFill="0" autoLine="0" autoPict="0">
                <anchor moveWithCells="1">
                  <from>
                    <xdr:col>0</xdr:col>
                    <xdr:colOff>276225</xdr:colOff>
                    <xdr:row>245</xdr:row>
                    <xdr:rowOff>9525</xdr:rowOff>
                  </from>
                  <to>
                    <xdr:col>3</xdr:col>
                    <xdr:colOff>95250</xdr:colOff>
                    <xdr:row>245</xdr:row>
                    <xdr:rowOff>485775</xdr:rowOff>
                  </to>
                </anchor>
              </controlPr>
            </control>
          </mc:Choice>
        </mc:AlternateContent>
        <mc:AlternateContent xmlns:mc="http://schemas.openxmlformats.org/markup-compatibility/2006">
          <mc:Choice Requires="x14">
            <control shapeId="1270" r:id="rId248" name="Check Box 246">
              <controlPr defaultSize="0" autoFill="0" autoLine="0" autoPict="0">
                <anchor moveWithCells="1">
                  <from>
                    <xdr:col>0</xdr:col>
                    <xdr:colOff>276225</xdr:colOff>
                    <xdr:row>246</xdr:row>
                    <xdr:rowOff>9525</xdr:rowOff>
                  </from>
                  <to>
                    <xdr:col>3</xdr:col>
                    <xdr:colOff>95250</xdr:colOff>
                    <xdr:row>246</xdr:row>
                    <xdr:rowOff>485775</xdr:rowOff>
                  </to>
                </anchor>
              </controlPr>
            </control>
          </mc:Choice>
        </mc:AlternateContent>
        <mc:AlternateContent xmlns:mc="http://schemas.openxmlformats.org/markup-compatibility/2006">
          <mc:Choice Requires="x14">
            <control shapeId="1271" r:id="rId249" name="Check Box 247">
              <controlPr defaultSize="0" autoFill="0" autoLine="0" autoPict="0">
                <anchor moveWithCells="1">
                  <from>
                    <xdr:col>0</xdr:col>
                    <xdr:colOff>276225</xdr:colOff>
                    <xdr:row>247</xdr:row>
                    <xdr:rowOff>9525</xdr:rowOff>
                  </from>
                  <to>
                    <xdr:col>3</xdr:col>
                    <xdr:colOff>95250</xdr:colOff>
                    <xdr:row>247</xdr:row>
                    <xdr:rowOff>485775</xdr:rowOff>
                  </to>
                </anchor>
              </controlPr>
            </control>
          </mc:Choice>
        </mc:AlternateContent>
        <mc:AlternateContent xmlns:mc="http://schemas.openxmlformats.org/markup-compatibility/2006">
          <mc:Choice Requires="x14">
            <control shapeId="1272" r:id="rId250" name="Check Box 248">
              <controlPr defaultSize="0" autoFill="0" autoLine="0" autoPict="0">
                <anchor moveWithCells="1">
                  <from>
                    <xdr:col>0</xdr:col>
                    <xdr:colOff>276225</xdr:colOff>
                    <xdr:row>248</xdr:row>
                    <xdr:rowOff>9525</xdr:rowOff>
                  </from>
                  <to>
                    <xdr:col>3</xdr:col>
                    <xdr:colOff>95250</xdr:colOff>
                    <xdr:row>248</xdr:row>
                    <xdr:rowOff>485775</xdr:rowOff>
                  </to>
                </anchor>
              </controlPr>
            </control>
          </mc:Choice>
        </mc:AlternateContent>
        <mc:AlternateContent xmlns:mc="http://schemas.openxmlformats.org/markup-compatibility/2006">
          <mc:Choice Requires="x14">
            <control shapeId="1273" r:id="rId251" name="Check Box 249">
              <controlPr defaultSize="0" autoFill="0" autoLine="0" autoPict="0">
                <anchor moveWithCells="1">
                  <from>
                    <xdr:col>0</xdr:col>
                    <xdr:colOff>276225</xdr:colOff>
                    <xdr:row>249</xdr:row>
                    <xdr:rowOff>9525</xdr:rowOff>
                  </from>
                  <to>
                    <xdr:col>3</xdr:col>
                    <xdr:colOff>95250</xdr:colOff>
                    <xdr:row>249</xdr:row>
                    <xdr:rowOff>485775</xdr:rowOff>
                  </to>
                </anchor>
              </controlPr>
            </control>
          </mc:Choice>
        </mc:AlternateContent>
        <mc:AlternateContent xmlns:mc="http://schemas.openxmlformats.org/markup-compatibility/2006">
          <mc:Choice Requires="x14">
            <control shapeId="1274" r:id="rId252" name="Check Box 250">
              <controlPr defaultSize="0" autoFill="0" autoLine="0" autoPict="0">
                <anchor moveWithCells="1">
                  <from>
                    <xdr:col>0</xdr:col>
                    <xdr:colOff>276225</xdr:colOff>
                    <xdr:row>250</xdr:row>
                    <xdr:rowOff>9525</xdr:rowOff>
                  </from>
                  <to>
                    <xdr:col>3</xdr:col>
                    <xdr:colOff>95250</xdr:colOff>
                    <xdr:row>250</xdr:row>
                    <xdr:rowOff>485775</xdr:rowOff>
                  </to>
                </anchor>
              </controlPr>
            </control>
          </mc:Choice>
        </mc:AlternateContent>
        <mc:AlternateContent xmlns:mc="http://schemas.openxmlformats.org/markup-compatibility/2006">
          <mc:Choice Requires="x14">
            <control shapeId="1275" r:id="rId253" name="Check Box 251">
              <controlPr defaultSize="0" autoFill="0" autoLine="0" autoPict="0">
                <anchor moveWithCells="1">
                  <from>
                    <xdr:col>0</xdr:col>
                    <xdr:colOff>276225</xdr:colOff>
                    <xdr:row>251</xdr:row>
                    <xdr:rowOff>9525</xdr:rowOff>
                  </from>
                  <to>
                    <xdr:col>3</xdr:col>
                    <xdr:colOff>95250</xdr:colOff>
                    <xdr:row>251</xdr:row>
                    <xdr:rowOff>485775</xdr:rowOff>
                  </to>
                </anchor>
              </controlPr>
            </control>
          </mc:Choice>
        </mc:AlternateContent>
        <mc:AlternateContent xmlns:mc="http://schemas.openxmlformats.org/markup-compatibility/2006">
          <mc:Choice Requires="x14">
            <control shapeId="1276" r:id="rId254" name="Check Box 252">
              <controlPr defaultSize="0" autoFill="0" autoLine="0" autoPict="0">
                <anchor moveWithCells="1">
                  <from>
                    <xdr:col>0</xdr:col>
                    <xdr:colOff>276225</xdr:colOff>
                    <xdr:row>252</xdr:row>
                    <xdr:rowOff>9525</xdr:rowOff>
                  </from>
                  <to>
                    <xdr:col>3</xdr:col>
                    <xdr:colOff>95250</xdr:colOff>
                    <xdr:row>252</xdr:row>
                    <xdr:rowOff>485775</xdr:rowOff>
                  </to>
                </anchor>
              </controlPr>
            </control>
          </mc:Choice>
        </mc:AlternateContent>
        <mc:AlternateContent xmlns:mc="http://schemas.openxmlformats.org/markup-compatibility/2006">
          <mc:Choice Requires="x14">
            <control shapeId="1277" r:id="rId255" name="Check Box 253">
              <controlPr defaultSize="0" autoFill="0" autoLine="0" autoPict="0">
                <anchor moveWithCells="1">
                  <from>
                    <xdr:col>0</xdr:col>
                    <xdr:colOff>276225</xdr:colOff>
                    <xdr:row>253</xdr:row>
                    <xdr:rowOff>9525</xdr:rowOff>
                  </from>
                  <to>
                    <xdr:col>3</xdr:col>
                    <xdr:colOff>95250</xdr:colOff>
                    <xdr:row>253</xdr:row>
                    <xdr:rowOff>485775</xdr:rowOff>
                  </to>
                </anchor>
              </controlPr>
            </control>
          </mc:Choice>
        </mc:AlternateContent>
        <mc:AlternateContent xmlns:mc="http://schemas.openxmlformats.org/markup-compatibility/2006">
          <mc:Choice Requires="x14">
            <control shapeId="1278" r:id="rId256" name="Check Box 254">
              <controlPr defaultSize="0" autoFill="0" autoLine="0" autoPict="0">
                <anchor moveWithCells="1">
                  <from>
                    <xdr:col>0</xdr:col>
                    <xdr:colOff>276225</xdr:colOff>
                    <xdr:row>254</xdr:row>
                    <xdr:rowOff>9525</xdr:rowOff>
                  </from>
                  <to>
                    <xdr:col>3</xdr:col>
                    <xdr:colOff>95250</xdr:colOff>
                    <xdr:row>254</xdr:row>
                    <xdr:rowOff>485775</xdr:rowOff>
                  </to>
                </anchor>
              </controlPr>
            </control>
          </mc:Choice>
        </mc:AlternateContent>
        <mc:AlternateContent xmlns:mc="http://schemas.openxmlformats.org/markup-compatibility/2006">
          <mc:Choice Requires="x14">
            <control shapeId="1279" r:id="rId257" name="Check Box 255">
              <controlPr defaultSize="0" autoFill="0" autoLine="0" autoPict="0">
                <anchor moveWithCells="1">
                  <from>
                    <xdr:col>0</xdr:col>
                    <xdr:colOff>276225</xdr:colOff>
                    <xdr:row>255</xdr:row>
                    <xdr:rowOff>9525</xdr:rowOff>
                  </from>
                  <to>
                    <xdr:col>3</xdr:col>
                    <xdr:colOff>95250</xdr:colOff>
                    <xdr:row>255</xdr:row>
                    <xdr:rowOff>485775</xdr:rowOff>
                  </to>
                </anchor>
              </controlPr>
            </control>
          </mc:Choice>
        </mc:AlternateContent>
        <mc:AlternateContent xmlns:mc="http://schemas.openxmlformats.org/markup-compatibility/2006">
          <mc:Choice Requires="x14">
            <control shapeId="1280" r:id="rId258" name="Check Box 256">
              <controlPr defaultSize="0" autoFill="0" autoLine="0" autoPict="0">
                <anchor moveWithCells="1">
                  <from>
                    <xdr:col>0</xdr:col>
                    <xdr:colOff>276225</xdr:colOff>
                    <xdr:row>256</xdr:row>
                    <xdr:rowOff>9525</xdr:rowOff>
                  </from>
                  <to>
                    <xdr:col>3</xdr:col>
                    <xdr:colOff>95250</xdr:colOff>
                    <xdr:row>256</xdr:row>
                    <xdr:rowOff>485775</xdr:rowOff>
                  </to>
                </anchor>
              </controlPr>
            </control>
          </mc:Choice>
        </mc:AlternateContent>
        <mc:AlternateContent xmlns:mc="http://schemas.openxmlformats.org/markup-compatibility/2006">
          <mc:Choice Requires="x14">
            <control shapeId="1281" r:id="rId259" name="Check Box 257">
              <controlPr defaultSize="0" autoFill="0" autoLine="0" autoPict="0">
                <anchor moveWithCells="1">
                  <from>
                    <xdr:col>0</xdr:col>
                    <xdr:colOff>276225</xdr:colOff>
                    <xdr:row>257</xdr:row>
                    <xdr:rowOff>9525</xdr:rowOff>
                  </from>
                  <to>
                    <xdr:col>3</xdr:col>
                    <xdr:colOff>95250</xdr:colOff>
                    <xdr:row>257</xdr:row>
                    <xdr:rowOff>485775</xdr:rowOff>
                  </to>
                </anchor>
              </controlPr>
            </control>
          </mc:Choice>
        </mc:AlternateContent>
        <mc:AlternateContent xmlns:mc="http://schemas.openxmlformats.org/markup-compatibility/2006">
          <mc:Choice Requires="x14">
            <control shapeId="1282" r:id="rId260" name="Check Box 258">
              <controlPr defaultSize="0" autoFill="0" autoLine="0" autoPict="0">
                <anchor moveWithCells="1">
                  <from>
                    <xdr:col>0</xdr:col>
                    <xdr:colOff>276225</xdr:colOff>
                    <xdr:row>258</xdr:row>
                    <xdr:rowOff>9525</xdr:rowOff>
                  </from>
                  <to>
                    <xdr:col>3</xdr:col>
                    <xdr:colOff>95250</xdr:colOff>
                    <xdr:row>258</xdr:row>
                    <xdr:rowOff>485775</xdr:rowOff>
                  </to>
                </anchor>
              </controlPr>
            </control>
          </mc:Choice>
        </mc:AlternateContent>
        <mc:AlternateContent xmlns:mc="http://schemas.openxmlformats.org/markup-compatibility/2006">
          <mc:Choice Requires="x14">
            <control shapeId="1283" r:id="rId261" name="Check Box 259">
              <controlPr defaultSize="0" autoFill="0" autoLine="0" autoPict="0">
                <anchor moveWithCells="1">
                  <from>
                    <xdr:col>0</xdr:col>
                    <xdr:colOff>276225</xdr:colOff>
                    <xdr:row>259</xdr:row>
                    <xdr:rowOff>9525</xdr:rowOff>
                  </from>
                  <to>
                    <xdr:col>3</xdr:col>
                    <xdr:colOff>95250</xdr:colOff>
                    <xdr:row>259</xdr:row>
                    <xdr:rowOff>485775</xdr:rowOff>
                  </to>
                </anchor>
              </controlPr>
            </control>
          </mc:Choice>
        </mc:AlternateContent>
        <mc:AlternateContent xmlns:mc="http://schemas.openxmlformats.org/markup-compatibility/2006">
          <mc:Choice Requires="x14">
            <control shapeId="1284" r:id="rId262" name="Check Box 260">
              <controlPr defaultSize="0" autoFill="0" autoLine="0" autoPict="0">
                <anchor moveWithCells="1">
                  <from>
                    <xdr:col>0</xdr:col>
                    <xdr:colOff>276225</xdr:colOff>
                    <xdr:row>260</xdr:row>
                    <xdr:rowOff>9525</xdr:rowOff>
                  </from>
                  <to>
                    <xdr:col>3</xdr:col>
                    <xdr:colOff>95250</xdr:colOff>
                    <xdr:row>260</xdr:row>
                    <xdr:rowOff>485775</xdr:rowOff>
                  </to>
                </anchor>
              </controlPr>
            </control>
          </mc:Choice>
        </mc:AlternateContent>
        <mc:AlternateContent xmlns:mc="http://schemas.openxmlformats.org/markup-compatibility/2006">
          <mc:Choice Requires="x14">
            <control shapeId="1285" r:id="rId263" name="Check Box 261">
              <controlPr defaultSize="0" autoFill="0" autoLine="0" autoPict="0">
                <anchor moveWithCells="1">
                  <from>
                    <xdr:col>0</xdr:col>
                    <xdr:colOff>276225</xdr:colOff>
                    <xdr:row>261</xdr:row>
                    <xdr:rowOff>9525</xdr:rowOff>
                  </from>
                  <to>
                    <xdr:col>3</xdr:col>
                    <xdr:colOff>95250</xdr:colOff>
                    <xdr:row>261</xdr:row>
                    <xdr:rowOff>485775</xdr:rowOff>
                  </to>
                </anchor>
              </controlPr>
            </control>
          </mc:Choice>
        </mc:AlternateContent>
        <mc:AlternateContent xmlns:mc="http://schemas.openxmlformats.org/markup-compatibility/2006">
          <mc:Choice Requires="x14">
            <control shapeId="1286" r:id="rId264" name="Check Box 262">
              <controlPr defaultSize="0" autoFill="0" autoLine="0" autoPict="0">
                <anchor moveWithCells="1">
                  <from>
                    <xdr:col>0</xdr:col>
                    <xdr:colOff>276225</xdr:colOff>
                    <xdr:row>262</xdr:row>
                    <xdr:rowOff>9525</xdr:rowOff>
                  </from>
                  <to>
                    <xdr:col>3</xdr:col>
                    <xdr:colOff>95250</xdr:colOff>
                    <xdr:row>262</xdr:row>
                    <xdr:rowOff>485775</xdr:rowOff>
                  </to>
                </anchor>
              </controlPr>
            </control>
          </mc:Choice>
        </mc:AlternateContent>
        <mc:AlternateContent xmlns:mc="http://schemas.openxmlformats.org/markup-compatibility/2006">
          <mc:Choice Requires="x14">
            <control shapeId="1287" r:id="rId265" name="Check Box 263">
              <controlPr defaultSize="0" autoFill="0" autoLine="0" autoPict="0">
                <anchor moveWithCells="1">
                  <from>
                    <xdr:col>0</xdr:col>
                    <xdr:colOff>276225</xdr:colOff>
                    <xdr:row>263</xdr:row>
                    <xdr:rowOff>9525</xdr:rowOff>
                  </from>
                  <to>
                    <xdr:col>3</xdr:col>
                    <xdr:colOff>95250</xdr:colOff>
                    <xdr:row>263</xdr:row>
                    <xdr:rowOff>485775</xdr:rowOff>
                  </to>
                </anchor>
              </controlPr>
            </control>
          </mc:Choice>
        </mc:AlternateContent>
        <mc:AlternateContent xmlns:mc="http://schemas.openxmlformats.org/markup-compatibility/2006">
          <mc:Choice Requires="x14">
            <control shapeId="1288" r:id="rId266" name="Check Box 264">
              <controlPr defaultSize="0" autoFill="0" autoLine="0" autoPict="0">
                <anchor moveWithCells="1">
                  <from>
                    <xdr:col>0</xdr:col>
                    <xdr:colOff>276225</xdr:colOff>
                    <xdr:row>264</xdr:row>
                    <xdr:rowOff>9525</xdr:rowOff>
                  </from>
                  <to>
                    <xdr:col>3</xdr:col>
                    <xdr:colOff>95250</xdr:colOff>
                    <xdr:row>264</xdr:row>
                    <xdr:rowOff>485775</xdr:rowOff>
                  </to>
                </anchor>
              </controlPr>
            </control>
          </mc:Choice>
        </mc:AlternateContent>
        <mc:AlternateContent xmlns:mc="http://schemas.openxmlformats.org/markup-compatibility/2006">
          <mc:Choice Requires="x14">
            <control shapeId="1289" r:id="rId267" name="Check Box 265">
              <controlPr defaultSize="0" autoFill="0" autoLine="0" autoPict="0">
                <anchor moveWithCells="1">
                  <from>
                    <xdr:col>0</xdr:col>
                    <xdr:colOff>276225</xdr:colOff>
                    <xdr:row>265</xdr:row>
                    <xdr:rowOff>9525</xdr:rowOff>
                  </from>
                  <to>
                    <xdr:col>3</xdr:col>
                    <xdr:colOff>95250</xdr:colOff>
                    <xdr:row>265</xdr:row>
                    <xdr:rowOff>485775</xdr:rowOff>
                  </to>
                </anchor>
              </controlPr>
            </control>
          </mc:Choice>
        </mc:AlternateContent>
        <mc:AlternateContent xmlns:mc="http://schemas.openxmlformats.org/markup-compatibility/2006">
          <mc:Choice Requires="x14">
            <control shapeId="1290" r:id="rId268" name="Check Box 266">
              <controlPr defaultSize="0" autoFill="0" autoLine="0" autoPict="0">
                <anchor moveWithCells="1">
                  <from>
                    <xdr:col>0</xdr:col>
                    <xdr:colOff>276225</xdr:colOff>
                    <xdr:row>266</xdr:row>
                    <xdr:rowOff>9525</xdr:rowOff>
                  </from>
                  <to>
                    <xdr:col>3</xdr:col>
                    <xdr:colOff>95250</xdr:colOff>
                    <xdr:row>266</xdr:row>
                    <xdr:rowOff>485775</xdr:rowOff>
                  </to>
                </anchor>
              </controlPr>
            </control>
          </mc:Choice>
        </mc:AlternateContent>
        <mc:AlternateContent xmlns:mc="http://schemas.openxmlformats.org/markup-compatibility/2006">
          <mc:Choice Requires="x14">
            <control shapeId="1291" r:id="rId269" name="Check Box 267">
              <controlPr defaultSize="0" autoFill="0" autoLine="0" autoPict="0">
                <anchor moveWithCells="1">
                  <from>
                    <xdr:col>0</xdr:col>
                    <xdr:colOff>276225</xdr:colOff>
                    <xdr:row>267</xdr:row>
                    <xdr:rowOff>9525</xdr:rowOff>
                  </from>
                  <to>
                    <xdr:col>3</xdr:col>
                    <xdr:colOff>95250</xdr:colOff>
                    <xdr:row>267</xdr:row>
                    <xdr:rowOff>485775</xdr:rowOff>
                  </to>
                </anchor>
              </controlPr>
            </control>
          </mc:Choice>
        </mc:AlternateContent>
        <mc:AlternateContent xmlns:mc="http://schemas.openxmlformats.org/markup-compatibility/2006">
          <mc:Choice Requires="x14">
            <control shapeId="1292" r:id="rId270" name="Check Box 268">
              <controlPr defaultSize="0" autoFill="0" autoLine="0" autoPict="0">
                <anchor moveWithCells="1">
                  <from>
                    <xdr:col>0</xdr:col>
                    <xdr:colOff>276225</xdr:colOff>
                    <xdr:row>268</xdr:row>
                    <xdr:rowOff>9525</xdr:rowOff>
                  </from>
                  <to>
                    <xdr:col>3</xdr:col>
                    <xdr:colOff>95250</xdr:colOff>
                    <xdr:row>268</xdr:row>
                    <xdr:rowOff>485775</xdr:rowOff>
                  </to>
                </anchor>
              </controlPr>
            </control>
          </mc:Choice>
        </mc:AlternateContent>
        <mc:AlternateContent xmlns:mc="http://schemas.openxmlformats.org/markup-compatibility/2006">
          <mc:Choice Requires="x14">
            <control shapeId="1293" r:id="rId271" name="Check Box 269">
              <controlPr defaultSize="0" autoFill="0" autoLine="0" autoPict="0">
                <anchor moveWithCells="1">
                  <from>
                    <xdr:col>0</xdr:col>
                    <xdr:colOff>276225</xdr:colOff>
                    <xdr:row>269</xdr:row>
                    <xdr:rowOff>9525</xdr:rowOff>
                  </from>
                  <to>
                    <xdr:col>3</xdr:col>
                    <xdr:colOff>95250</xdr:colOff>
                    <xdr:row>269</xdr:row>
                    <xdr:rowOff>485775</xdr:rowOff>
                  </to>
                </anchor>
              </controlPr>
            </control>
          </mc:Choice>
        </mc:AlternateContent>
        <mc:AlternateContent xmlns:mc="http://schemas.openxmlformats.org/markup-compatibility/2006">
          <mc:Choice Requires="x14">
            <control shapeId="1294" r:id="rId272" name="Check Box 270">
              <controlPr defaultSize="0" autoFill="0" autoLine="0" autoPict="0">
                <anchor moveWithCells="1">
                  <from>
                    <xdr:col>0</xdr:col>
                    <xdr:colOff>276225</xdr:colOff>
                    <xdr:row>270</xdr:row>
                    <xdr:rowOff>9525</xdr:rowOff>
                  </from>
                  <to>
                    <xdr:col>3</xdr:col>
                    <xdr:colOff>95250</xdr:colOff>
                    <xdr:row>270</xdr:row>
                    <xdr:rowOff>485775</xdr:rowOff>
                  </to>
                </anchor>
              </controlPr>
            </control>
          </mc:Choice>
        </mc:AlternateContent>
        <mc:AlternateContent xmlns:mc="http://schemas.openxmlformats.org/markup-compatibility/2006">
          <mc:Choice Requires="x14">
            <control shapeId="1295" r:id="rId273" name="Check Box 271">
              <controlPr defaultSize="0" autoFill="0" autoLine="0" autoPict="0">
                <anchor moveWithCells="1">
                  <from>
                    <xdr:col>0</xdr:col>
                    <xdr:colOff>276225</xdr:colOff>
                    <xdr:row>271</xdr:row>
                    <xdr:rowOff>9525</xdr:rowOff>
                  </from>
                  <to>
                    <xdr:col>3</xdr:col>
                    <xdr:colOff>95250</xdr:colOff>
                    <xdr:row>271</xdr:row>
                    <xdr:rowOff>485775</xdr:rowOff>
                  </to>
                </anchor>
              </controlPr>
            </control>
          </mc:Choice>
        </mc:AlternateContent>
        <mc:AlternateContent xmlns:mc="http://schemas.openxmlformats.org/markup-compatibility/2006">
          <mc:Choice Requires="x14">
            <control shapeId="1296" r:id="rId274" name="Check Box 272">
              <controlPr defaultSize="0" autoFill="0" autoLine="0" autoPict="0">
                <anchor moveWithCells="1">
                  <from>
                    <xdr:col>0</xdr:col>
                    <xdr:colOff>276225</xdr:colOff>
                    <xdr:row>272</xdr:row>
                    <xdr:rowOff>9525</xdr:rowOff>
                  </from>
                  <to>
                    <xdr:col>3</xdr:col>
                    <xdr:colOff>95250</xdr:colOff>
                    <xdr:row>272</xdr:row>
                    <xdr:rowOff>485775</xdr:rowOff>
                  </to>
                </anchor>
              </controlPr>
            </control>
          </mc:Choice>
        </mc:AlternateContent>
        <mc:AlternateContent xmlns:mc="http://schemas.openxmlformats.org/markup-compatibility/2006">
          <mc:Choice Requires="x14">
            <control shapeId="1297" r:id="rId275" name="Check Box 273">
              <controlPr defaultSize="0" autoFill="0" autoLine="0" autoPict="0">
                <anchor moveWithCells="1">
                  <from>
                    <xdr:col>0</xdr:col>
                    <xdr:colOff>276225</xdr:colOff>
                    <xdr:row>273</xdr:row>
                    <xdr:rowOff>9525</xdr:rowOff>
                  </from>
                  <to>
                    <xdr:col>3</xdr:col>
                    <xdr:colOff>95250</xdr:colOff>
                    <xdr:row>273</xdr:row>
                    <xdr:rowOff>485775</xdr:rowOff>
                  </to>
                </anchor>
              </controlPr>
            </control>
          </mc:Choice>
        </mc:AlternateContent>
        <mc:AlternateContent xmlns:mc="http://schemas.openxmlformats.org/markup-compatibility/2006">
          <mc:Choice Requires="x14">
            <control shapeId="1298" r:id="rId276" name="Check Box 274">
              <controlPr defaultSize="0" autoFill="0" autoLine="0" autoPict="0">
                <anchor moveWithCells="1">
                  <from>
                    <xdr:col>0</xdr:col>
                    <xdr:colOff>276225</xdr:colOff>
                    <xdr:row>274</xdr:row>
                    <xdr:rowOff>9525</xdr:rowOff>
                  </from>
                  <to>
                    <xdr:col>3</xdr:col>
                    <xdr:colOff>95250</xdr:colOff>
                    <xdr:row>274</xdr:row>
                    <xdr:rowOff>485775</xdr:rowOff>
                  </to>
                </anchor>
              </controlPr>
            </control>
          </mc:Choice>
        </mc:AlternateContent>
        <mc:AlternateContent xmlns:mc="http://schemas.openxmlformats.org/markup-compatibility/2006">
          <mc:Choice Requires="x14">
            <control shapeId="1299" r:id="rId277" name="Check Box 275">
              <controlPr defaultSize="0" autoFill="0" autoLine="0" autoPict="0">
                <anchor moveWithCells="1">
                  <from>
                    <xdr:col>0</xdr:col>
                    <xdr:colOff>276225</xdr:colOff>
                    <xdr:row>275</xdr:row>
                    <xdr:rowOff>9525</xdr:rowOff>
                  </from>
                  <to>
                    <xdr:col>3</xdr:col>
                    <xdr:colOff>95250</xdr:colOff>
                    <xdr:row>275</xdr:row>
                    <xdr:rowOff>485775</xdr:rowOff>
                  </to>
                </anchor>
              </controlPr>
            </control>
          </mc:Choice>
        </mc:AlternateContent>
        <mc:AlternateContent xmlns:mc="http://schemas.openxmlformats.org/markup-compatibility/2006">
          <mc:Choice Requires="x14">
            <control shapeId="1300" r:id="rId278" name="Check Box 276">
              <controlPr defaultSize="0" autoFill="0" autoLine="0" autoPict="0">
                <anchor moveWithCells="1">
                  <from>
                    <xdr:col>0</xdr:col>
                    <xdr:colOff>276225</xdr:colOff>
                    <xdr:row>276</xdr:row>
                    <xdr:rowOff>9525</xdr:rowOff>
                  </from>
                  <to>
                    <xdr:col>3</xdr:col>
                    <xdr:colOff>95250</xdr:colOff>
                    <xdr:row>276</xdr:row>
                    <xdr:rowOff>485775</xdr:rowOff>
                  </to>
                </anchor>
              </controlPr>
            </control>
          </mc:Choice>
        </mc:AlternateContent>
        <mc:AlternateContent xmlns:mc="http://schemas.openxmlformats.org/markup-compatibility/2006">
          <mc:Choice Requires="x14">
            <control shapeId="1301" r:id="rId279" name="Check Box 277">
              <controlPr defaultSize="0" autoFill="0" autoLine="0" autoPict="0">
                <anchor moveWithCells="1">
                  <from>
                    <xdr:col>0</xdr:col>
                    <xdr:colOff>276225</xdr:colOff>
                    <xdr:row>277</xdr:row>
                    <xdr:rowOff>9525</xdr:rowOff>
                  </from>
                  <to>
                    <xdr:col>3</xdr:col>
                    <xdr:colOff>95250</xdr:colOff>
                    <xdr:row>277</xdr:row>
                    <xdr:rowOff>485775</xdr:rowOff>
                  </to>
                </anchor>
              </controlPr>
            </control>
          </mc:Choice>
        </mc:AlternateContent>
        <mc:AlternateContent xmlns:mc="http://schemas.openxmlformats.org/markup-compatibility/2006">
          <mc:Choice Requires="x14">
            <control shapeId="1302" r:id="rId280" name="Check Box 278">
              <controlPr defaultSize="0" autoFill="0" autoLine="0" autoPict="0">
                <anchor moveWithCells="1">
                  <from>
                    <xdr:col>0</xdr:col>
                    <xdr:colOff>276225</xdr:colOff>
                    <xdr:row>278</xdr:row>
                    <xdr:rowOff>9525</xdr:rowOff>
                  </from>
                  <to>
                    <xdr:col>3</xdr:col>
                    <xdr:colOff>95250</xdr:colOff>
                    <xdr:row>278</xdr:row>
                    <xdr:rowOff>485775</xdr:rowOff>
                  </to>
                </anchor>
              </controlPr>
            </control>
          </mc:Choice>
        </mc:AlternateContent>
        <mc:AlternateContent xmlns:mc="http://schemas.openxmlformats.org/markup-compatibility/2006">
          <mc:Choice Requires="x14">
            <control shapeId="1303" r:id="rId281" name="Check Box 279">
              <controlPr defaultSize="0" autoFill="0" autoLine="0" autoPict="0">
                <anchor moveWithCells="1">
                  <from>
                    <xdr:col>0</xdr:col>
                    <xdr:colOff>276225</xdr:colOff>
                    <xdr:row>279</xdr:row>
                    <xdr:rowOff>9525</xdr:rowOff>
                  </from>
                  <to>
                    <xdr:col>3</xdr:col>
                    <xdr:colOff>95250</xdr:colOff>
                    <xdr:row>279</xdr:row>
                    <xdr:rowOff>485775</xdr:rowOff>
                  </to>
                </anchor>
              </controlPr>
            </control>
          </mc:Choice>
        </mc:AlternateContent>
        <mc:AlternateContent xmlns:mc="http://schemas.openxmlformats.org/markup-compatibility/2006">
          <mc:Choice Requires="x14">
            <control shapeId="1304" r:id="rId282" name="Check Box 280">
              <controlPr defaultSize="0" autoFill="0" autoLine="0" autoPict="0">
                <anchor moveWithCells="1">
                  <from>
                    <xdr:col>0</xdr:col>
                    <xdr:colOff>276225</xdr:colOff>
                    <xdr:row>280</xdr:row>
                    <xdr:rowOff>9525</xdr:rowOff>
                  </from>
                  <to>
                    <xdr:col>3</xdr:col>
                    <xdr:colOff>95250</xdr:colOff>
                    <xdr:row>280</xdr:row>
                    <xdr:rowOff>485775</xdr:rowOff>
                  </to>
                </anchor>
              </controlPr>
            </control>
          </mc:Choice>
        </mc:AlternateContent>
        <mc:AlternateContent xmlns:mc="http://schemas.openxmlformats.org/markup-compatibility/2006">
          <mc:Choice Requires="x14">
            <control shapeId="1305" r:id="rId283" name="Check Box 281">
              <controlPr defaultSize="0" autoFill="0" autoLine="0" autoPict="0">
                <anchor moveWithCells="1">
                  <from>
                    <xdr:col>0</xdr:col>
                    <xdr:colOff>276225</xdr:colOff>
                    <xdr:row>281</xdr:row>
                    <xdr:rowOff>9525</xdr:rowOff>
                  </from>
                  <to>
                    <xdr:col>3</xdr:col>
                    <xdr:colOff>95250</xdr:colOff>
                    <xdr:row>281</xdr:row>
                    <xdr:rowOff>485775</xdr:rowOff>
                  </to>
                </anchor>
              </controlPr>
            </control>
          </mc:Choice>
        </mc:AlternateContent>
        <mc:AlternateContent xmlns:mc="http://schemas.openxmlformats.org/markup-compatibility/2006">
          <mc:Choice Requires="x14">
            <control shapeId="1306" r:id="rId284" name="Check Box 282">
              <controlPr defaultSize="0" autoFill="0" autoLine="0" autoPict="0">
                <anchor moveWithCells="1">
                  <from>
                    <xdr:col>0</xdr:col>
                    <xdr:colOff>276225</xdr:colOff>
                    <xdr:row>282</xdr:row>
                    <xdr:rowOff>9525</xdr:rowOff>
                  </from>
                  <to>
                    <xdr:col>3</xdr:col>
                    <xdr:colOff>95250</xdr:colOff>
                    <xdr:row>282</xdr:row>
                    <xdr:rowOff>485775</xdr:rowOff>
                  </to>
                </anchor>
              </controlPr>
            </control>
          </mc:Choice>
        </mc:AlternateContent>
        <mc:AlternateContent xmlns:mc="http://schemas.openxmlformats.org/markup-compatibility/2006">
          <mc:Choice Requires="x14">
            <control shapeId="1307" r:id="rId285" name="Check Box 283">
              <controlPr defaultSize="0" autoFill="0" autoLine="0" autoPict="0">
                <anchor moveWithCells="1">
                  <from>
                    <xdr:col>0</xdr:col>
                    <xdr:colOff>276225</xdr:colOff>
                    <xdr:row>283</xdr:row>
                    <xdr:rowOff>9525</xdr:rowOff>
                  </from>
                  <to>
                    <xdr:col>3</xdr:col>
                    <xdr:colOff>95250</xdr:colOff>
                    <xdr:row>283</xdr:row>
                    <xdr:rowOff>485775</xdr:rowOff>
                  </to>
                </anchor>
              </controlPr>
            </control>
          </mc:Choice>
        </mc:AlternateContent>
        <mc:AlternateContent xmlns:mc="http://schemas.openxmlformats.org/markup-compatibility/2006">
          <mc:Choice Requires="x14">
            <control shapeId="1308" r:id="rId286" name="Check Box 284">
              <controlPr defaultSize="0" autoFill="0" autoLine="0" autoPict="0">
                <anchor moveWithCells="1">
                  <from>
                    <xdr:col>0</xdr:col>
                    <xdr:colOff>276225</xdr:colOff>
                    <xdr:row>284</xdr:row>
                    <xdr:rowOff>9525</xdr:rowOff>
                  </from>
                  <to>
                    <xdr:col>3</xdr:col>
                    <xdr:colOff>95250</xdr:colOff>
                    <xdr:row>284</xdr:row>
                    <xdr:rowOff>485775</xdr:rowOff>
                  </to>
                </anchor>
              </controlPr>
            </control>
          </mc:Choice>
        </mc:AlternateContent>
        <mc:AlternateContent xmlns:mc="http://schemas.openxmlformats.org/markup-compatibility/2006">
          <mc:Choice Requires="x14">
            <control shapeId="1309" r:id="rId287" name="Check Box 285">
              <controlPr defaultSize="0" autoFill="0" autoLine="0" autoPict="0">
                <anchor moveWithCells="1">
                  <from>
                    <xdr:col>0</xdr:col>
                    <xdr:colOff>276225</xdr:colOff>
                    <xdr:row>285</xdr:row>
                    <xdr:rowOff>9525</xdr:rowOff>
                  </from>
                  <to>
                    <xdr:col>3</xdr:col>
                    <xdr:colOff>95250</xdr:colOff>
                    <xdr:row>285</xdr:row>
                    <xdr:rowOff>485775</xdr:rowOff>
                  </to>
                </anchor>
              </controlPr>
            </control>
          </mc:Choice>
        </mc:AlternateContent>
        <mc:AlternateContent xmlns:mc="http://schemas.openxmlformats.org/markup-compatibility/2006">
          <mc:Choice Requires="x14">
            <control shapeId="1310" r:id="rId288" name="Check Box 286">
              <controlPr defaultSize="0" autoFill="0" autoLine="0" autoPict="0">
                <anchor moveWithCells="1">
                  <from>
                    <xdr:col>0</xdr:col>
                    <xdr:colOff>276225</xdr:colOff>
                    <xdr:row>286</xdr:row>
                    <xdr:rowOff>9525</xdr:rowOff>
                  </from>
                  <to>
                    <xdr:col>3</xdr:col>
                    <xdr:colOff>95250</xdr:colOff>
                    <xdr:row>286</xdr:row>
                    <xdr:rowOff>485775</xdr:rowOff>
                  </to>
                </anchor>
              </controlPr>
            </control>
          </mc:Choice>
        </mc:AlternateContent>
        <mc:AlternateContent xmlns:mc="http://schemas.openxmlformats.org/markup-compatibility/2006">
          <mc:Choice Requires="x14">
            <control shapeId="1311" r:id="rId289" name="Check Box 287">
              <controlPr defaultSize="0" autoFill="0" autoLine="0" autoPict="0">
                <anchor moveWithCells="1">
                  <from>
                    <xdr:col>0</xdr:col>
                    <xdr:colOff>276225</xdr:colOff>
                    <xdr:row>287</xdr:row>
                    <xdr:rowOff>9525</xdr:rowOff>
                  </from>
                  <to>
                    <xdr:col>3</xdr:col>
                    <xdr:colOff>95250</xdr:colOff>
                    <xdr:row>287</xdr:row>
                    <xdr:rowOff>485775</xdr:rowOff>
                  </to>
                </anchor>
              </controlPr>
            </control>
          </mc:Choice>
        </mc:AlternateContent>
        <mc:AlternateContent xmlns:mc="http://schemas.openxmlformats.org/markup-compatibility/2006">
          <mc:Choice Requires="x14">
            <control shapeId="1312" r:id="rId290" name="Check Box 288">
              <controlPr defaultSize="0" autoFill="0" autoLine="0" autoPict="0">
                <anchor moveWithCells="1">
                  <from>
                    <xdr:col>0</xdr:col>
                    <xdr:colOff>276225</xdr:colOff>
                    <xdr:row>288</xdr:row>
                    <xdr:rowOff>9525</xdr:rowOff>
                  </from>
                  <to>
                    <xdr:col>3</xdr:col>
                    <xdr:colOff>95250</xdr:colOff>
                    <xdr:row>288</xdr:row>
                    <xdr:rowOff>485775</xdr:rowOff>
                  </to>
                </anchor>
              </controlPr>
            </control>
          </mc:Choice>
        </mc:AlternateContent>
        <mc:AlternateContent xmlns:mc="http://schemas.openxmlformats.org/markup-compatibility/2006">
          <mc:Choice Requires="x14">
            <control shapeId="1313" r:id="rId291" name="Check Box 289">
              <controlPr defaultSize="0" autoFill="0" autoLine="0" autoPict="0">
                <anchor moveWithCells="1">
                  <from>
                    <xdr:col>0</xdr:col>
                    <xdr:colOff>276225</xdr:colOff>
                    <xdr:row>289</xdr:row>
                    <xdr:rowOff>9525</xdr:rowOff>
                  </from>
                  <to>
                    <xdr:col>3</xdr:col>
                    <xdr:colOff>95250</xdr:colOff>
                    <xdr:row>289</xdr:row>
                    <xdr:rowOff>485775</xdr:rowOff>
                  </to>
                </anchor>
              </controlPr>
            </control>
          </mc:Choice>
        </mc:AlternateContent>
        <mc:AlternateContent xmlns:mc="http://schemas.openxmlformats.org/markup-compatibility/2006">
          <mc:Choice Requires="x14">
            <control shapeId="1314" r:id="rId292" name="Check Box 290">
              <controlPr defaultSize="0" autoFill="0" autoLine="0" autoPict="0">
                <anchor moveWithCells="1">
                  <from>
                    <xdr:col>0</xdr:col>
                    <xdr:colOff>276225</xdr:colOff>
                    <xdr:row>290</xdr:row>
                    <xdr:rowOff>9525</xdr:rowOff>
                  </from>
                  <to>
                    <xdr:col>3</xdr:col>
                    <xdr:colOff>95250</xdr:colOff>
                    <xdr:row>290</xdr:row>
                    <xdr:rowOff>485775</xdr:rowOff>
                  </to>
                </anchor>
              </controlPr>
            </control>
          </mc:Choice>
        </mc:AlternateContent>
        <mc:AlternateContent xmlns:mc="http://schemas.openxmlformats.org/markup-compatibility/2006">
          <mc:Choice Requires="x14">
            <control shapeId="1315" r:id="rId293" name="Check Box 291">
              <controlPr defaultSize="0" autoFill="0" autoLine="0" autoPict="0">
                <anchor moveWithCells="1">
                  <from>
                    <xdr:col>0</xdr:col>
                    <xdr:colOff>276225</xdr:colOff>
                    <xdr:row>291</xdr:row>
                    <xdr:rowOff>9525</xdr:rowOff>
                  </from>
                  <to>
                    <xdr:col>3</xdr:col>
                    <xdr:colOff>95250</xdr:colOff>
                    <xdr:row>291</xdr:row>
                    <xdr:rowOff>485775</xdr:rowOff>
                  </to>
                </anchor>
              </controlPr>
            </control>
          </mc:Choice>
        </mc:AlternateContent>
        <mc:AlternateContent xmlns:mc="http://schemas.openxmlformats.org/markup-compatibility/2006">
          <mc:Choice Requires="x14">
            <control shapeId="1316" r:id="rId294" name="Check Box 292">
              <controlPr defaultSize="0" autoFill="0" autoLine="0" autoPict="0">
                <anchor moveWithCells="1">
                  <from>
                    <xdr:col>0</xdr:col>
                    <xdr:colOff>276225</xdr:colOff>
                    <xdr:row>292</xdr:row>
                    <xdr:rowOff>9525</xdr:rowOff>
                  </from>
                  <to>
                    <xdr:col>3</xdr:col>
                    <xdr:colOff>95250</xdr:colOff>
                    <xdr:row>292</xdr:row>
                    <xdr:rowOff>485775</xdr:rowOff>
                  </to>
                </anchor>
              </controlPr>
            </control>
          </mc:Choice>
        </mc:AlternateContent>
        <mc:AlternateContent xmlns:mc="http://schemas.openxmlformats.org/markup-compatibility/2006">
          <mc:Choice Requires="x14">
            <control shapeId="1317" r:id="rId295" name="Check Box 293">
              <controlPr defaultSize="0" autoFill="0" autoLine="0" autoPict="0">
                <anchor moveWithCells="1">
                  <from>
                    <xdr:col>0</xdr:col>
                    <xdr:colOff>276225</xdr:colOff>
                    <xdr:row>293</xdr:row>
                    <xdr:rowOff>9525</xdr:rowOff>
                  </from>
                  <to>
                    <xdr:col>3</xdr:col>
                    <xdr:colOff>95250</xdr:colOff>
                    <xdr:row>293</xdr:row>
                    <xdr:rowOff>485775</xdr:rowOff>
                  </to>
                </anchor>
              </controlPr>
            </control>
          </mc:Choice>
        </mc:AlternateContent>
        <mc:AlternateContent xmlns:mc="http://schemas.openxmlformats.org/markup-compatibility/2006">
          <mc:Choice Requires="x14">
            <control shapeId="1318" r:id="rId296" name="Check Box 294">
              <controlPr defaultSize="0" autoFill="0" autoLine="0" autoPict="0">
                <anchor moveWithCells="1">
                  <from>
                    <xdr:col>0</xdr:col>
                    <xdr:colOff>276225</xdr:colOff>
                    <xdr:row>294</xdr:row>
                    <xdr:rowOff>9525</xdr:rowOff>
                  </from>
                  <to>
                    <xdr:col>3</xdr:col>
                    <xdr:colOff>95250</xdr:colOff>
                    <xdr:row>294</xdr:row>
                    <xdr:rowOff>485775</xdr:rowOff>
                  </to>
                </anchor>
              </controlPr>
            </control>
          </mc:Choice>
        </mc:AlternateContent>
        <mc:AlternateContent xmlns:mc="http://schemas.openxmlformats.org/markup-compatibility/2006">
          <mc:Choice Requires="x14">
            <control shapeId="1319" r:id="rId297" name="Check Box 295">
              <controlPr defaultSize="0" autoFill="0" autoLine="0" autoPict="0">
                <anchor moveWithCells="1">
                  <from>
                    <xdr:col>0</xdr:col>
                    <xdr:colOff>276225</xdr:colOff>
                    <xdr:row>295</xdr:row>
                    <xdr:rowOff>9525</xdr:rowOff>
                  </from>
                  <to>
                    <xdr:col>3</xdr:col>
                    <xdr:colOff>95250</xdr:colOff>
                    <xdr:row>295</xdr:row>
                    <xdr:rowOff>485775</xdr:rowOff>
                  </to>
                </anchor>
              </controlPr>
            </control>
          </mc:Choice>
        </mc:AlternateContent>
        <mc:AlternateContent xmlns:mc="http://schemas.openxmlformats.org/markup-compatibility/2006">
          <mc:Choice Requires="x14">
            <control shapeId="1320" r:id="rId298" name="Check Box 296">
              <controlPr defaultSize="0" autoFill="0" autoLine="0" autoPict="0">
                <anchor moveWithCells="1">
                  <from>
                    <xdr:col>0</xdr:col>
                    <xdr:colOff>276225</xdr:colOff>
                    <xdr:row>296</xdr:row>
                    <xdr:rowOff>9525</xdr:rowOff>
                  </from>
                  <to>
                    <xdr:col>3</xdr:col>
                    <xdr:colOff>95250</xdr:colOff>
                    <xdr:row>296</xdr:row>
                    <xdr:rowOff>485775</xdr:rowOff>
                  </to>
                </anchor>
              </controlPr>
            </control>
          </mc:Choice>
        </mc:AlternateContent>
        <mc:AlternateContent xmlns:mc="http://schemas.openxmlformats.org/markup-compatibility/2006">
          <mc:Choice Requires="x14">
            <control shapeId="1321" r:id="rId299" name="Check Box 297">
              <controlPr defaultSize="0" autoFill="0" autoLine="0" autoPict="0">
                <anchor moveWithCells="1">
                  <from>
                    <xdr:col>0</xdr:col>
                    <xdr:colOff>276225</xdr:colOff>
                    <xdr:row>297</xdr:row>
                    <xdr:rowOff>9525</xdr:rowOff>
                  </from>
                  <to>
                    <xdr:col>3</xdr:col>
                    <xdr:colOff>95250</xdr:colOff>
                    <xdr:row>297</xdr:row>
                    <xdr:rowOff>485775</xdr:rowOff>
                  </to>
                </anchor>
              </controlPr>
            </control>
          </mc:Choice>
        </mc:AlternateContent>
        <mc:AlternateContent xmlns:mc="http://schemas.openxmlformats.org/markup-compatibility/2006">
          <mc:Choice Requires="x14">
            <control shapeId="1322" r:id="rId300" name="Check Box 298">
              <controlPr defaultSize="0" autoFill="0" autoLine="0" autoPict="0">
                <anchor moveWithCells="1">
                  <from>
                    <xdr:col>0</xdr:col>
                    <xdr:colOff>276225</xdr:colOff>
                    <xdr:row>298</xdr:row>
                    <xdr:rowOff>9525</xdr:rowOff>
                  </from>
                  <to>
                    <xdr:col>3</xdr:col>
                    <xdr:colOff>95250</xdr:colOff>
                    <xdr:row>298</xdr:row>
                    <xdr:rowOff>485775</xdr:rowOff>
                  </to>
                </anchor>
              </controlPr>
            </control>
          </mc:Choice>
        </mc:AlternateContent>
        <mc:AlternateContent xmlns:mc="http://schemas.openxmlformats.org/markup-compatibility/2006">
          <mc:Choice Requires="x14">
            <control shapeId="1323" r:id="rId301" name="Check Box 299">
              <controlPr defaultSize="0" autoFill="0" autoLine="0" autoPict="0">
                <anchor moveWithCells="1">
                  <from>
                    <xdr:col>0</xdr:col>
                    <xdr:colOff>276225</xdr:colOff>
                    <xdr:row>299</xdr:row>
                    <xdr:rowOff>9525</xdr:rowOff>
                  </from>
                  <to>
                    <xdr:col>3</xdr:col>
                    <xdr:colOff>95250</xdr:colOff>
                    <xdr:row>299</xdr:row>
                    <xdr:rowOff>485775</xdr:rowOff>
                  </to>
                </anchor>
              </controlPr>
            </control>
          </mc:Choice>
        </mc:AlternateContent>
        <mc:AlternateContent xmlns:mc="http://schemas.openxmlformats.org/markup-compatibility/2006">
          <mc:Choice Requires="x14">
            <control shapeId="1324" r:id="rId302" name="Check Box 300">
              <controlPr defaultSize="0" autoFill="0" autoLine="0" autoPict="0">
                <anchor moveWithCells="1">
                  <from>
                    <xdr:col>0</xdr:col>
                    <xdr:colOff>276225</xdr:colOff>
                    <xdr:row>300</xdr:row>
                    <xdr:rowOff>9525</xdr:rowOff>
                  </from>
                  <to>
                    <xdr:col>3</xdr:col>
                    <xdr:colOff>95250</xdr:colOff>
                    <xdr:row>300</xdr:row>
                    <xdr:rowOff>485775</xdr:rowOff>
                  </to>
                </anchor>
              </controlPr>
            </control>
          </mc:Choice>
        </mc:AlternateContent>
        <mc:AlternateContent xmlns:mc="http://schemas.openxmlformats.org/markup-compatibility/2006">
          <mc:Choice Requires="x14">
            <control shapeId="1325" r:id="rId303" name="Check Box 301">
              <controlPr defaultSize="0" autoFill="0" autoLine="0" autoPict="0">
                <anchor moveWithCells="1">
                  <from>
                    <xdr:col>0</xdr:col>
                    <xdr:colOff>276225</xdr:colOff>
                    <xdr:row>301</xdr:row>
                    <xdr:rowOff>9525</xdr:rowOff>
                  </from>
                  <to>
                    <xdr:col>3</xdr:col>
                    <xdr:colOff>95250</xdr:colOff>
                    <xdr:row>301</xdr:row>
                    <xdr:rowOff>485775</xdr:rowOff>
                  </to>
                </anchor>
              </controlPr>
            </control>
          </mc:Choice>
        </mc:AlternateContent>
        <mc:AlternateContent xmlns:mc="http://schemas.openxmlformats.org/markup-compatibility/2006">
          <mc:Choice Requires="x14">
            <control shapeId="1326" r:id="rId304" name="Check Box 302">
              <controlPr defaultSize="0" autoFill="0" autoLine="0" autoPict="0">
                <anchor moveWithCells="1">
                  <from>
                    <xdr:col>0</xdr:col>
                    <xdr:colOff>276225</xdr:colOff>
                    <xdr:row>302</xdr:row>
                    <xdr:rowOff>9525</xdr:rowOff>
                  </from>
                  <to>
                    <xdr:col>3</xdr:col>
                    <xdr:colOff>95250</xdr:colOff>
                    <xdr:row>302</xdr:row>
                    <xdr:rowOff>485775</xdr:rowOff>
                  </to>
                </anchor>
              </controlPr>
            </control>
          </mc:Choice>
        </mc:AlternateContent>
        <mc:AlternateContent xmlns:mc="http://schemas.openxmlformats.org/markup-compatibility/2006">
          <mc:Choice Requires="x14">
            <control shapeId="1327" r:id="rId305" name="Check Box 303">
              <controlPr defaultSize="0" autoFill="0" autoLine="0" autoPict="0">
                <anchor moveWithCells="1">
                  <from>
                    <xdr:col>0</xdr:col>
                    <xdr:colOff>276225</xdr:colOff>
                    <xdr:row>303</xdr:row>
                    <xdr:rowOff>9525</xdr:rowOff>
                  </from>
                  <to>
                    <xdr:col>3</xdr:col>
                    <xdr:colOff>95250</xdr:colOff>
                    <xdr:row>303</xdr:row>
                    <xdr:rowOff>485775</xdr:rowOff>
                  </to>
                </anchor>
              </controlPr>
            </control>
          </mc:Choice>
        </mc:AlternateContent>
        <mc:AlternateContent xmlns:mc="http://schemas.openxmlformats.org/markup-compatibility/2006">
          <mc:Choice Requires="x14">
            <control shapeId="1328" r:id="rId306" name="Check Box 304">
              <controlPr defaultSize="0" autoFill="0" autoLine="0" autoPict="0">
                <anchor moveWithCells="1">
                  <from>
                    <xdr:col>0</xdr:col>
                    <xdr:colOff>276225</xdr:colOff>
                    <xdr:row>304</xdr:row>
                    <xdr:rowOff>9525</xdr:rowOff>
                  </from>
                  <to>
                    <xdr:col>3</xdr:col>
                    <xdr:colOff>95250</xdr:colOff>
                    <xdr:row>304</xdr:row>
                    <xdr:rowOff>485775</xdr:rowOff>
                  </to>
                </anchor>
              </controlPr>
            </control>
          </mc:Choice>
        </mc:AlternateContent>
        <mc:AlternateContent xmlns:mc="http://schemas.openxmlformats.org/markup-compatibility/2006">
          <mc:Choice Requires="x14">
            <control shapeId="1329" r:id="rId307" name="Check Box 305">
              <controlPr defaultSize="0" autoFill="0" autoLine="0" autoPict="0">
                <anchor moveWithCells="1">
                  <from>
                    <xdr:col>0</xdr:col>
                    <xdr:colOff>276225</xdr:colOff>
                    <xdr:row>305</xdr:row>
                    <xdr:rowOff>9525</xdr:rowOff>
                  </from>
                  <to>
                    <xdr:col>3</xdr:col>
                    <xdr:colOff>95250</xdr:colOff>
                    <xdr:row>305</xdr:row>
                    <xdr:rowOff>485775</xdr:rowOff>
                  </to>
                </anchor>
              </controlPr>
            </control>
          </mc:Choice>
        </mc:AlternateContent>
        <mc:AlternateContent xmlns:mc="http://schemas.openxmlformats.org/markup-compatibility/2006">
          <mc:Choice Requires="x14">
            <control shapeId="1330" r:id="rId308" name="Check Box 306">
              <controlPr defaultSize="0" autoFill="0" autoLine="0" autoPict="0">
                <anchor moveWithCells="1">
                  <from>
                    <xdr:col>0</xdr:col>
                    <xdr:colOff>276225</xdr:colOff>
                    <xdr:row>306</xdr:row>
                    <xdr:rowOff>9525</xdr:rowOff>
                  </from>
                  <to>
                    <xdr:col>3</xdr:col>
                    <xdr:colOff>95250</xdr:colOff>
                    <xdr:row>306</xdr:row>
                    <xdr:rowOff>485775</xdr:rowOff>
                  </to>
                </anchor>
              </controlPr>
            </control>
          </mc:Choice>
        </mc:AlternateContent>
        <mc:AlternateContent xmlns:mc="http://schemas.openxmlformats.org/markup-compatibility/2006">
          <mc:Choice Requires="x14">
            <control shapeId="1331" r:id="rId309" name="Check Box 307">
              <controlPr defaultSize="0" autoFill="0" autoLine="0" autoPict="0">
                <anchor moveWithCells="1">
                  <from>
                    <xdr:col>0</xdr:col>
                    <xdr:colOff>276225</xdr:colOff>
                    <xdr:row>307</xdr:row>
                    <xdr:rowOff>9525</xdr:rowOff>
                  </from>
                  <to>
                    <xdr:col>3</xdr:col>
                    <xdr:colOff>95250</xdr:colOff>
                    <xdr:row>307</xdr:row>
                    <xdr:rowOff>485775</xdr:rowOff>
                  </to>
                </anchor>
              </controlPr>
            </control>
          </mc:Choice>
        </mc:AlternateContent>
        <mc:AlternateContent xmlns:mc="http://schemas.openxmlformats.org/markup-compatibility/2006">
          <mc:Choice Requires="x14">
            <control shapeId="1332" r:id="rId310" name="Check Box 308">
              <controlPr defaultSize="0" autoFill="0" autoLine="0" autoPict="0">
                <anchor moveWithCells="1">
                  <from>
                    <xdr:col>0</xdr:col>
                    <xdr:colOff>276225</xdr:colOff>
                    <xdr:row>308</xdr:row>
                    <xdr:rowOff>9525</xdr:rowOff>
                  </from>
                  <to>
                    <xdr:col>3</xdr:col>
                    <xdr:colOff>95250</xdr:colOff>
                    <xdr:row>308</xdr:row>
                    <xdr:rowOff>485775</xdr:rowOff>
                  </to>
                </anchor>
              </controlPr>
            </control>
          </mc:Choice>
        </mc:AlternateContent>
        <mc:AlternateContent xmlns:mc="http://schemas.openxmlformats.org/markup-compatibility/2006">
          <mc:Choice Requires="x14">
            <control shapeId="1333" r:id="rId311" name="Check Box 309">
              <controlPr defaultSize="0" autoFill="0" autoLine="0" autoPict="0">
                <anchor moveWithCells="1">
                  <from>
                    <xdr:col>0</xdr:col>
                    <xdr:colOff>276225</xdr:colOff>
                    <xdr:row>309</xdr:row>
                    <xdr:rowOff>9525</xdr:rowOff>
                  </from>
                  <to>
                    <xdr:col>3</xdr:col>
                    <xdr:colOff>95250</xdr:colOff>
                    <xdr:row>309</xdr:row>
                    <xdr:rowOff>485775</xdr:rowOff>
                  </to>
                </anchor>
              </controlPr>
            </control>
          </mc:Choice>
        </mc:AlternateContent>
        <mc:AlternateContent xmlns:mc="http://schemas.openxmlformats.org/markup-compatibility/2006">
          <mc:Choice Requires="x14">
            <control shapeId="1334" r:id="rId312" name="Check Box 310">
              <controlPr defaultSize="0" autoFill="0" autoLine="0" autoPict="0">
                <anchor moveWithCells="1">
                  <from>
                    <xdr:col>0</xdr:col>
                    <xdr:colOff>276225</xdr:colOff>
                    <xdr:row>310</xdr:row>
                    <xdr:rowOff>9525</xdr:rowOff>
                  </from>
                  <to>
                    <xdr:col>3</xdr:col>
                    <xdr:colOff>95250</xdr:colOff>
                    <xdr:row>310</xdr:row>
                    <xdr:rowOff>485775</xdr:rowOff>
                  </to>
                </anchor>
              </controlPr>
            </control>
          </mc:Choice>
        </mc:AlternateContent>
        <mc:AlternateContent xmlns:mc="http://schemas.openxmlformats.org/markup-compatibility/2006">
          <mc:Choice Requires="x14">
            <control shapeId="1335" r:id="rId313" name="Check Box 311">
              <controlPr defaultSize="0" autoFill="0" autoLine="0" autoPict="0">
                <anchor moveWithCells="1">
                  <from>
                    <xdr:col>0</xdr:col>
                    <xdr:colOff>276225</xdr:colOff>
                    <xdr:row>311</xdr:row>
                    <xdr:rowOff>9525</xdr:rowOff>
                  </from>
                  <to>
                    <xdr:col>3</xdr:col>
                    <xdr:colOff>95250</xdr:colOff>
                    <xdr:row>311</xdr:row>
                    <xdr:rowOff>485775</xdr:rowOff>
                  </to>
                </anchor>
              </controlPr>
            </control>
          </mc:Choice>
        </mc:AlternateContent>
        <mc:AlternateContent xmlns:mc="http://schemas.openxmlformats.org/markup-compatibility/2006">
          <mc:Choice Requires="x14">
            <control shapeId="1336" r:id="rId314" name="Check Box 312">
              <controlPr defaultSize="0" autoFill="0" autoLine="0" autoPict="0">
                <anchor moveWithCells="1">
                  <from>
                    <xdr:col>0</xdr:col>
                    <xdr:colOff>276225</xdr:colOff>
                    <xdr:row>312</xdr:row>
                    <xdr:rowOff>9525</xdr:rowOff>
                  </from>
                  <to>
                    <xdr:col>3</xdr:col>
                    <xdr:colOff>95250</xdr:colOff>
                    <xdr:row>312</xdr:row>
                    <xdr:rowOff>485775</xdr:rowOff>
                  </to>
                </anchor>
              </controlPr>
            </control>
          </mc:Choice>
        </mc:AlternateContent>
        <mc:AlternateContent xmlns:mc="http://schemas.openxmlformats.org/markup-compatibility/2006">
          <mc:Choice Requires="x14">
            <control shapeId="1337" r:id="rId315" name="Check Box 313">
              <controlPr defaultSize="0" autoFill="0" autoLine="0" autoPict="0">
                <anchor moveWithCells="1">
                  <from>
                    <xdr:col>0</xdr:col>
                    <xdr:colOff>276225</xdr:colOff>
                    <xdr:row>313</xdr:row>
                    <xdr:rowOff>9525</xdr:rowOff>
                  </from>
                  <to>
                    <xdr:col>3</xdr:col>
                    <xdr:colOff>95250</xdr:colOff>
                    <xdr:row>313</xdr:row>
                    <xdr:rowOff>485775</xdr:rowOff>
                  </to>
                </anchor>
              </controlPr>
            </control>
          </mc:Choice>
        </mc:AlternateContent>
        <mc:AlternateContent xmlns:mc="http://schemas.openxmlformats.org/markup-compatibility/2006">
          <mc:Choice Requires="x14">
            <control shapeId="1338" r:id="rId316" name="Check Box 314">
              <controlPr defaultSize="0" autoFill="0" autoLine="0" autoPict="0">
                <anchor moveWithCells="1">
                  <from>
                    <xdr:col>0</xdr:col>
                    <xdr:colOff>276225</xdr:colOff>
                    <xdr:row>314</xdr:row>
                    <xdr:rowOff>9525</xdr:rowOff>
                  </from>
                  <to>
                    <xdr:col>3</xdr:col>
                    <xdr:colOff>95250</xdr:colOff>
                    <xdr:row>314</xdr:row>
                    <xdr:rowOff>485775</xdr:rowOff>
                  </to>
                </anchor>
              </controlPr>
            </control>
          </mc:Choice>
        </mc:AlternateContent>
        <mc:AlternateContent xmlns:mc="http://schemas.openxmlformats.org/markup-compatibility/2006">
          <mc:Choice Requires="x14">
            <control shapeId="1339" r:id="rId317" name="Check Box 315">
              <controlPr defaultSize="0" autoFill="0" autoLine="0" autoPict="0">
                <anchor moveWithCells="1">
                  <from>
                    <xdr:col>0</xdr:col>
                    <xdr:colOff>276225</xdr:colOff>
                    <xdr:row>315</xdr:row>
                    <xdr:rowOff>9525</xdr:rowOff>
                  </from>
                  <to>
                    <xdr:col>3</xdr:col>
                    <xdr:colOff>95250</xdr:colOff>
                    <xdr:row>315</xdr:row>
                    <xdr:rowOff>485775</xdr:rowOff>
                  </to>
                </anchor>
              </controlPr>
            </control>
          </mc:Choice>
        </mc:AlternateContent>
        <mc:AlternateContent xmlns:mc="http://schemas.openxmlformats.org/markup-compatibility/2006">
          <mc:Choice Requires="x14">
            <control shapeId="1340" r:id="rId318" name="Check Box 316">
              <controlPr defaultSize="0" autoFill="0" autoLine="0" autoPict="0">
                <anchor moveWithCells="1">
                  <from>
                    <xdr:col>0</xdr:col>
                    <xdr:colOff>276225</xdr:colOff>
                    <xdr:row>316</xdr:row>
                    <xdr:rowOff>9525</xdr:rowOff>
                  </from>
                  <to>
                    <xdr:col>3</xdr:col>
                    <xdr:colOff>95250</xdr:colOff>
                    <xdr:row>316</xdr:row>
                    <xdr:rowOff>485775</xdr:rowOff>
                  </to>
                </anchor>
              </controlPr>
            </control>
          </mc:Choice>
        </mc:AlternateContent>
        <mc:AlternateContent xmlns:mc="http://schemas.openxmlformats.org/markup-compatibility/2006">
          <mc:Choice Requires="x14">
            <control shapeId="1341" r:id="rId319" name="Check Box 317">
              <controlPr defaultSize="0" autoFill="0" autoLine="0" autoPict="0">
                <anchor moveWithCells="1">
                  <from>
                    <xdr:col>0</xdr:col>
                    <xdr:colOff>276225</xdr:colOff>
                    <xdr:row>317</xdr:row>
                    <xdr:rowOff>9525</xdr:rowOff>
                  </from>
                  <to>
                    <xdr:col>3</xdr:col>
                    <xdr:colOff>95250</xdr:colOff>
                    <xdr:row>317</xdr:row>
                    <xdr:rowOff>485775</xdr:rowOff>
                  </to>
                </anchor>
              </controlPr>
            </control>
          </mc:Choice>
        </mc:AlternateContent>
        <mc:AlternateContent xmlns:mc="http://schemas.openxmlformats.org/markup-compatibility/2006">
          <mc:Choice Requires="x14">
            <control shapeId="1342" r:id="rId320" name="Check Box 318">
              <controlPr defaultSize="0" autoFill="0" autoLine="0" autoPict="0">
                <anchor moveWithCells="1">
                  <from>
                    <xdr:col>0</xdr:col>
                    <xdr:colOff>276225</xdr:colOff>
                    <xdr:row>318</xdr:row>
                    <xdr:rowOff>9525</xdr:rowOff>
                  </from>
                  <to>
                    <xdr:col>3</xdr:col>
                    <xdr:colOff>95250</xdr:colOff>
                    <xdr:row>318</xdr:row>
                    <xdr:rowOff>485775</xdr:rowOff>
                  </to>
                </anchor>
              </controlPr>
            </control>
          </mc:Choice>
        </mc:AlternateContent>
        <mc:AlternateContent xmlns:mc="http://schemas.openxmlformats.org/markup-compatibility/2006">
          <mc:Choice Requires="x14">
            <control shapeId="1343" r:id="rId321" name="Check Box 319">
              <controlPr defaultSize="0" autoFill="0" autoLine="0" autoPict="0">
                <anchor moveWithCells="1">
                  <from>
                    <xdr:col>0</xdr:col>
                    <xdr:colOff>276225</xdr:colOff>
                    <xdr:row>319</xdr:row>
                    <xdr:rowOff>9525</xdr:rowOff>
                  </from>
                  <to>
                    <xdr:col>3</xdr:col>
                    <xdr:colOff>95250</xdr:colOff>
                    <xdr:row>319</xdr:row>
                    <xdr:rowOff>485775</xdr:rowOff>
                  </to>
                </anchor>
              </controlPr>
            </control>
          </mc:Choice>
        </mc:AlternateContent>
        <mc:AlternateContent xmlns:mc="http://schemas.openxmlformats.org/markup-compatibility/2006">
          <mc:Choice Requires="x14">
            <control shapeId="1344" r:id="rId322" name="Check Box 320">
              <controlPr defaultSize="0" autoFill="0" autoLine="0" autoPict="0">
                <anchor moveWithCells="1">
                  <from>
                    <xdr:col>0</xdr:col>
                    <xdr:colOff>276225</xdr:colOff>
                    <xdr:row>320</xdr:row>
                    <xdr:rowOff>9525</xdr:rowOff>
                  </from>
                  <to>
                    <xdr:col>3</xdr:col>
                    <xdr:colOff>95250</xdr:colOff>
                    <xdr:row>320</xdr:row>
                    <xdr:rowOff>485775</xdr:rowOff>
                  </to>
                </anchor>
              </controlPr>
            </control>
          </mc:Choice>
        </mc:AlternateContent>
        <mc:AlternateContent xmlns:mc="http://schemas.openxmlformats.org/markup-compatibility/2006">
          <mc:Choice Requires="x14">
            <control shapeId="1345" r:id="rId323" name="Check Box 321">
              <controlPr defaultSize="0" autoFill="0" autoLine="0" autoPict="0">
                <anchor moveWithCells="1">
                  <from>
                    <xdr:col>0</xdr:col>
                    <xdr:colOff>276225</xdr:colOff>
                    <xdr:row>321</xdr:row>
                    <xdr:rowOff>9525</xdr:rowOff>
                  </from>
                  <to>
                    <xdr:col>3</xdr:col>
                    <xdr:colOff>95250</xdr:colOff>
                    <xdr:row>321</xdr:row>
                    <xdr:rowOff>485775</xdr:rowOff>
                  </to>
                </anchor>
              </controlPr>
            </control>
          </mc:Choice>
        </mc:AlternateContent>
        <mc:AlternateContent xmlns:mc="http://schemas.openxmlformats.org/markup-compatibility/2006">
          <mc:Choice Requires="x14">
            <control shapeId="1346" r:id="rId324" name="Check Box 322">
              <controlPr defaultSize="0" autoFill="0" autoLine="0" autoPict="0">
                <anchor moveWithCells="1">
                  <from>
                    <xdr:col>0</xdr:col>
                    <xdr:colOff>276225</xdr:colOff>
                    <xdr:row>322</xdr:row>
                    <xdr:rowOff>9525</xdr:rowOff>
                  </from>
                  <to>
                    <xdr:col>3</xdr:col>
                    <xdr:colOff>95250</xdr:colOff>
                    <xdr:row>322</xdr:row>
                    <xdr:rowOff>485775</xdr:rowOff>
                  </to>
                </anchor>
              </controlPr>
            </control>
          </mc:Choice>
        </mc:AlternateContent>
        <mc:AlternateContent xmlns:mc="http://schemas.openxmlformats.org/markup-compatibility/2006">
          <mc:Choice Requires="x14">
            <control shapeId="1347" r:id="rId325" name="Check Box 323">
              <controlPr defaultSize="0" autoFill="0" autoLine="0" autoPict="0">
                <anchor moveWithCells="1">
                  <from>
                    <xdr:col>0</xdr:col>
                    <xdr:colOff>276225</xdr:colOff>
                    <xdr:row>323</xdr:row>
                    <xdr:rowOff>9525</xdr:rowOff>
                  </from>
                  <to>
                    <xdr:col>3</xdr:col>
                    <xdr:colOff>95250</xdr:colOff>
                    <xdr:row>323</xdr:row>
                    <xdr:rowOff>485775</xdr:rowOff>
                  </to>
                </anchor>
              </controlPr>
            </control>
          </mc:Choice>
        </mc:AlternateContent>
        <mc:AlternateContent xmlns:mc="http://schemas.openxmlformats.org/markup-compatibility/2006">
          <mc:Choice Requires="x14">
            <control shapeId="1348" r:id="rId326" name="Check Box 324">
              <controlPr defaultSize="0" autoFill="0" autoLine="0" autoPict="0">
                <anchor moveWithCells="1">
                  <from>
                    <xdr:col>0</xdr:col>
                    <xdr:colOff>276225</xdr:colOff>
                    <xdr:row>324</xdr:row>
                    <xdr:rowOff>9525</xdr:rowOff>
                  </from>
                  <to>
                    <xdr:col>3</xdr:col>
                    <xdr:colOff>95250</xdr:colOff>
                    <xdr:row>324</xdr:row>
                    <xdr:rowOff>485775</xdr:rowOff>
                  </to>
                </anchor>
              </controlPr>
            </control>
          </mc:Choice>
        </mc:AlternateContent>
        <mc:AlternateContent xmlns:mc="http://schemas.openxmlformats.org/markup-compatibility/2006">
          <mc:Choice Requires="x14">
            <control shapeId="1349" r:id="rId327" name="Check Box 325">
              <controlPr defaultSize="0" autoFill="0" autoLine="0" autoPict="0">
                <anchor moveWithCells="1">
                  <from>
                    <xdr:col>0</xdr:col>
                    <xdr:colOff>276225</xdr:colOff>
                    <xdr:row>325</xdr:row>
                    <xdr:rowOff>9525</xdr:rowOff>
                  </from>
                  <to>
                    <xdr:col>3</xdr:col>
                    <xdr:colOff>95250</xdr:colOff>
                    <xdr:row>325</xdr:row>
                    <xdr:rowOff>485775</xdr:rowOff>
                  </to>
                </anchor>
              </controlPr>
            </control>
          </mc:Choice>
        </mc:AlternateContent>
        <mc:AlternateContent xmlns:mc="http://schemas.openxmlformats.org/markup-compatibility/2006">
          <mc:Choice Requires="x14">
            <control shapeId="1350" r:id="rId328" name="Check Box 326">
              <controlPr defaultSize="0" autoFill="0" autoLine="0" autoPict="0">
                <anchor moveWithCells="1">
                  <from>
                    <xdr:col>0</xdr:col>
                    <xdr:colOff>276225</xdr:colOff>
                    <xdr:row>326</xdr:row>
                    <xdr:rowOff>9525</xdr:rowOff>
                  </from>
                  <to>
                    <xdr:col>3</xdr:col>
                    <xdr:colOff>95250</xdr:colOff>
                    <xdr:row>326</xdr:row>
                    <xdr:rowOff>485775</xdr:rowOff>
                  </to>
                </anchor>
              </controlPr>
            </control>
          </mc:Choice>
        </mc:AlternateContent>
        <mc:AlternateContent xmlns:mc="http://schemas.openxmlformats.org/markup-compatibility/2006">
          <mc:Choice Requires="x14">
            <control shapeId="1351" r:id="rId329" name="Check Box 327">
              <controlPr defaultSize="0" autoFill="0" autoLine="0" autoPict="0">
                <anchor moveWithCells="1">
                  <from>
                    <xdr:col>0</xdr:col>
                    <xdr:colOff>276225</xdr:colOff>
                    <xdr:row>327</xdr:row>
                    <xdr:rowOff>9525</xdr:rowOff>
                  </from>
                  <to>
                    <xdr:col>3</xdr:col>
                    <xdr:colOff>95250</xdr:colOff>
                    <xdr:row>327</xdr:row>
                    <xdr:rowOff>485775</xdr:rowOff>
                  </to>
                </anchor>
              </controlPr>
            </control>
          </mc:Choice>
        </mc:AlternateContent>
        <mc:AlternateContent xmlns:mc="http://schemas.openxmlformats.org/markup-compatibility/2006">
          <mc:Choice Requires="x14">
            <control shapeId="1352" r:id="rId330" name="Check Box 328">
              <controlPr defaultSize="0" autoFill="0" autoLine="0" autoPict="0">
                <anchor moveWithCells="1">
                  <from>
                    <xdr:col>0</xdr:col>
                    <xdr:colOff>276225</xdr:colOff>
                    <xdr:row>328</xdr:row>
                    <xdr:rowOff>9525</xdr:rowOff>
                  </from>
                  <to>
                    <xdr:col>3</xdr:col>
                    <xdr:colOff>95250</xdr:colOff>
                    <xdr:row>328</xdr:row>
                    <xdr:rowOff>485775</xdr:rowOff>
                  </to>
                </anchor>
              </controlPr>
            </control>
          </mc:Choice>
        </mc:AlternateContent>
        <mc:AlternateContent xmlns:mc="http://schemas.openxmlformats.org/markup-compatibility/2006">
          <mc:Choice Requires="x14">
            <control shapeId="1353" r:id="rId331" name="Check Box 329">
              <controlPr defaultSize="0" autoFill="0" autoLine="0" autoPict="0">
                <anchor moveWithCells="1">
                  <from>
                    <xdr:col>0</xdr:col>
                    <xdr:colOff>276225</xdr:colOff>
                    <xdr:row>329</xdr:row>
                    <xdr:rowOff>9525</xdr:rowOff>
                  </from>
                  <to>
                    <xdr:col>3</xdr:col>
                    <xdr:colOff>95250</xdr:colOff>
                    <xdr:row>329</xdr:row>
                    <xdr:rowOff>485775</xdr:rowOff>
                  </to>
                </anchor>
              </controlPr>
            </control>
          </mc:Choice>
        </mc:AlternateContent>
        <mc:AlternateContent xmlns:mc="http://schemas.openxmlformats.org/markup-compatibility/2006">
          <mc:Choice Requires="x14">
            <control shapeId="1354" r:id="rId332" name="Check Box 330">
              <controlPr defaultSize="0" autoFill="0" autoLine="0" autoPict="0">
                <anchor moveWithCells="1">
                  <from>
                    <xdr:col>0</xdr:col>
                    <xdr:colOff>276225</xdr:colOff>
                    <xdr:row>330</xdr:row>
                    <xdr:rowOff>9525</xdr:rowOff>
                  </from>
                  <to>
                    <xdr:col>3</xdr:col>
                    <xdr:colOff>95250</xdr:colOff>
                    <xdr:row>330</xdr:row>
                    <xdr:rowOff>485775</xdr:rowOff>
                  </to>
                </anchor>
              </controlPr>
            </control>
          </mc:Choice>
        </mc:AlternateContent>
        <mc:AlternateContent xmlns:mc="http://schemas.openxmlformats.org/markup-compatibility/2006">
          <mc:Choice Requires="x14">
            <control shapeId="1355" r:id="rId333" name="Check Box 331">
              <controlPr defaultSize="0" autoFill="0" autoLine="0" autoPict="0">
                <anchor moveWithCells="1">
                  <from>
                    <xdr:col>0</xdr:col>
                    <xdr:colOff>276225</xdr:colOff>
                    <xdr:row>331</xdr:row>
                    <xdr:rowOff>9525</xdr:rowOff>
                  </from>
                  <to>
                    <xdr:col>3</xdr:col>
                    <xdr:colOff>95250</xdr:colOff>
                    <xdr:row>331</xdr:row>
                    <xdr:rowOff>485775</xdr:rowOff>
                  </to>
                </anchor>
              </controlPr>
            </control>
          </mc:Choice>
        </mc:AlternateContent>
        <mc:AlternateContent xmlns:mc="http://schemas.openxmlformats.org/markup-compatibility/2006">
          <mc:Choice Requires="x14">
            <control shapeId="1356" r:id="rId334" name="Check Box 332">
              <controlPr defaultSize="0" autoFill="0" autoLine="0" autoPict="0">
                <anchor moveWithCells="1">
                  <from>
                    <xdr:col>0</xdr:col>
                    <xdr:colOff>276225</xdr:colOff>
                    <xdr:row>332</xdr:row>
                    <xdr:rowOff>9525</xdr:rowOff>
                  </from>
                  <to>
                    <xdr:col>3</xdr:col>
                    <xdr:colOff>95250</xdr:colOff>
                    <xdr:row>332</xdr:row>
                    <xdr:rowOff>485775</xdr:rowOff>
                  </to>
                </anchor>
              </controlPr>
            </control>
          </mc:Choice>
        </mc:AlternateContent>
        <mc:AlternateContent xmlns:mc="http://schemas.openxmlformats.org/markup-compatibility/2006">
          <mc:Choice Requires="x14">
            <control shapeId="1357" r:id="rId335" name="Check Box 333">
              <controlPr defaultSize="0" autoFill="0" autoLine="0" autoPict="0">
                <anchor moveWithCells="1">
                  <from>
                    <xdr:col>0</xdr:col>
                    <xdr:colOff>276225</xdr:colOff>
                    <xdr:row>333</xdr:row>
                    <xdr:rowOff>9525</xdr:rowOff>
                  </from>
                  <to>
                    <xdr:col>3</xdr:col>
                    <xdr:colOff>95250</xdr:colOff>
                    <xdr:row>333</xdr:row>
                    <xdr:rowOff>485775</xdr:rowOff>
                  </to>
                </anchor>
              </controlPr>
            </control>
          </mc:Choice>
        </mc:AlternateContent>
        <mc:AlternateContent xmlns:mc="http://schemas.openxmlformats.org/markup-compatibility/2006">
          <mc:Choice Requires="x14">
            <control shapeId="1358" r:id="rId336" name="Check Box 334">
              <controlPr defaultSize="0" autoFill="0" autoLine="0" autoPict="0">
                <anchor moveWithCells="1">
                  <from>
                    <xdr:col>0</xdr:col>
                    <xdr:colOff>276225</xdr:colOff>
                    <xdr:row>334</xdr:row>
                    <xdr:rowOff>9525</xdr:rowOff>
                  </from>
                  <to>
                    <xdr:col>3</xdr:col>
                    <xdr:colOff>95250</xdr:colOff>
                    <xdr:row>334</xdr:row>
                    <xdr:rowOff>485775</xdr:rowOff>
                  </to>
                </anchor>
              </controlPr>
            </control>
          </mc:Choice>
        </mc:AlternateContent>
        <mc:AlternateContent xmlns:mc="http://schemas.openxmlformats.org/markup-compatibility/2006">
          <mc:Choice Requires="x14">
            <control shapeId="1359" r:id="rId337" name="Check Box 335">
              <controlPr defaultSize="0" autoFill="0" autoLine="0" autoPict="0">
                <anchor moveWithCells="1">
                  <from>
                    <xdr:col>0</xdr:col>
                    <xdr:colOff>276225</xdr:colOff>
                    <xdr:row>335</xdr:row>
                    <xdr:rowOff>9525</xdr:rowOff>
                  </from>
                  <to>
                    <xdr:col>3</xdr:col>
                    <xdr:colOff>95250</xdr:colOff>
                    <xdr:row>335</xdr:row>
                    <xdr:rowOff>485775</xdr:rowOff>
                  </to>
                </anchor>
              </controlPr>
            </control>
          </mc:Choice>
        </mc:AlternateContent>
        <mc:AlternateContent xmlns:mc="http://schemas.openxmlformats.org/markup-compatibility/2006">
          <mc:Choice Requires="x14">
            <control shapeId="1360" r:id="rId338" name="Check Box 336">
              <controlPr defaultSize="0" autoFill="0" autoLine="0" autoPict="0">
                <anchor moveWithCells="1">
                  <from>
                    <xdr:col>0</xdr:col>
                    <xdr:colOff>276225</xdr:colOff>
                    <xdr:row>336</xdr:row>
                    <xdr:rowOff>9525</xdr:rowOff>
                  </from>
                  <to>
                    <xdr:col>3</xdr:col>
                    <xdr:colOff>95250</xdr:colOff>
                    <xdr:row>336</xdr:row>
                    <xdr:rowOff>485775</xdr:rowOff>
                  </to>
                </anchor>
              </controlPr>
            </control>
          </mc:Choice>
        </mc:AlternateContent>
        <mc:AlternateContent xmlns:mc="http://schemas.openxmlformats.org/markup-compatibility/2006">
          <mc:Choice Requires="x14">
            <control shapeId="1361" r:id="rId339" name="Check Box 337">
              <controlPr defaultSize="0" autoFill="0" autoLine="0" autoPict="0">
                <anchor moveWithCells="1">
                  <from>
                    <xdr:col>0</xdr:col>
                    <xdr:colOff>276225</xdr:colOff>
                    <xdr:row>337</xdr:row>
                    <xdr:rowOff>9525</xdr:rowOff>
                  </from>
                  <to>
                    <xdr:col>3</xdr:col>
                    <xdr:colOff>95250</xdr:colOff>
                    <xdr:row>337</xdr:row>
                    <xdr:rowOff>485775</xdr:rowOff>
                  </to>
                </anchor>
              </controlPr>
            </control>
          </mc:Choice>
        </mc:AlternateContent>
        <mc:AlternateContent xmlns:mc="http://schemas.openxmlformats.org/markup-compatibility/2006">
          <mc:Choice Requires="x14">
            <control shapeId="1362" r:id="rId340" name="Check Box 338">
              <controlPr defaultSize="0" autoFill="0" autoLine="0" autoPict="0">
                <anchor moveWithCells="1">
                  <from>
                    <xdr:col>0</xdr:col>
                    <xdr:colOff>276225</xdr:colOff>
                    <xdr:row>338</xdr:row>
                    <xdr:rowOff>9525</xdr:rowOff>
                  </from>
                  <to>
                    <xdr:col>3</xdr:col>
                    <xdr:colOff>95250</xdr:colOff>
                    <xdr:row>338</xdr:row>
                    <xdr:rowOff>485775</xdr:rowOff>
                  </to>
                </anchor>
              </controlPr>
            </control>
          </mc:Choice>
        </mc:AlternateContent>
        <mc:AlternateContent xmlns:mc="http://schemas.openxmlformats.org/markup-compatibility/2006">
          <mc:Choice Requires="x14">
            <control shapeId="1363" r:id="rId341" name="Check Box 339">
              <controlPr defaultSize="0" autoFill="0" autoLine="0" autoPict="0">
                <anchor moveWithCells="1">
                  <from>
                    <xdr:col>0</xdr:col>
                    <xdr:colOff>276225</xdr:colOff>
                    <xdr:row>339</xdr:row>
                    <xdr:rowOff>9525</xdr:rowOff>
                  </from>
                  <to>
                    <xdr:col>3</xdr:col>
                    <xdr:colOff>95250</xdr:colOff>
                    <xdr:row>339</xdr:row>
                    <xdr:rowOff>485775</xdr:rowOff>
                  </to>
                </anchor>
              </controlPr>
            </control>
          </mc:Choice>
        </mc:AlternateContent>
        <mc:AlternateContent xmlns:mc="http://schemas.openxmlformats.org/markup-compatibility/2006">
          <mc:Choice Requires="x14">
            <control shapeId="1364" r:id="rId342" name="Check Box 340">
              <controlPr defaultSize="0" autoFill="0" autoLine="0" autoPict="0">
                <anchor moveWithCells="1">
                  <from>
                    <xdr:col>0</xdr:col>
                    <xdr:colOff>276225</xdr:colOff>
                    <xdr:row>340</xdr:row>
                    <xdr:rowOff>9525</xdr:rowOff>
                  </from>
                  <to>
                    <xdr:col>3</xdr:col>
                    <xdr:colOff>95250</xdr:colOff>
                    <xdr:row>340</xdr:row>
                    <xdr:rowOff>485775</xdr:rowOff>
                  </to>
                </anchor>
              </controlPr>
            </control>
          </mc:Choice>
        </mc:AlternateContent>
        <mc:AlternateContent xmlns:mc="http://schemas.openxmlformats.org/markup-compatibility/2006">
          <mc:Choice Requires="x14">
            <control shapeId="1365" r:id="rId343" name="Check Box 341">
              <controlPr defaultSize="0" autoFill="0" autoLine="0" autoPict="0">
                <anchor moveWithCells="1">
                  <from>
                    <xdr:col>0</xdr:col>
                    <xdr:colOff>276225</xdr:colOff>
                    <xdr:row>341</xdr:row>
                    <xdr:rowOff>9525</xdr:rowOff>
                  </from>
                  <to>
                    <xdr:col>3</xdr:col>
                    <xdr:colOff>95250</xdr:colOff>
                    <xdr:row>341</xdr:row>
                    <xdr:rowOff>485775</xdr:rowOff>
                  </to>
                </anchor>
              </controlPr>
            </control>
          </mc:Choice>
        </mc:AlternateContent>
        <mc:AlternateContent xmlns:mc="http://schemas.openxmlformats.org/markup-compatibility/2006">
          <mc:Choice Requires="x14">
            <control shapeId="1366" r:id="rId344" name="Check Box 342">
              <controlPr defaultSize="0" autoFill="0" autoLine="0" autoPict="0">
                <anchor moveWithCells="1">
                  <from>
                    <xdr:col>0</xdr:col>
                    <xdr:colOff>276225</xdr:colOff>
                    <xdr:row>342</xdr:row>
                    <xdr:rowOff>9525</xdr:rowOff>
                  </from>
                  <to>
                    <xdr:col>3</xdr:col>
                    <xdr:colOff>95250</xdr:colOff>
                    <xdr:row>342</xdr:row>
                    <xdr:rowOff>485775</xdr:rowOff>
                  </to>
                </anchor>
              </controlPr>
            </control>
          </mc:Choice>
        </mc:AlternateContent>
        <mc:AlternateContent xmlns:mc="http://schemas.openxmlformats.org/markup-compatibility/2006">
          <mc:Choice Requires="x14">
            <control shapeId="1367" r:id="rId345" name="Check Box 343">
              <controlPr defaultSize="0" autoFill="0" autoLine="0" autoPict="0">
                <anchor moveWithCells="1">
                  <from>
                    <xdr:col>0</xdr:col>
                    <xdr:colOff>276225</xdr:colOff>
                    <xdr:row>343</xdr:row>
                    <xdr:rowOff>9525</xdr:rowOff>
                  </from>
                  <to>
                    <xdr:col>3</xdr:col>
                    <xdr:colOff>95250</xdr:colOff>
                    <xdr:row>343</xdr:row>
                    <xdr:rowOff>485775</xdr:rowOff>
                  </to>
                </anchor>
              </controlPr>
            </control>
          </mc:Choice>
        </mc:AlternateContent>
        <mc:AlternateContent xmlns:mc="http://schemas.openxmlformats.org/markup-compatibility/2006">
          <mc:Choice Requires="x14">
            <control shapeId="1368" r:id="rId346" name="Check Box 344">
              <controlPr defaultSize="0" autoFill="0" autoLine="0" autoPict="0">
                <anchor moveWithCells="1">
                  <from>
                    <xdr:col>0</xdr:col>
                    <xdr:colOff>276225</xdr:colOff>
                    <xdr:row>344</xdr:row>
                    <xdr:rowOff>9525</xdr:rowOff>
                  </from>
                  <to>
                    <xdr:col>3</xdr:col>
                    <xdr:colOff>95250</xdr:colOff>
                    <xdr:row>344</xdr:row>
                    <xdr:rowOff>485775</xdr:rowOff>
                  </to>
                </anchor>
              </controlPr>
            </control>
          </mc:Choice>
        </mc:AlternateContent>
        <mc:AlternateContent xmlns:mc="http://schemas.openxmlformats.org/markup-compatibility/2006">
          <mc:Choice Requires="x14">
            <control shapeId="1369" r:id="rId347" name="Check Box 345">
              <controlPr defaultSize="0" autoFill="0" autoLine="0" autoPict="0">
                <anchor moveWithCells="1">
                  <from>
                    <xdr:col>0</xdr:col>
                    <xdr:colOff>276225</xdr:colOff>
                    <xdr:row>345</xdr:row>
                    <xdr:rowOff>9525</xdr:rowOff>
                  </from>
                  <to>
                    <xdr:col>3</xdr:col>
                    <xdr:colOff>95250</xdr:colOff>
                    <xdr:row>345</xdr:row>
                    <xdr:rowOff>485775</xdr:rowOff>
                  </to>
                </anchor>
              </controlPr>
            </control>
          </mc:Choice>
        </mc:AlternateContent>
        <mc:AlternateContent xmlns:mc="http://schemas.openxmlformats.org/markup-compatibility/2006">
          <mc:Choice Requires="x14">
            <control shapeId="1370" r:id="rId348" name="Check Box 346">
              <controlPr defaultSize="0" autoFill="0" autoLine="0" autoPict="0">
                <anchor moveWithCells="1">
                  <from>
                    <xdr:col>0</xdr:col>
                    <xdr:colOff>276225</xdr:colOff>
                    <xdr:row>346</xdr:row>
                    <xdr:rowOff>9525</xdr:rowOff>
                  </from>
                  <to>
                    <xdr:col>3</xdr:col>
                    <xdr:colOff>95250</xdr:colOff>
                    <xdr:row>346</xdr:row>
                    <xdr:rowOff>485775</xdr:rowOff>
                  </to>
                </anchor>
              </controlPr>
            </control>
          </mc:Choice>
        </mc:AlternateContent>
        <mc:AlternateContent xmlns:mc="http://schemas.openxmlformats.org/markup-compatibility/2006">
          <mc:Choice Requires="x14">
            <control shapeId="1371" r:id="rId349" name="Check Box 347">
              <controlPr defaultSize="0" autoFill="0" autoLine="0" autoPict="0">
                <anchor moveWithCells="1">
                  <from>
                    <xdr:col>0</xdr:col>
                    <xdr:colOff>276225</xdr:colOff>
                    <xdr:row>347</xdr:row>
                    <xdr:rowOff>9525</xdr:rowOff>
                  </from>
                  <to>
                    <xdr:col>3</xdr:col>
                    <xdr:colOff>95250</xdr:colOff>
                    <xdr:row>347</xdr:row>
                    <xdr:rowOff>485775</xdr:rowOff>
                  </to>
                </anchor>
              </controlPr>
            </control>
          </mc:Choice>
        </mc:AlternateContent>
        <mc:AlternateContent xmlns:mc="http://schemas.openxmlformats.org/markup-compatibility/2006">
          <mc:Choice Requires="x14">
            <control shapeId="1372" r:id="rId350" name="Check Box 348">
              <controlPr defaultSize="0" autoFill="0" autoLine="0" autoPict="0">
                <anchor moveWithCells="1">
                  <from>
                    <xdr:col>0</xdr:col>
                    <xdr:colOff>276225</xdr:colOff>
                    <xdr:row>348</xdr:row>
                    <xdr:rowOff>9525</xdr:rowOff>
                  </from>
                  <to>
                    <xdr:col>3</xdr:col>
                    <xdr:colOff>95250</xdr:colOff>
                    <xdr:row>348</xdr:row>
                    <xdr:rowOff>485775</xdr:rowOff>
                  </to>
                </anchor>
              </controlPr>
            </control>
          </mc:Choice>
        </mc:AlternateContent>
        <mc:AlternateContent xmlns:mc="http://schemas.openxmlformats.org/markup-compatibility/2006">
          <mc:Choice Requires="x14">
            <control shapeId="1373" r:id="rId351" name="Check Box 349">
              <controlPr defaultSize="0" autoFill="0" autoLine="0" autoPict="0">
                <anchor moveWithCells="1">
                  <from>
                    <xdr:col>0</xdr:col>
                    <xdr:colOff>276225</xdr:colOff>
                    <xdr:row>349</xdr:row>
                    <xdr:rowOff>9525</xdr:rowOff>
                  </from>
                  <to>
                    <xdr:col>3</xdr:col>
                    <xdr:colOff>95250</xdr:colOff>
                    <xdr:row>349</xdr:row>
                    <xdr:rowOff>485775</xdr:rowOff>
                  </to>
                </anchor>
              </controlPr>
            </control>
          </mc:Choice>
        </mc:AlternateContent>
        <mc:AlternateContent xmlns:mc="http://schemas.openxmlformats.org/markup-compatibility/2006">
          <mc:Choice Requires="x14">
            <control shapeId="1374" r:id="rId352" name="Check Box 350">
              <controlPr defaultSize="0" autoFill="0" autoLine="0" autoPict="0">
                <anchor moveWithCells="1">
                  <from>
                    <xdr:col>0</xdr:col>
                    <xdr:colOff>276225</xdr:colOff>
                    <xdr:row>350</xdr:row>
                    <xdr:rowOff>9525</xdr:rowOff>
                  </from>
                  <to>
                    <xdr:col>3</xdr:col>
                    <xdr:colOff>95250</xdr:colOff>
                    <xdr:row>350</xdr:row>
                    <xdr:rowOff>485775</xdr:rowOff>
                  </to>
                </anchor>
              </controlPr>
            </control>
          </mc:Choice>
        </mc:AlternateContent>
        <mc:AlternateContent xmlns:mc="http://schemas.openxmlformats.org/markup-compatibility/2006">
          <mc:Choice Requires="x14">
            <control shapeId="1375" r:id="rId353" name="Check Box 351">
              <controlPr defaultSize="0" autoFill="0" autoLine="0" autoPict="0">
                <anchor moveWithCells="1">
                  <from>
                    <xdr:col>0</xdr:col>
                    <xdr:colOff>276225</xdr:colOff>
                    <xdr:row>351</xdr:row>
                    <xdr:rowOff>9525</xdr:rowOff>
                  </from>
                  <to>
                    <xdr:col>3</xdr:col>
                    <xdr:colOff>95250</xdr:colOff>
                    <xdr:row>351</xdr:row>
                    <xdr:rowOff>485775</xdr:rowOff>
                  </to>
                </anchor>
              </controlPr>
            </control>
          </mc:Choice>
        </mc:AlternateContent>
        <mc:AlternateContent xmlns:mc="http://schemas.openxmlformats.org/markup-compatibility/2006">
          <mc:Choice Requires="x14">
            <control shapeId="1376" r:id="rId354" name="Check Box 352">
              <controlPr defaultSize="0" autoFill="0" autoLine="0" autoPict="0">
                <anchor moveWithCells="1">
                  <from>
                    <xdr:col>0</xdr:col>
                    <xdr:colOff>276225</xdr:colOff>
                    <xdr:row>352</xdr:row>
                    <xdr:rowOff>9525</xdr:rowOff>
                  </from>
                  <to>
                    <xdr:col>3</xdr:col>
                    <xdr:colOff>95250</xdr:colOff>
                    <xdr:row>352</xdr:row>
                    <xdr:rowOff>485775</xdr:rowOff>
                  </to>
                </anchor>
              </controlPr>
            </control>
          </mc:Choice>
        </mc:AlternateContent>
        <mc:AlternateContent xmlns:mc="http://schemas.openxmlformats.org/markup-compatibility/2006">
          <mc:Choice Requires="x14">
            <control shapeId="1377" r:id="rId355" name="Check Box 353">
              <controlPr defaultSize="0" autoFill="0" autoLine="0" autoPict="0">
                <anchor moveWithCells="1">
                  <from>
                    <xdr:col>0</xdr:col>
                    <xdr:colOff>276225</xdr:colOff>
                    <xdr:row>353</xdr:row>
                    <xdr:rowOff>9525</xdr:rowOff>
                  </from>
                  <to>
                    <xdr:col>3</xdr:col>
                    <xdr:colOff>95250</xdr:colOff>
                    <xdr:row>353</xdr:row>
                    <xdr:rowOff>485775</xdr:rowOff>
                  </to>
                </anchor>
              </controlPr>
            </control>
          </mc:Choice>
        </mc:AlternateContent>
        <mc:AlternateContent xmlns:mc="http://schemas.openxmlformats.org/markup-compatibility/2006">
          <mc:Choice Requires="x14">
            <control shapeId="1378" r:id="rId356" name="Check Box 354">
              <controlPr defaultSize="0" autoFill="0" autoLine="0" autoPict="0">
                <anchor moveWithCells="1">
                  <from>
                    <xdr:col>0</xdr:col>
                    <xdr:colOff>276225</xdr:colOff>
                    <xdr:row>354</xdr:row>
                    <xdr:rowOff>9525</xdr:rowOff>
                  </from>
                  <to>
                    <xdr:col>3</xdr:col>
                    <xdr:colOff>95250</xdr:colOff>
                    <xdr:row>354</xdr:row>
                    <xdr:rowOff>485775</xdr:rowOff>
                  </to>
                </anchor>
              </controlPr>
            </control>
          </mc:Choice>
        </mc:AlternateContent>
        <mc:AlternateContent xmlns:mc="http://schemas.openxmlformats.org/markup-compatibility/2006">
          <mc:Choice Requires="x14">
            <control shapeId="1379" r:id="rId357" name="Check Box 355">
              <controlPr defaultSize="0" autoFill="0" autoLine="0" autoPict="0">
                <anchor moveWithCells="1">
                  <from>
                    <xdr:col>0</xdr:col>
                    <xdr:colOff>276225</xdr:colOff>
                    <xdr:row>355</xdr:row>
                    <xdr:rowOff>9525</xdr:rowOff>
                  </from>
                  <to>
                    <xdr:col>3</xdr:col>
                    <xdr:colOff>95250</xdr:colOff>
                    <xdr:row>355</xdr:row>
                    <xdr:rowOff>485775</xdr:rowOff>
                  </to>
                </anchor>
              </controlPr>
            </control>
          </mc:Choice>
        </mc:AlternateContent>
        <mc:AlternateContent xmlns:mc="http://schemas.openxmlformats.org/markup-compatibility/2006">
          <mc:Choice Requires="x14">
            <control shapeId="1380" r:id="rId358" name="Check Box 356">
              <controlPr defaultSize="0" autoFill="0" autoLine="0" autoPict="0">
                <anchor moveWithCells="1">
                  <from>
                    <xdr:col>0</xdr:col>
                    <xdr:colOff>276225</xdr:colOff>
                    <xdr:row>356</xdr:row>
                    <xdr:rowOff>9525</xdr:rowOff>
                  </from>
                  <to>
                    <xdr:col>3</xdr:col>
                    <xdr:colOff>95250</xdr:colOff>
                    <xdr:row>356</xdr:row>
                    <xdr:rowOff>485775</xdr:rowOff>
                  </to>
                </anchor>
              </controlPr>
            </control>
          </mc:Choice>
        </mc:AlternateContent>
        <mc:AlternateContent xmlns:mc="http://schemas.openxmlformats.org/markup-compatibility/2006">
          <mc:Choice Requires="x14">
            <control shapeId="1381" r:id="rId359" name="Check Box 357">
              <controlPr defaultSize="0" autoFill="0" autoLine="0" autoPict="0">
                <anchor moveWithCells="1">
                  <from>
                    <xdr:col>0</xdr:col>
                    <xdr:colOff>276225</xdr:colOff>
                    <xdr:row>357</xdr:row>
                    <xdr:rowOff>9525</xdr:rowOff>
                  </from>
                  <to>
                    <xdr:col>3</xdr:col>
                    <xdr:colOff>95250</xdr:colOff>
                    <xdr:row>357</xdr:row>
                    <xdr:rowOff>485775</xdr:rowOff>
                  </to>
                </anchor>
              </controlPr>
            </control>
          </mc:Choice>
        </mc:AlternateContent>
        <mc:AlternateContent xmlns:mc="http://schemas.openxmlformats.org/markup-compatibility/2006">
          <mc:Choice Requires="x14">
            <control shapeId="1382" r:id="rId360" name="Check Box 358">
              <controlPr defaultSize="0" autoFill="0" autoLine="0" autoPict="0">
                <anchor moveWithCells="1">
                  <from>
                    <xdr:col>0</xdr:col>
                    <xdr:colOff>276225</xdr:colOff>
                    <xdr:row>358</xdr:row>
                    <xdr:rowOff>9525</xdr:rowOff>
                  </from>
                  <to>
                    <xdr:col>3</xdr:col>
                    <xdr:colOff>95250</xdr:colOff>
                    <xdr:row>358</xdr:row>
                    <xdr:rowOff>485775</xdr:rowOff>
                  </to>
                </anchor>
              </controlPr>
            </control>
          </mc:Choice>
        </mc:AlternateContent>
        <mc:AlternateContent xmlns:mc="http://schemas.openxmlformats.org/markup-compatibility/2006">
          <mc:Choice Requires="x14">
            <control shapeId="1383" r:id="rId361" name="Check Box 359">
              <controlPr defaultSize="0" autoFill="0" autoLine="0" autoPict="0">
                <anchor moveWithCells="1">
                  <from>
                    <xdr:col>0</xdr:col>
                    <xdr:colOff>276225</xdr:colOff>
                    <xdr:row>359</xdr:row>
                    <xdr:rowOff>9525</xdr:rowOff>
                  </from>
                  <to>
                    <xdr:col>3</xdr:col>
                    <xdr:colOff>95250</xdr:colOff>
                    <xdr:row>359</xdr:row>
                    <xdr:rowOff>485775</xdr:rowOff>
                  </to>
                </anchor>
              </controlPr>
            </control>
          </mc:Choice>
        </mc:AlternateContent>
        <mc:AlternateContent xmlns:mc="http://schemas.openxmlformats.org/markup-compatibility/2006">
          <mc:Choice Requires="x14">
            <control shapeId="1384" r:id="rId362" name="Check Box 360">
              <controlPr defaultSize="0" autoFill="0" autoLine="0" autoPict="0">
                <anchor moveWithCells="1">
                  <from>
                    <xdr:col>0</xdr:col>
                    <xdr:colOff>276225</xdr:colOff>
                    <xdr:row>360</xdr:row>
                    <xdr:rowOff>9525</xdr:rowOff>
                  </from>
                  <to>
                    <xdr:col>3</xdr:col>
                    <xdr:colOff>95250</xdr:colOff>
                    <xdr:row>360</xdr:row>
                    <xdr:rowOff>485775</xdr:rowOff>
                  </to>
                </anchor>
              </controlPr>
            </control>
          </mc:Choice>
        </mc:AlternateContent>
        <mc:AlternateContent xmlns:mc="http://schemas.openxmlformats.org/markup-compatibility/2006">
          <mc:Choice Requires="x14">
            <control shapeId="1385" r:id="rId363" name="Check Box 361">
              <controlPr defaultSize="0" autoFill="0" autoLine="0" autoPict="0">
                <anchor moveWithCells="1">
                  <from>
                    <xdr:col>0</xdr:col>
                    <xdr:colOff>276225</xdr:colOff>
                    <xdr:row>361</xdr:row>
                    <xdr:rowOff>9525</xdr:rowOff>
                  </from>
                  <to>
                    <xdr:col>3</xdr:col>
                    <xdr:colOff>95250</xdr:colOff>
                    <xdr:row>361</xdr:row>
                    <xdr:rowOff>485775</xdr:rowOff>
                  </to>
                </anchor>
              </controlPr>
            </control>
          </mc:Choice>
        </mc:AlternateContent>
        <mc:AlternateContent xmlns:mc="http://schemas.openxmlformats.org/markup-compatibility/2006">
          <mc:Choice Requires="x14">
            <control shapeId="1386" r:id="rId364" name="Check Box 362">
              <controlPr defaultSize="0" autoFill="0" autoLine="0" autoPict="0">
                <anchor moveWithCells="1">
                  <from>
                    <xdr:col>0</xdr:col>
                    <xdr:colOff>276225</xdr:colOff>
                    <xdr:row>362</xdr:row>
                    <xdr:rowOff>9525</xdr:rowOff>
                  </from>
                  <to>
                    <xdr:col>3</xdr:col>
                    <xdr:colOff>95250</xdr:colOff>
                    <xdr:row>362</xdr:row>
                    <xdr:rowOff>485775</xdr:rowOff>
                  </to>
                </anchor>
              </controlPr>
            </control>
          </mc:Choice>
        </mc:AlternateContent>
        <mc:AlternateContent xmlns:mc="http://schemas.openxmlformats.org/markup-compatibility/2006">
          <mc:Choice Requires="x14">
            <control shapeId="1387" r:id="rId365" name="Check Box 363">
              <controlPr defaultSize="0" autoFill="0" autoLine="0" autoPict="0">
                <anchor moveWithCells="1">
                  <from>
                    <xdr:col>0</xdr:col>
                    <xdr:colOff>276225</xdr:colOff>
                    <xdr:row>363</xdr:row>
                    <xdr:rowOff>9525</xdr:rowOff>
                  </from>
                  <to>
                    <xdr:col>3</xdr:col>
                    <xdr:colOff>95250</xdr:colOff>
                    <xdr:row>363</xdr:row>
                    <xdr:rowOff>485775</xdr:rowOff>
                  </to>
                </anchor>
              </controlPr>
            </control>
          </mc:Choice>
        </mc:AlternateContent>
        <mc:AlternateContent xmlns:mc="http://schemas.openxmlformats.org/markup-compatibility/2006">
          <mc:Choice Requires="x14">
            <control shapeId="1388" r:id="rId366" name="Check Box 364">
              <controlPr defaultSize="0" autoFill="0" autoLine="0" autoPict="0">
                <anchor moveWithCells="1">
                  <from>
                    <xdr:col>0</xdr:col>
                    <xdr:colOff>276225</xdr:colOff>
                    <xdr:row>364</xdr:row>
                    <xdr:rowOff>9525</xdr:rowOff>
                  </from>
                  <to>
                    <xdr:col>3</xdr:col>
                    <xdr:colOff>95250</xdr:colOff>
                    <xdr:row>364</xdr:row>
                    <xdr:rowOff>485775</xdr:rowOff>
                  </to>
                </anchor>
              </controlPr>
            </control>
          </mc:Choice>
        </mc:AlternateContent>
        <mc:AlternateContent xmlns:mc="http://schemas.openxmlformats.org/markup-compatibility/2006">
          <mc:Choice Requires="x14">
            <control shapeId="1389" r:id="rId367" name="Check Box 365">
              <controlPr defaultSize="0" autoFill="0" autoLine="0" autoPict="0">
                <anchor moveWithCells="1">
                  <from>
                    <xdr:col>0</xdr:col>
                    <xdr:colOff>276225</xdr:colOff>
                    <xdr:row>365</xdr:row>
                    <xdr:rowOff>9525</xdr:rowOff>
                  </from>
                  <to>
                    <xdr:col>3</xdr:col>
                    <xdr:colOff>95250</xdr:colOff>
                    <xdr:row>365</xdr:row>
                    <xdr:rowOff>485775</xdr:rowOff>
                  </to>
                </anchor>
              </controlPr>
            </control>
          </mc:Choice>
        </mc:AlternateContent>
        <mc:AlternateContent xmlns:mc="http://schemas.openxmlformats.org/markup-compatibility/2006">
          <mc:Choice Requires="x14">
            <control shapeId="1390" r:id="rId368" name="Check Box 366">
              <controlPr defaultSize="0" autoFill="0" autoLine="0" autoPict="0">
                <anchor moveWithCells="1">
                  <from>
                    <xdr:col>0</xdr:col>
                    <xdr:colOff>276225</xdr:colOff>
                    <xdr:row>366</xdr:row>
                    <xdr:rowOff>9525</xdr:rowOff>
                  </from>
                  <to>
                    <xdr:col>3</xdr:col>
                    <xdr:colOff>95250</xdr:colOff>
                    <xdr:row>366</xdr:row>
                    <xdr:rowOff>485775</xdr:rowOff>
                  </to>
                </anchor>
              </controlPr>
            </control>
          </mc:Choice>
        </mc:AlternateContent>
        <mc:AlternateContent xmlns:mc="http://schemas.openxmlformats.org/markup-compatibility/2006">
          <mc:Choice Requires="x14">
            <control shapeId="1391" r:id="rId369" name="Check Box 367">
              <controlPr defaultSize="0" autoFill="0" autoLine="0" autoPict="0">
                <anchor moveWithCells="1">
                  <from>
                    <xdr:col>0</xdr:col>
                    <xdr:colOff>276225</xdr:colOff>
                    <xdr:row>367</xdr:row>
                    <xdr:rowOff>9525</xdr:rowOff>
                  </from>
                  <to>
                    <xdr:col>3</xdr:col>
                    <xdr:colOff>95250</xdr:colOff>
                    <xdr:row>367</xdr:row>
                    <xdr:rowOff>485775</xdr:rowOff>
                  </to>
                </anchor>
              </controlPr>
            </control>
          </mc:Choice>
        </mc:AlternateContent>
        <mc:AlternateContent xmlns:mc="http://schemas.openxmlformats.org/markup-compatibility/2006">
          <mc:Choice Requires="x14">
            <control shapeId="1392" r:id="rId370" name="Check Box 368">
              <controlPr defaultSize="0" autoFill="0" autoLine="0" autoPict="0">
                <anchor moveWithCells="1">
                  <from>
                    <xdr:col>0</xdr:col>
                    <xdr:colOff>276225</xdr:colOff>
                    <xdr:row>368</xdr:row>
                    <xdr:rowOff>9525</xdr:rowOff>
                  </from>
                  <to>
                    <xdr:col>3</xdr:col>
                    <xdr:colOff>95250</xdr:colOff>
                    <xdr:row>368</xdr:row>
                    <xdr:rowOff>485775</xdr:rowOff>
                  </to>
                </anchor>
              </controlPr>
            </control>
          </mc:Choice>
        </mc:AlternateContent>
        <mc:AlternateContent xmlns:mc="http://schemas.openxmlformats.org/markup-compatibility/2006">
          <mc:Choice Requires="x14">
            <control shapeId="1393" r:id="rId371" name="Check Box 369">
              <controlPr defaultSize="0" autoFill="0" autoLine="0" autoPict="0">
                <anchor moveWithCells="1">
                  <from>
                    <xdr:col>0</xdr:col>
                    <xdr:colOff>276225</xdr:colOff>
                    <xdr:row>369</xdr:row>
                    <xdr:rowOff>9525</xdr:rowOff>
                  </from>
                  <to>
                    <xdr:col>3</xdr:col>
                    <xdr:colOff>95250</xdr:colOff>
                    <xdr:row>369</xdr:row>
                    <xdr:rowOff>485775</xdr:rowOff>
                  </to>
                </anchor>
              </controlPr>
            </control>
          </mc:Choice>
        </mc:AlternateContent>
        <mc:AlternateContent xmlns:mc="http://schemas.openxmlformats.org/markup-compatibility/2006">
          <mc:Choice Requires="x14">
            <control shapeId="1394" r:id="rId372" name="Check Box 370">
              <controlPr defaultSize="0" autoFill="0" autoLine="0" autoPict="0">
                <anchor moveWithCells="1">
                  <from>
                    <xdr:col>0</xdr:col>
                    <xdr:colOff>276225</xdr:colOff>
                    <xdr:row>370</xdr:row>
                    <xdr:rowOff>9525</xdr:rowOff>
                  </from>
                  <to>
                    <xdr:col>3</xdr:col>
                    <xdr:colOff>95250</xdr:colOff>
                    <xdr:row>370</xdr:row>
                    <xdr:rowOff>485775</xdr:rowOff>
                  </to>
                </anchor>
              </controlPr>
            </control>
          </mc:Choice>
        </mc:AlternateContent>
        <mc:AlternateContent xmlns:mc="http://schemas.openxmlformats.org/markup-compatibility/2006">
          <mc:Choice Requires="x14">
            <control shapeId="1395" r:id="rId373" name="Check Box 371">
              <controlPr defaultSize="0" autoFill="0" autoLine="0" autoPict="0">
                <anchor moveWithCells="1">
                  <from>
                    <xdr:col>0</xdr:col>
                    <xdr:colOff>276225</xdr:colOff>
                    <xdr:row>371</xdr:row>
                    <xdr:rowOff>9525</xdr:rowOff>
                  </from>
                  <to>
                    <xdr:col>3</xdr:col>
                    <xdr:colOff>95250</xdr:colOff>
                    <xdr:row>371</xdr:row>
                    <xdr:rowOff>485775</xdr:rowOff>
                  </to>
                </anchor>
              </controlPr>
            </control>
          </mc:Choice>
        </mc:AlternateContent>
        <mc:AlternateContent xmlns:mc="http://schemas.openxmlformats.org/markup-compatibility/2006">
          <mc:Choice Requires="x14">
            <control shapeId="1396" r:id="rId374" name="Check Box 372">
              <controlPr defaultSize="0" autoFill="0" autoLine="0" autoPict="0">
                <anchor moveWithCells="1">
                  <from>
                    <xdr:col>0</xdr:col>
                    <xdr:colOff>276225</xdr:colOff>
                    <xdr:row>372</xdr:row>
                    <xdr:rowOff>9525</xdr:rowOff>
                  </from>
                  <to>
                    <xdr:col>3</xdr:col>
                    <xdr:colOff>95250</xdr:colOff>
                    <xdr:row>372</xdr:row>
                    <xdr:rowOff>485775</xdr:rowOff>
                  </to>
                </anchor>
              </controlPr>
            </control>
          </mc:Choice>
        </mc:AlternateContent>
        <mc:AlternateContent xmlns:mc="http://schemas.openxmlformats.org/markup-compatibility/2006">
          <mc:Choice Requires="x14">
            <control shapeId="1397" r:id="rId375" name="Check Box 373">
              <controlPr defaultSize="0" autoFill="0" autoLine="0" autoPict="0">
                <anchor moveWithCells="1">
                  <from>
                    <xdr:col>0</xdr:col>
                    <xdr:colOff>276225</xdr:colOff>
                    <xdr:row>373</xdr:row>
                    <xdr:rowOff>9525</xdr:rowOff>
                  </from>
                  <to>
                    <xdr:col>3</xdr:col>
                    <xdr:colOff>95250</xdr:colOff>
                    <xdr:row>373</xdr:row>
                    <xdr:rowOff>485775</xdr:rowOff>
                  </to>
                </anchor>
              </controlPr>
            </control>
          </mc:Choice>
        </mc:AlternateContent>
        <mc:AlternateContent xmlns:mc="http://schemas.openxmlformats.org/markup-compatibility/2006">
          <mc:Choice Requires="x14">
            <control shapeId="1398" r:id="rId376" name="Check Box 374">
              <controlPr defaultSize="0" autoFill="0" autoLine="0" autoPict="0">
                <anchor moveWithCells="1">
                  <from>
                    <xdr:col>0</xdr:col>
                    <xdr:colOff>276225</xdr:colOff>
                    <xdr:row>374</xdr:row>
                    <xdr:rowOff>9525</xdr:rowOff>
                  </from>
                  <to>
                    <xdr:col>3</xdr:col>
                    <xdr:colOff>95250</xdr:colOff>
                    <xdr:row>374</xdr:row>
                    <xdr:rowOff>485775</xdr:rowOff>
                  </to>
                </anchor>
              </controlPr>
            </control>
          </mc:Choice>
        </mc:AlternateContent>
        <mc:AlternateContent xmlns:mc="http://schemas.openxmlformats.org/markup-compatibility/2006">
          <mc:Choice Requires="x14">
            <control shapeId="1399" r:id="rId377" name="Check Box 375">
              <controlPr defaultSize="0" autoFill="0" autoLine="0" autoPict="0">
                <anchor moveWithCells="1">
                  <from>
                    <xdr:col>0</xdr:col>
                    <xdr:colOff>276225</xdr:colOff>
                    <xdr:row>375</xdr:row>
                    <xdr:rowOff>9525</xdr:rowOff>
                  </from>
                  <to>
                    <xdr:col>3</xdr:col>
                    <xdr:colOff>95250</xdr:colOff>
                    <xdr:row>375</xdr:row>
                    <xdr:rowOff>485775</xdr:rowOff>
                  </to>
                </anchor>
              </controlPr>
            </control>
          </mc:Choice>
        </mc:AlternateContent>
        <mc:AlternateContent xmlns:mc="http://schemas.openxmlformats.org/markup-compatibility/2006">
          <mc:Choice Requires="x14">
            <control shapeId="1400" r:id="rId378" name="Check Box 376">
              <controlPr defaultSize="0" autoFill="0" autoLine="0" autoPict="0">
                <anchor moveWithCells="1">
                  <from>
                    <xdr:col>0</xdr:col>
                    <xdr:colOff>276225</xdr:colOff>
                    <xdr:row>376</xdr:row>
                    <xdr:rowOff>9525</xdr:rowOff>
                  </from>
                  <to>
                    <xdr:col>3</xdr:col>
                    <xdr:colOff>95250</xdr:colOff>
                    <xdr:row>376</xdr:row>
                    <xdr:rowOff>485775</xdr:rowOff>
                  </to>
                </anchor>
              </controlPr>
            </control>
          </mc:Choice>
        </mc:AlternateContent>
        <mc:AlternateContent xmlns:mc="http://schemas.openxmlformats.org/markup-compatibility/2006">
          <mc:Choice Requires="x14">
            <control shapeId="1401" r:id="rId379" name="Check Box 377">
              <controlPr defaultSize="0" autoFill="0" autoLine="0" autoPict="0">
                <anchor moveWithCells="1">
                  <from>
                    <xdr:col>0</xdr:col>
                    <xdr:colOff>276225</xdr:colOff>
                    <xdr:row>377</xdr:row>
                    <xdr:rowOff>9525</xdr:rowOff>
                  </from>
                  <to>
                    <xdr:col>3</xdr:col>
                    <xdr:colOff>95250</xdr:colOff>
                    <xdr:row>377</xdr:row>
                    <xdr:rowOff>485775</xdr:rowOff>
                  </to>
                </anchor>
              </controlPr>
            </control>
          </mc:Choice>
        </mc:AlternateContent>
        <mc:AlternateContent xmlns:mc="http://schemas.openxmlformats.org/markup-compatibility/2006">
          <mc:Choice Requires="x14">
            <control shapeId="1402" r:id="rId380" name="Check Box 378">
              <controlPr defaultSize="0" autoFill="0" autoLine="0" autoPict="0">
                <anchor moveWithCells="1">
                  <from>
                    <xdr:col>0</xdr:col>
                    <xdr:colOff>276225</xdr:colOff>
                    <xdr:row>378</xdr:row>
                    <xdr:rowOff>9525</xdr:rowOff>
                  </from>
                  <to>
                    <xdr:col>3</xdr:col>
                    <xdr:colOff>95250</xdr:colOff>
                    <xdr:row>378</xdr:row>
                    <xdr:rowOff>485775</xdr:rowOff>
                  </to>
                </anchor>
              </controlPr>
            </control>
          </mc:Choice>
        </mc:AlternateContent>
        <mc:AlternateContent xmlns:mc="http://schemas.openxmlformats.org/markup-compatibility/2006">
          <mc:Choice Requires="x14">
            <control shapeId="1403" r:id="rId381" name="Check Box 379">
              <controlPr defaultSize="0" autoFill="0" autoLine="0" autoPict="0">
                <anchor moveWithCells="1">
                  <from>
                    <xdr:col>0</xdr:col>
                    <xdr:colOff>276225</xdr:colOff>
                    <xdr:row>379</xdr:row>
                    <xdr:rowOff>9525</xdr:rowOff>
                  </from>
                  <to>
                    <xdr:col>3</xdr:col>
                    <xdr:colOff>95250</xdr:colOff>
                    <xdr:row>379</xdr:row>
                    <xdr:rowOff>485775</xdr:rowOff>
                  </to>
                </anchor>
              </controlPr>
            </control>
          </mc:Choice>
        </mc:AlternateContent>
        <mc:AlternateContent xmlns:mc="http://schemas.openxmlformats.org/markup-compatibility/2006">
          <mc:Choice Requires="x14">
            <control shapeId="1404" r:id="rId382" name="Check Box 380">
              <controlPr defaultSize="0" autoFill="0" autoLine="0" autoPict="0">
                <anchor moveWithCells="1">
                  <from>
                    <xdr:col>0</xdr:col>
                    <xdr:colOff>276225</xdr:colOff>
                    <xdr:row>380</xdr:row>
                    <xdr:rowOff>9525</xdr:rowOff>
                  </from>
                  <to>
                    <xdr:col>3</xdr:col>
                    <xdr:colOff>95250</xdr:colOff>
                    <xdr:row>380</xdr:row>
                    <xdr:rowOff>485775</xdr:rowOff>
                  </to>
                </anchor>
              </controlPr>
            </control>
          </mc:Choice>
        </mc:AlternateContent>
        <mc:AlternateContent xmlns:mc="http://schemas.openxmlformats.org/markup-compatibility/2006">
          <mc:Choice Requires="x14">
            <control shapeId="1405" r:id="rId383" name="Check Box 381">
              <controlPr defaultSize="0" autoFill="0" autoLine="0" autoPict="0">
                <anchor moveWithCells="1">
                  <from>
                    <xdr:col>0</xdr:col>
                    <xdr:colOff>276225</xdr:colOff>
                    <xdr:row>381</xdr:row>
                    <xdr:rowOff>9525</xdr:rowOff>
                  </from>
                  <to>
                    <xdr:col>3</xdr:col>
                    <xdr:colOff>95250</xdr:colOff>
                    <xdr:row>381</xdr:row>
                    <xdr:rowOff>485775</xdr:rowOff>
                  </to>
                </anchor>
              </controlPr>
            </control>
          </mc:Choice>
        </mc:AlternateContent>
        <mc:AlternateContent xmlns:mc="http://schemas.openxmlformats.org/markup-compatibility/2006">
          <mc:Choice Requires="x14">
            <control shapeId="1406" r:id="rId384" name="Check Box 382">
              <controlPr defaultSize="0" autoFill="0" autoLine="0" autoPict="0">
                <anchor moveWithCells="1">
                  <from>
                    <xdr:col>0</xdr:col>
                    <xdr:colOff>276225</xdr:colOff>
                    <xdr:row>382</xdr:row>
                    <xdr:rowOff>9525</xdr:rowOff>
                  </from>
                  <to>
                    <xdr:col>3</xdr:col>
                    <xdr:colOff>95250</xdr:colOff>
                    <xdr:row>382</xdr:row>
                    <xdr:rowOff>485775</xdr:rowOff>
                  </to>
                </anchor>
              </controlPr>
            </control>
          </mc:Choice>
        </mc:AlternateContent>
        <mc:AlternateContent xmlns:mc="http://schemas.openxmlformats.org/markup-compatibility/2006">
          <mc:Choice Requires="x14">
            <control shapeId="1407" r:id="rId385" name="Check Box 383">
              <controlPr defaultSize="0" autoFill="0" autoLine="0" autoPict="0">
                <anchor moveWithCells="1">
                  <from>
                    <xdr:col>0</xdr:col>
                    <xdr:colOff>276225</xdr:colOff>
                    <xdr:row>383</xdr:row>
                    <xdr:rowOff>9525</xdr:rowOff>
                  </from>
                  <to>
                    <xdr:col>3</xdr:col>
                    <xdr:colOff>95250</xdr:colOff>
                    <xdr:row>383</xdr:row>
                    <xdr:rowOff>485775</xdr:rowOff>
                  </to>
                </anchor>
              </controlPr>
            </control>
          </mc:Choice>
        </mc:AlternateContent>
        <mc:AlternateContent xmlns:mc="http://schemas.openxmlformats.org/markup-compatibility/2006">
          <mc:Choice Requires="x14">
            <control shapeId="1408" r:id="rId386" name="Check Box 384">
              <controlPr defaultSize="0" autoFill="0" autoLine="0" autoPict="0">
                <anchor moveWithCells="1">
                  <from>
                    <xdr:col>0</xdr:col>
                    <xdr:colOff>276225</xdr:colOff>
                    <xdr:row>384</xdr:row>
                    <xdr:rowOff>9525</xdr:rowOff>
                  </from>
                  <to>
                    <xdr:col>3</xdr:col>
                    <xdr:colOff>95250</xdr:colOff>
                    <xdr:row>384</xdr:row>
                    <xdr:rowOff>485775</xdr:rowOff>
                  </to>
                </anchor>
              </controlPr>
            </control>
          </mc:Choice>
        </mc:AlternateContent>
        <mc:AlternateContent xmlns:mc="http://schemas.openxmlformats.org/markup-compatibility/2006">
          <mc:Choice Requires="x14">
            <control shapeId="1409" r:id="rId387" name="Check Box 385">
              <controlPr defaultSize="0" autoFill="0" autoLine="0" autoPict="0">
                <anchor moveWithCells="1">
                  <from>
                    <xdr:col>0</xdr:col>
                    <xdr:colOff>276225</xdr:colOff>
                    <xdr:row>385</xdr:row>
                    <xdr:rowOff>9525</xdr:rowOff>
                  </from>
                  <to>
                    <xdr:col>3</xdr:col>
                    <xdr:colOff>95250</xdr:colOff>
                    <xdr:row>385</xdr:row>
                    <xdr:rowOff>485775</xdr:rowOff>
                  </to>
                </anchor>
              </controlPr>
            </control>
          </mc:Choice>
        </mc:AlternateContent>
        <mc:AlternateContent xmlns:mc="http://schemas.openxmlformats.org/markup-compatibility/2006">
          <mc:Choice Requires="x14">
            <control shapeId="1410" r:id="rId388" name="Check Box 386">
              <controlPr defaultSize="0" autoFill="0" autoLine="0" autoPict="0">
                <anchor moveWithCells="1">
                  <from>
                    <xdr:col>0</xdr:col>
                    <xdr:colOff>276225</xdr:colOff>
                    <xdr:row>386</xdr:row>
                    <xdr:rowOff>9525</xdr:rowOff>
                  </from>
                  <to>
                    <xdr:col>3</xdr:col>
                    <xdr:colOff>95250</xdr:colOff>
                    <xdr:row>386</xdr:row>
                    <xdr:rowOff>485775</xdr:rowOff>
                  </to>
                </anchor>
              </controlPr>
            </control>
          </mc:Choice>
        </mc:AlternateContent>
        <mc:AlternateContent xmlns:mc="http://schemas.openxmlformats.org/markup-compatibility/2006">
          <mc:Choice Requires="x14">
            <control shapeId="1411" r:id="rId389" name="Check Box 387">
              <controlPr defaultSize="0" autoFill="0" autoLine="0" autoPict="0">
                <anchor moveWithCells="1">
                  <from>
                    <xdr:col>0</xdr:col>
                    <xdr:colOff>276225</xdr:colOff>
                    <xdr:row>387</xdr:row>
                    <xdr:rowOff>9525</xdr:rowOff>
                  </from>
                  <to>
                    <xdr:col>3</xdr:col>
                    <xdr:colOff>95250</xdr:colOff>
                    <xdr:row>387</xdr:row>
                    <xdr:rowOff>485775</xdr:rowOff>
                  </to>
                </anchor>
              </controlPr>
            </control>
          </mc:Choice>
        </mc:AlternateContent>
        <mc:AlternateContent xmlns:mc="http://schemas.openxmlformats.org/markup-compatibility/2006">
          <mc:Choice Requires="x14">
            <control shapeId="1412" r:id="rId390" name="Check Box 388">
              <controlPr defaultSize="0" autoFill="0" autoLine="0" autoPict="0">
                <anchor moveWithCells="1">
                  <from>
                    <xdr:col>0</xdr:col>
                    <xdr:colOff>276225</xdr:colOff>
                    <xdr:row>388</xdr:row>
                    <xdr:rowOff>9525</xdr:rowOff>
                  </from>
                  <to>
                    <xdr:col>3</xdr:col>
                    <xdr:colOff>95250</xdr:colOff>
                    <xdr:row>388</xdr:row>
                    <xdr:rowOff>485775</xdr:rowOff>
                  </to>
                </anchor>
              </controlPr>
            </control>
          </mc:Choice>
        </mc:AlternateContent>
        <mc:AlternateContent xmlns:mc="http://schemas.openxmlformats.org/markup-compatibility/2006">
          <mc:Choice Requires="x14">
            <control shapeId="1413" r:id="rId391" name="Check Box 389">
              <controlPr defaultSize="0" autoFill="0" autoLine="0" autoPict="0">
                <anchor moveWithCells="1">
                  <from>
                    <xdr:col>0</xdr:col>
                    <xdr:colOff>276225</xdr:colOff>
                    <xdr:row>389</xdr:row>
                    <xdr:rowOff>9525</xdr:rowOff>
                  </from>
                  <to>
                    <xdr:col>3</xdr:col>
                    <xdr:colOff>95250</xdr:colOff>
                    <xdr:row>389</xdr:row>
                    <xdr:rowOff>485775</xdr:rowOff>
                  </to>
                </anchor>
              </controlPr>
            </control>
          </mc:Choice>
        </mc:AlternateContent>
        <mc:AlternateContent xmlns:mc="http://schemas.openxmlformats.org/markup-compatibility/2006">
          <mc:Choice Requires="x14">
            <control shapeId="1414" r:id="rId392" name="Check Box 390">
              <controlPr defaultSize="0" autoFill="0" autoLine="0" autoPict="0">
                <anchor moveWithCells="1">
                  <from>
                    <xdr:col>0</xdr:col>
                    <xdr:colOff>276225</xdr:colOff>
                    <xdr:row>390</xdr:row>
                    <xdr:rowOff>9525</xdr:rowOff>
                  </from>
                  <to>
                    <xdr:col>3</xdr:col>
                    <xdr:colOff>95250</xdr:colOff>
                    <xdr:row>390</xdr:row>
                    <xdr:rowOff>485775</xdr:rowOff>
                  </to>
                </anchor>
              </controlPr>
            </control>
          </mc:Choice>
        </mc:AlternateContent>
        <mc:AlternateContent xmlns:mc="http://schemas.openxmlformats.org/markup-compatibility/2006">
          <mc:Choice Requires="x14">
            <control shapeId="1415" r:id="rId393" name="Check Box 391">
              <controlPr defaultSize="0" autoFill="0" autoLine="0" autoPict="0">
                <anchor moveWithCells="1">
                  <from>
                    <xdr:col>0</xdr:col>
                    <xdr:colOff>276225</xdr:colOff>
                    <xdr:row>391</xdr:row>
                    <xdr:rowOff>9525</xdr:rowOff>
                  </from>
                  <to>
                    <xdr:col>3</xdr:col>
                    <xdr:colOff>95250</xdr:colOff>
                    <xdr:row>391</xdr:row>
                    <xdr:rowOff>485775</xdr:rowOff>
                  </to>
                </anchor>
              </controlPr>
            </control>
          </mc:Choice>
        </mc:AlternateContent>
        <mc:AlternateContent xmlns:mc="http://schemas.openxmlformats.org/markup-compatibility/2006">
          <mc:Choice Requires="x14">
            <control shapeId="1416" r:id="rId394" name="Check Box 392">
              <controlPr defaultSize="0" autoFill="0" autoLine="0" autoPict="0">
                <anchor moveWithCells="1">
                  <from>
                    <xdr:col>0</xdr:col>
                    <xdr:colOff>276225</xdr:colOff>
                    <xdr:row>392</xdr:row>
                    <xdr:rowOff>9525</xdr:rowOff>
                  </from>
                  <to>
                    <xdr:col>3</xdr:col>
                    <xdr:colOff>95250</xdr:colOff>
                    <xdr:row>392</xdr:row>
                    <xdr:rowOff>485775</xdr:rowOff>
                  </to>
                </anchor>
              </controlPr>
            </control>
          </mc:Choice>
        </mc:AlternateContent>
        <mc:AlternateContent xmlns:mc="http://schemas.openxmlformats.org/markup-compatibility/2006">
          <mc:Choice Requires="x14">
            <control shapeId="1417" r:id="rId395" name="Check Box 393">
              <controlPr defaultSize="0" autoFill="0" autoLine="0" autoPict="0">
                <anchor moveWithCells="1">
                  <from>
                    <xdr:col>0</xdr:col>
                    <xdr:colOff>276225</xdr:colOff>
                    <xdr:row>393</xdr:row>
                    <xdr:rowOff>9525</xdr:rowOff>
                  </from>
                  <to>
                    <xdr:col>3</xdr:col>
                    <xdr:colOff>95250</xdr:colOff>
                    <xdr:row>393</xdr:row>
                    <xdr:rowOff>485775</xdr:rowOff>
                  </to>
                </anchor>
              </controlPr>
            </control>
          </mc:Choice>
        </mc:AlternateContent>
        <mc:AlternateContent xmlns:mc="http://schemas.openxmlformats.org/markup-compatibility/2006">
          <mc:Choice Requires="x14">
            <control shapeId="1418" r:id="rId396" name="Check Box 394">
              <controlPr defaultSize="0" autoFill="0" autoLine="0" autoPict="0">
                <anchor moveWithCells="1">
                  <from>
                    <xdr:col>0</xdr:col>
                    <xdr:colOff>276225</xdr:colOff>
                    <xdr:row>394</xdr:row>
                    <xdr:rowOff>9525</xdr:rowOff>
                  </from>
                  <to>
                    <xdr:col>3</xdr:col>
                    <xdr:colOff>95250</xdr:colOff>
                    <xdr:row>394</xdr:row>
                    <xdr:rowOff>485775</xdr:rowOff>
                  </to>
                </anchor>
              </controlPr>
            </control>
          </mc:Choice>
        </mc:AlternateContent>
        <mc:AlternateContent xmlns:mc="http://schemas.openxmlformats.org/markup-compatibility/2006">
          <mc:Choice Requires="x14">
            <control shapeId="1419" r:id="rId397" name="Check Box 395">
              <controlPr defaultSize="0" autoFill="0" autoLine="0" autoPict="0">
                <anchor moveWithCells="1">
                  <from>
                    <xdr:col>0</xdr:col>
                    <xdr:colOff>276225</xdr:colOff>
                    <xdr:row>395</xdr:row>
                    <xdr:rowOff>9525</xdr:rowOff>
                  </from>
                  <to>
                    <xdr:col>3</xdr:col>
                    <xdr:colOff>95250</xdr:colOff>
                    <xdr:row>395</xdr:row>
                    <xdr:rowOff>485775</xdr:rowOff>
                  </to>
                </anchor>
              </controlPr>
            </control>
          </mc:Choice>
        </mc:AlternateContent>
        <mc:AlternateContent xmlns:mc="http://schemas.openxmlformats.org/markup-compatibility/2006">
          <mc:Choice Requires="x14">
            <control shapeId="1420" r:id="rId398" name="Check Box 396">
              <controlPr defaultSize="0" autoFill="0" autoLine="0" autoPict="0">
                <anchor moveWithCells="1">
                  <from>
                    <xdr:col>0</xdr:col>
                    <xdr:colOff>276225</xdr:colOff>
                    <xdr:row>396</xdr:row>
                    <xdr:rowOff>9525</xdr:rowOff>
                  </from>
                  <to>
                    <xdr:col>3</xdr:col>
                    <xdr:colOff>95250</xdr:colOff>
                    <xdr:row>396</xdr:row>
                    <xdr:rowOff>485775</xdr:rowOff>
                  </to>
                </anchor>
              </controlPr>
            </control>
          </mc:Choice>
        </mc:AlternateContent>
        <mc:AlternateContent xmlns:mc="http://schemas.openxmlformats.org/markup-compatibility/2006">
          <mc:Choice Requires="x14">
            <control shapeId="1421" r:id="rId399" name="Check Box 397">
              <controlPr defaultSize="0" autoFill="0" autoLine="0" autoPict="0">
                <anchor moveWithCells="1">
                  <from>
                    <xdr:col>0</xdr:col>
                    <xdr:colOff>276225</xdr:colOff>
                    <xdr:row>397</xdr:row>
                    <xdr:rowOff>9525</xdr:rowOff>
                  </from>
                  <to>
                    <xdr:col>3</xdr:col>
                    <xdr:colOff>95250</xdr:colOff>
                    <xdr:row>397</xdr:row>
                    <xdr:rowOff>485775</xdr:rowOff>
                  </to>
                </anchor>
              </controlPr>
            </control>
          </mc:Choice>
        </mc:AlternateContent>
        <mc:AlternateContent xmlns:mc="http://schemas.openxmlformats.org/markup-compatibility/2006">
          <mc:Choice Requires="x14">
            <control shapeId="1422" r:id="rId400" name="Check Box 398">
              <controlPr defaultSize="0" autoFill="0" autoLine="0" autoPict="0">
                <anchor moveWithCells="1">
                  <from>
                    <xdr:col>0</xdr:col>
                    <xdr:colOff>276225</xdr:colOff>
                    <xdr:row>398</xdr:row>
                    <xdr:rowOff>9525</xdr:rowOff>
                  </from>
                  <to>
                    <xdr:col>3</xdr:col>
                    <xdr:colOff>95250</xdr:colOff>
                    <xdr:row>398</xdr:row>
                    <xdr:rowOff>485775</xdr:rowOff>
                  </to>
                </anchor>
              </controlPr>
            </control>
          </mc:Choice>
        </mc:AlternateContent>
        <mc:AlternateContent xmlns:mc="http://schemas.openxmlformats.org/markup-compatibility/2006">
          <mc:Choice Requires="x14">
            <control shapeId="1423" r:id="rId401" name="Check Box 399">
              <controlPr defaultSize="0" autoFill="0" autoLine="0" autoPict="0">
                <anchor moveWithCells="1">
                  <from>
                    <xdr:col>0</xdr:col>
                    <xdr:colOff>276225</xdr:colOff>
                    <xdr:row>399</xdr:row>
                    <xdr:rowOff>9525</xdr:rowOff>
                  </from>
                  <to>
                    <xdr:col>3</xdr:col>
                    <xdr:colOff>95250</xdr:colOff>
                    <xdr:row>399</xdr:row>
                    <xdr:rowOff>485775</xdr:rowOff>
                  </to>
                </anchor>
              </controlPr>
            </control>
          </mc:Choice>
        </mc:AlternateContent>
        <mc:AlternateContent xmlns:mc="http://schemas.openxmlformats.org/markup-compatibility/2006">
          <mc:Choice Requires="x14">
            <control shapeId="1424" r:id="rId402" name="Check Box 400">
              <controlPr defaultSize="0" autoFill="0" autoLine="0" autoPict="0">
                <anchor moveWithCells="1">
                  <from>
                    <xdr:col>0</xdr:col>
                    <xdr:colOff>276225</xdr:colOff>
                    <xdr:row>400</xdr:row>
                    <xdr:rowOff>9525</xdr:rowOff>
                  </from>
                  <to>
                    <xdr:col>3</xdr:col>
                    <xdr:colOff>95250</xdr:colOff>
                    <xdr:row>400</xdr:row>
                    <xdr:rowOff>485775</xdr:rowOff>
                  </to>
                </anchor>
              </controlPr>
            </control>
          </mc:Choice>
        </mc:AlternateContent>
        <mc:AlternateContent xmlns:mc="http://schemas.openxmlformats.org/markup-compatibility/2006">
          <mc:Choice Requires="x14">
            <control shapeId="1425" r:id="rId403" name="Check Box 401">
              <controlPr defaultSize="0" autoFill="0" autoLine="0" autoPict="0">
                <anchor moveWithCells="1">
                  <from>
                    <xdr:col>0</xdr:col>
                    <xdr:colOff>276225</xdr:colOff>
                    <xdr:row>401</xdr:row>
                    <xdr:rowOff>9525</xdr:rowOff>
                  </from>
                  <to>
                    <xdr:col>3</xdr:col>
                    <xdr:colOff>95250</xdr:colOff>
                    <xdr:row>401</xdr:row>
                    <xdr:rowOff>485775</xdr:rowOff>
                  </to>
                </anchor>
              </controlPr>
            </control>
          </mc:Choice>
        </mc:AlternateContent>
        <mc:AlternateContent xmlns:mc="http://schemas.openxmlformats.org/markup-compatibility/2006">
          <mc:Choice Requires="x14">
            <control shapeId="1426" r:id="rId404" name="Check Box 402">
              <controlPr defaultSize="0" autoFill="0" autoLine="0" autoPict="0">
                <anchor moveWithCells="1">
                  <from>
                    <xdr:col>0</xdr:col>
                    <xdr:colOff>276225</xdr:colOff>
                    <xdr:row>402</xdr:row>
                    <xdr:rowOff>9525</xdr:rowOff>
                  </from>
                  <to>
                    <xdr:col>3</xdr:col>
                    <xdr:colOff>95250</xdr:colOff>
                    <xdr:row>402</xdr:row>
                    <xdr:rowOff>485775</xdr:rowOff>
                  </to>
                </anchor>
              </controlPr>
            </control>
          </mc:Choice>
        </mc:AlternateContent>
        <mc:AlternateContent xmlns:mc="http://schemas.openxmlformats.org/markup-compatibility/2006">
          <mc:Choice Requires="x14">
            <control shapeId="1427" r:id="rId405" name="Check Box 403">
              <controlPr defaultSize="0" autoFill="0" autoLine="0" autoPict="0">
                <anchor moveWithCells="1">
                  <from>
                    <xdr:col>0</xdr:col>
                    <xdr:colOff>276225</xdr:colOff>
                    <xdr:row>403</xdr:row>
                    <xdr:rowOff>9525</xdr:rowOff>
                  </from>
                  <to>
                    <xdr:col>3</xdr:col>
                    <xdr:colOff>95250</xdr:colOff>
                    <xdr:row>403</xdr:row>
                    <xdr:rowOff>485775</xdr:rowOff>
                  </to>
                </anchor>
              </controlPr>
            </control>
          </mc:Choice>
        </mc:AlternateContent>
        <mc:AlternateContent xmlns:mc="http://schemas.openxmlformats.org/markup-compatibility/2006">
          <mc:Choice Requires="x14">
            <control shapeId="1428" r:id="rId406" name="Check Box 404">
              <controlPr defaultSize="0" autoFill="0" autoLine="0" autoPict="0">
                <anchor moveWithCells="1">
                  <from>
                    <xdr:col>0</xdr:col>
                    <xdr:colOff>276225</xdr:colOff>
                    <xdr:row>404</xdr:row>
                    <xdr:rowOff>9525</xdr:rowOff>
                  </from>
                  <to>
                    <xdr:col>3</xdr:col>
                    <xdr:colOff>95250</xdr:colOff>
                    <xdr:row>404</xdr:row>
                    <xdr:rowOff>485775</xdr:rowOff>
                  </to>
                </anchor>
              </controlPr>
            </control>
          </mc:Choice>
        </mc:AlternateContent>
        <mc:AlternateContent xmlns:mc="http://schemas.openxmlformats.org/markup-compatibility/2006">
          <mc:Choice Requires="x14">
            <control shapeId="1429" r:id="rId407" name="Check Box 405">
              <controlPr defaultSize="0" autoFill="0" autoLine="0" autoPict="0">
                <anchor moveWithCells="1">
                  <from>
                    <xdr:col>0</xdr:col>
                    <xdr:colOff>276225</xdr:colOff>
                    <xdr:row>405</xdr:row>
                    <xdr:rowOff>9525</xdr:rowOff>
                  </from>
                  <to>
                    <xdr:col>3</xdr:col>
                    <xdr:colOff>95250</xdr:colOff>
                    <xdr:row>405</xdr:row>
                    <xdr:rowOff>485775</xdr:rowOff>
                  </to>
                </anchor>
              </controlPr>
            </control>
          </mc:Choice>
        </mc:AlternateContent>
        <mc:AlternateContent xmlns:mc="http://schemas.openxmlformats.org/markup-compatibility/2006">
          <mc:Choice Requires="x14">
            <control shapeId="1430" r:id="rId408" name="Check Box 406">
              <controlPr defaultSize="0" autoFill="0" autoLine="0" autoPict="0">
                <anchor moveWithCells="1">
                  <from>
                    <xdr:col>0</xdr:col>
                    <xdr:colOff>276225</xdr:colOff>
                    <xdr:row>406</xdr:row>
                    <xdr:rowOff>9525</xdr:rowOff>
                  </from>
                  <to>
                    <xdr:col>3</xdr:col>
                    <xdr:colOff>95250</xdr:colOff>
                    <xdr:row>406</xdr:row>
                    <xdr:rowOff>485775</xdr:rowOff>
                  </to>
                </anchor>
              </controlPr>
            </control>
          </mc:Choice>
        </mc:AlternateContent>
        <mc:AlternateContent xmlns:mc="http://schemas.openxmlformats.org/markup-compatibility/2006">
          <mc:Choice Requires="x14">
            <control shapeId="1431" r:id="rId409" name="Check Box 407">
              <controlPr defaultSize="0" autoFill="0" autoLine="0" autoPict="0">
                <anchor moveWithCells="1">
                  <from>
                    <xdr:col>0</xdr:col>
                    <xdr:colOff>276225</xdr:colOff>
                    <xdr:row>407</xdr:row>
                    <xdr:rowOff>9525</xdr:rowOff>
                  </from>
                  <to>
                    <xdr:col>3</xdr:col>
                    <xdr:colOff>95250</xdr:colOff>
                    <xdr:row>407</xdr:row>
                    <xdr:rowOff>485775</xdr:rowOff>
                  </to>
                </anchor>
              </controlPr>
            </control>
          </mc:Choice>
        </mc:AlternateContent>
        <mc:AlternateContent xmlns:mc="http://schemas.openxmlformats.org/markup-compatibility/2006">
          <mc:Choice Requires="x14">
            <control shapeId="1432" r:id="rId410" name="Check Box 408">
              <controlPr defaultSize="0" autoFill="0" autoLine="0" autoPict="0">
                <anchor moveWithCells="1">
                  <from>
                    <xdr:col>0</xdr:col>
                    <xdr:colOff>276225</xdr:colOff>
                    <xdr:row>408</xdr:row>
                    <xdr:rowOff>9525</xdr:rowOff>
                  </from>
                  <to>
                    <xdr:col>3</xdr:col>
                    <xdr:colOff>95250</xdr:colOff>
                    <xdr:row>408</xdr:row>
                    <xdr:rowOff>485775</xdr:rowOff>
                  </to>
                </anchor>
              </controlPr>
            </control>
          </mc:Choice>
        </mc:AlternateContent>
        <mc:AlternateContent xmlns:mc="http://schemas.openxmlformats.org/markup-compatibility/2006">
          <mc:Choice Requires="x14">
            <control shapeId="1433" r:id="rId411" name="Check Box 409">
              <controlPr defaultSize="0" autoFill="0" autoLine="0" autoPict="0">
                <anchor moveWithCells="1">
                  <from>
                    <xdr:col>0</xdr:col>
                    <xdr:colOff>276225</xdr:colOff>
                    <xdr:row>409</xdr:row>
                    <xdr:rowOff>9525</xdr:rowOff>
                  </from>
                  <to>
                    <xdr:col>3</xdr:col>
                    <xdr:colOff>95250</xdr:colOff>
                    <xdr:row>409</xdr:row>
                    <xdr:rowOff>485775</xdr:rowOff>
                  </to>
                </anchor>
              </controlPr>
            </control>
          </mc:Choice>
        </mc:AlternateContent>
        <mc:AlternateContent xmlns:mc="http://schemas.openxmlformats.org/markup-compatibility/2006">
          <mc:Choice Requires="x14">
            <control shapeId="1434" r:id="rId412" name="Check Box 410">
              <controlPr defaultSize="0" autoFill="0" autoLine="0" autoPict="0">
                <anchor moveWithCells="1">
                  <from>
                    <xdr:col>0</xdr:col>
                    <xdr:colOff>276225</xdr:colOff>
                    <xdr:row>410</xdr:row>
                    <xdr:rowOff>9525</xdr:rowOff>
                  </from>
                  <to>
                    <xdr:col>3</xdr:col>
                    <xdr:colOff>95250</xdr:colOff>
                    <xdr:row>410</xdr:row>
                    <xdr:rowOff>485775</xdr:rowOff>
                  </to>
                </anchor>
              </controlPr>
            </control>
          </mc:Choice>
        </mc:AlternateContent>
        <mc:AlternateContent xmlns:mc="http://schemas.openxmlformats.org/markup-compatibility/2006">
          <mc:Choice Requires="x14">
            <control shapeId="1435" r:id="rId413" name="Check Box 411">
              <controlPr defaultSize="0" autoFill="0" autoLine="0" autoPict="0">
                <anchor moveWithCells="1">
                  <from>
                    <xdr:col>0</xdr:col>
                    <xdr:colOff>276225</xdr:colOff>
                    <xdr:row>411</xdr:row>
                    <xdr:rowOff>9525</xdr:rowOff>
                  </from>
                  <to>
                    <xdr:col>3</xdr:col>
                    <xdr:colOff>95250</xdr:colOff>
                    <xdr:row>411</xdr:row>
                    <xdr:rowOff>485775</xdr:rowOff>
                  </to>
                </anchor>
              </controlPr>
            </control>
          </mc:Choice>
        </mc:AlternateContent>
        <mc:AlternateContent xmlns:mc="http://schemas.openxmlformats.org/markup-compatibility/2006">
          <mc:Choice Requires="x14">
            <control shapeId="1436" r:id="rId414" name="Check Box 412">
              <controlPr defaultSize="0" autoFill="0" autoLine="0" autoPict="0">
                <anchor moveWithCells="1">
                  <from>
                    <xdr:col>0</xdr:col>
                    <xdr:colOff>276225</xdr:colOff>
                    <xdr:row>412</xdr:row>
                    <xdr:rowOff>9525</xdr:rowOff>
                  </from>
                  <to>
                    <xdr:col>3</xdr:col>
                    <xdr:colOff>95250</xdr:colOff>
                    <xdr:row>412</xdr:row>
                    <xdr:rowOff>485775</xdr:rowOff>
                  </to>
                </anchor>
              </controlPr>
            </control>
          </mc:Choice>
        </mc:AlternateContent>
        <mc:AlternateContent xmlns:mc="http://schemas.openxmlformats.org/markup-compatibility/2006">
          <mc:Choice Requires="x14">
            <control shapeId="1437" r:id="rId415" name="Check Box 413">
              <controlPr defaultSize="0" autoFill="0" autoLine="0" autoPict="0">
                <anchor moveWithCells="1">
                  <from>
                    <xdr:col>0</xdr:col>
                    <xdr:colOff>276225</xdr:colOff>
                    <xdr:row>413</xdr:row>
                    <xdr:rowOff>9525</xdr:rowOff>
                  </from>
                  <to>
                    <xdr:col>3</xdr:col>
                    <xdr:colOff>95250</xdr:colOff>
                    <xdr:row>413</xdr:row>
                    <xdr:rowOff>485775</xdr:rowOff>
                  </to>
                </anchor>
              </controlPr>
            </control>
          </mc:Choice>
        </mc:AlternateContent>
        <mc:AlternateContent xmlns:mc="http://schemas.openxmlformats.org/markup-compatibility/2006">
          <mc:Choice Requires="x14">
            <control shapeId="1438" r:id="rId416" name="Check Box 414">
              <controlPr defaultSize="0" autoFill="0" autoLine="0" autoPict="0">
                <anchor moveWithCells="1">
                  <from>
                    <xdr:col>0</xdr:col>
                    <xdr:colOff>276225</xdr:colOff>
                    <xdr:row>414</xdr:row>
                    <xdr:rowOff>9525</xdr:rowOff>
                  </from>
                  <to>
                    <xdr:col>3</xdr:col>
                    <xdr:colOff>95250</xdr:colOff>
                    <xdr:row>414</xdr:row>
                    <xdr:rowOff>485775</xdr:rowOff>
                  </to>
                </anchor>
              </controlPr>
            </control>
          </mc:Choice>
        </mc:AlternateContent>
        <mc:AlternateContent xmlns:mc="http://schemas.openxmlformats.org/markup-compatibility/2006">
          <mc:Choice Requires="x14">
            <control shapeId="1439" r:id="rId417" name="Check Box 415">
              <controlPr defaultSize="0" autoFill="0" autoLine="0" autoPict="0">
                <anchor moveWithCells="1">
                  <from>
                    <xdr:col>0</xdr:col>
                    <xdr:colOff>276225</xdr:colOff>
                    <xdr:row>415</xdr:row>
                    <xdr:rowOff>9525</xdr:rowOff>
                  </from>
                  <to>
                    <xdr:col>3</xdr:col>
                    <xdr:colOff>95250</xdr:colOff>
                    <xdr:row>415</xdr:row>
                    <xdr:rowOff>485775</xdr:rowOff>
                  </to>
                </anchor>
              </controlPr>
            </control>
          </mc:Choice>
        </mc:AlternateContent>
        <mc:AlternateContent xmlns:mc="http://schemas.openxmlformats.org/markup-compatibility/2006">
          <mc:Choice Requires="x14">
            <control shapeId="1440" r:id="rId418" name="Check Box 416">
              <controlPr defaultSize="0" autoFill="0" autoLine="0" autoPict="0">
                <anchor moveWithCells="1">
                  <from>
                    <xdr:col>0</xdr:col>
                    <xdr:colOff>276225</xdr:colOff>
                    <xdr:row>416</xdr:row>
                    <xdr:rowOff>9525</xdr:rowOff>
                  </from>
                  <to>
                    <xdr:col>3</xdr:col>
                    <xdr:colOff>95250</xdr:colOff>
                    <xdr:row>416</xdr:row>
                    <xdr:rowOff>485775</xdr:rowOff>
                  </to>
                </anchor>
              </controlPr>
            </control>
          </mc:Choice>
        </mc:AlternateContent>
        <mc:AlternateContent xmlns:mc="http://schemas.openxmlformats.org/markup-compatibility/2006">
          <mc:Choice Requires="x14">
            <control shapeId="1441" r:id="rId419" name="Check Box 417">
              <controlPr defaultSize="0" autoFill="0" autoLine="0" autoPict="0">
                <anchor moveWithCells="1">
                  <from>
                    <xdr:col>0</xdr:col>
                    <xdr:colOff>276225</xdr:colOff>
                    <xdr:row>417</xdr:row>
                    <xdr:rowOff>9525</xdr:rowOff>
                  </from>
                  <to>
                    <xdr:col>3</xdr:col>
                    <xdr:colOff>95250</xdr:colOff>
                    <xdr:row>417</xdr:row>
                    <xdr:rowOff>485775</xdr:rowOff>
                  </to>
                </anchor>
              </controlPr>
            </control>
          </mc:Choice>
        </mc:AlternateContent>
        <mc:AlternateContent xmlns:mc="http://schemas.openxmlformats.org/markup-compatibility/2006">
          <mc:Choice Requires="x14">
            <control shapeId="1442" r:id="rId420" name="Check Box 418">
              <controlPr defaultSize="0" autoFill="0" autoLine="0" autoPict="0">
                <anchor moveWithCells="1">
                  <from>
                    <xdr:col>0</xdr:col>
                    <xdr:colOff>276225</xdr:colOff>
                    <xdr:row>418</xdr:row>
                    <xdr:rowOff>9525</xdr:rowOff>
                  </from>
                  <to>
                    <xdr:col>3</xdr:col>
                    <xdr:colOff>95250</xdr:colOff>
                    <xdr:row>418</xdr:row>
                    <xdr:rowOff>485775</xdr:rowOff>
                  </to>
                </anchor>
              </controlPr>
            </control>
          </mc:Choice>
        </mc:AlternateContent>
        <mc:AlternateContent xmlns:mc="http://schemas.openxmlformats.org/markup-compatibility/2006">
          <mc:Choice Requires="x14">
            <control shapeId="1443" r:id="rId421" name="Check Box 419">
              <controlPr defaultSize="0" autoFill="0" autoLine="0" autoPict="0">
                <anchor moveWithCells="1">
                  <from>
                    <xdr:col>0</xdr:col>
                    <xdr:colOff>276225</xdr:colOff>
                    <xdr:row>419</xdr:row>
                    <xdr:rowOff>9525</xdr:rowOff>
                  </from>
                  <to>
                    <xdr:col>3</xdr:col>
                    <xdr:colOff>95250</xdr:colOff>
                    <xdr:row>419</xdr:row>
                    <xdr:rowOff>485775</xdr:rowOff>
                  </to>
                </anchor>
              </controlPr>
            </control>
          </mc:Choice>
        </mc:AlternateContent>
        <mc:AlternateContent xmlns:mc="http://schemas.openxmlformats.org/markup-compatibility/2006">
          <mc:Choice Requires="x14">
            <control shapeId="1444" r:id="rId422" name="Check Box 420">
              <controlPr defaultSize="0" autoFill="0" autoLine="0" autoPict="0">
                <anchor moveWithCells="1">
                  <from>
                    <xdr:col>0</xdr:col>
                    <xdr:colOff>276225</xdr:colOff>
                    <xdr:row>420</xdr:row>
                    <xdr:rowOff>9525</xdr:rowOff>
                  </from>
                  <to>
                    <xdr:col>3</xdr:col>
                    <xdr:colOff>95250</xdr:colOff>
                    <xdr:row>420</xdr:row>
                    <xdr:rowOff>485775</xdr:rowOff>
                  </to>
                </anchor>
              </controlPr>
            </control>
          </mc:Choice>
        </mc:AlternateContent>
        <mc:AlternateContent xmlns:mc="http://schemas.openxmlformats.org/markup-compatibility/2006">
          <mc:Choice Requires="x14">
            <control shapeId="1445" r:id="rId423" name="Check Box 421">
              <controlPr defaultSize="0" autoFill="0" autoLine="0" autoPict="0">
                <anchor moveWithCells="1">
                  <from>
                    <xdr:col>0</xdr:col>
                    <xdr:colOff>276225</xdr:colOff>
                    <xdr:row>421</xdr:row>
                    <xdr:rowOff>9525</xdr:rowOff>
                  </from>
                  <to>
                    <xdr:col>3</xdr:col>
                    <xdr:colOff>95250</xdr:colOff>
                    <xdr:row>421</xdr:row>
                    <xdr:rowOff>485775</xdr:rowOff>
                  </to>
                </anchor>
              </controlPr>
            </control>
          </mc:Choice>
        </mc:AlternateContent>
        <mc:AlternateContent xmlns:mc="http://schemas.openxmlformats.org/markup-compatibility/2006">
          <mc:Choice Requires="x14">
            <control shapeId="1446" r:id="rId424" name="Check Box 422">
              <controlPr defaultSize="0" autoFill="0" autoLine="0" autoPict="0">
                <anchor moveWithCells="1">
                  <from>
                    <xdr:col>0</xdr:col>
                    <xdr:colOff>276225</xdr:colOff>
                    <xdr:row>422</xdr:row>
                    <xdr:rowOff>9525</xdr:rowOff>
                  </from>
                  <to>
                    <xdr:col>3</xdr:col>
                    <xdr:colOff>95250</xdr:colOff>
                    <xdr:row>422</xdr:row>
                    <xdr:rowOff>485775</xdr:rowOff>
                  </to>
                </anchor>
              </controlPr>
            </control>
          </mc:Choice>
        </mc:AlternateContent>
        <mc:AlternateContent xmlns:mc="http://schemas.openxmlformats.org/markup-compatibility/2006">
          <mc:Choice Requires="x14">
            <control shapeId="1447" r:id="rId425" name="Check Box 423">
              <controlPr defaultSize="0" autoFill="0" autoLine="0" autoPict="0">
                <anchor moveWithCells="1">
                  <from>
                    <xdr:col>0</xdr:col>
                    <xdr:colOff>276225</xdr:colOff>
                    <xdr:row>423</xdr:row>
                    <xdr:rowOff>9525</xdr:rowOff>
                  </from>
                  <to>
                    <xdr:col>3</xdr:col>
                    <xdr:colOff>95250</xdr:colOff>
                    <xdr:row>423</xdr:row>
                    <xdr:rowOff>485775</xdr:rowOff>
                  </to>
                </anchor>
              </controlPr>
            </control>
          </mc:Choice>
        </mc:AlternateContent>
        <mc:AlternateContent xmlns:mc="http://schemas.openxmlformats.org/markup-compatibility/2006">
          <mc:Choice Requires="x14">
            <control shapeId="1448" r:id="rId426" name="Check Box 424">
              <controlPr defaultSize="0" autoFill="0" autoLine="0" autoPict="0">
                <anchor moveWithCells="1">
                  <from>
                    <xdr:col>0</xdr:col>
                    <xdr:colOff>276225</xdr:colOff>
                    <xdr:row>424</xdr:row>
                    <xdr:rowOff>9525</xdr:rowOff>
                  </from>
                  <to>
                    <xdr:col>3</xdr:col>
                    <xdr:colOff>95250</xdr:colOff>
                    <xdr:row>424</xdr:row>
                    <xdr:rowOff>485775</xdr:rowOff>
                  </to>
                </anchor>
              </controlPr>
            </control>
          </mc:Choice>
        </mc:AlternateContent>
        <mc:AlternateContent xmlns:mc="http://schemas.openxmlformats.org/markup-compatibility/2006">
          <mc:Choice Requires="x14">
            <control shapeId="1449" r:id="rId427" name="Check Box 425">
              <controlPr defaultSize="0" autoFill="0" autoLine="0" autoPict="0">
                <anchor moveWithCells="1">
                  <from>
                    <xdr:col>0</xdr:col>
                    <xdr:colOff>276225</xdr:colOff>
                    <xdr:row>425</xdr:row>
                    <xdr:rowOff>9525</xdr:rowOff>
                  </from>
                  <to>
                    <xdr:col>3</xdr:col>
                    <xdr:colOff>95250</xdr:colOff>
                    <xdr:row>425</xdr:row>
                    <xdr:rowOff>485775</xdr:rowOff>
                  </to>
                </anchor>
              </controlPr>
            </control>
          </mc:Choice>
        </mc:AlternateContent>
        <mc:AlternateContent xmlns:mc="http://schemas.openxmlformats.org/markup-compatibility/2006">
          <mc:Choice Requires="x14">
            <control shapeId="1450" r:id="rId428" name="Check Box 426">
              <controlPr defaultSize="0" autoFill="0" autoLine="0" autoPict="0">
                <anchor moveWithCells="1">
                  <from>
                    <xdr:col>0</xdr:col>
                    <xdr:colOff>276225</xdr:colOff>
                    <xdr:row>426</xdr:row>
                    <xdr:rowOff>9525</xdr:rowOff>
                  </from>
                  <to>
                    <xdr:col>3</xdr:col>
                    <xdr:colOff>95250</xdr:colOff>
                    <xdr:row>426</xdr:row>
                    <xdr:rowOff>485775</xdr:rowOff>
                  </to>
                </anchor>
              </controlPr>
            </control>
          </mc:Choice>
        </mc:AlternateContent>
        <mc:AlternateContent xmlns:mc="http://schemas.openxmlformats.org/markup-compatibility/2006">
          <mc:Choice Requires="x14">
            <control shapeId="1451" r:id="rId429" name="Check Box 427">
              <controlPr defaultSize="0" autoFill="0" autoLine="0" autoPict="0">
                <anchor moveWithCells="1">
                  <from>
                    <xdr:col>0</xdr:col>
                    <xdr:colOff>276225</xdr:colOff>
                    <xdr:row>427</xdr:row>
                    <xdr:rowOff>9525</xdr:rowOff>
                  </from>
                  <to>
                    <xdr:col>3</xdr:col>
                    <xdr:colOff>95250</xdr:colOff>
                    <xdr:row>427</xdr:row>
                    <xdr:rowOff>485775</xdr:rowOff>
                  </to>
                </anchor>
              </controlPr>
            </control>
          </mc:Choice>
        </mc:AlternateContent>
        <mc:AlternateContent xmlns:mc="http://schemas.openxmlformats.org/markup-compatibility/2006">
          <mc:Choice Requires="x14">
            <control shapeId="1452" r:id="rId430" name="Check Box 428">
              <controlPr defaultSize="0" autoFill="0" autoLine="0" autoPict="0">
                <anchor moveWithCells="1">
                  <from>
                    <xdr:col>0</xdr:col>
                    <xdr:colOff>276225</xdr:colOff>
                    <xdr:row>428</xdr:row>
                    <xdr:rowOff>9525</xdr:rowOff>
                  </from>
                  <to>
                    <xdr:col>3</xdr:col>
                    <xdr:colOff>95250</xdr:colOff>
                    <xdr:row>428</xdr:row>
                    <xdr:rowOff>485775</xdr:rowOff>
                  </to>
                </anchor>
              </controlPr>
            </control>
          </mc:Choice>
        </mc:AlternateContent>
        <mc:AlternateContent xmlns:mc="http://schemas.openxmlformats.org/markup-compatibility/2006">
          <mc:Choice Requires="x14">
            <control shapeId="1453" r:id="rId431" name="Check Box 429">
              <controlPr defaultSize="0" autoFill="0" autoLine="0" autoPict="0">
                <anchor moveWithCells="1">
                  <from>
                    <xdr:col>0</xdr:col>
                    <xdr:colOff>276225</xdr:colOff>
                    <xdr:row>429</xdr:row>
                    <xdr:rowOff>9525</xdr:rowOff>
                  </from>
                  <to>
                    <xdr:col>3</xdr:col>
                    <xdr:colOff>95250</xdr:colOff>
                    <xdr:row>429</xdr:row>
                    <xdr:rowOff>485775</xdr:rowOff>
                  </to>
                </anchor>
              </controlPr>
            </control>
          </mc:Choice>
        </mc:AlternateContent>
        <mc:AlternateContent xmlns:mc="http://schemas.openxmlformats.org/markup-compatibility/2006">
          <mc:Choice Requires="x14">
            <control shapeId="1454" r:id="rId432" name="Check Box 430">
              <controlPr defaultSize="0" autoFill="0" autoLine="0" autoPict="0">
                <anchor moveWithCells="1">
                  <from>
                    <xdr:col>0</xdr:col>
                    <xdr:colOff>276225</xdr:colOff>
                    <xdr:row>430</xdr:row>
                    <xdr:rowOff>9525</xdr:rowOff>
                  </from>
                  <to>
                    <xdr:col>3</xdr:col>
                    <xdr:colOff>95250</xdr:colOff>
                    <xdr:row>430</xdr:row>
                    <xdr:rowOff>485775</xdr:rowOff>
                  </to>
                </anchor>
              </controlPr>
            </control>
          </mc:Choice>
        </mc:AlternateContent>
        <mc:AlternateContent xmlns:mc="http://schemas.openxmlformats.org/markup-compatibility/2006">
          <mc:Choice Requires="x14">
            <control shapeId="1455" r:id="rId433" name="Check Box 431">
              <controlPr defaultSize="0" autoFill="0" autoLine="0" autoPict="0">
                <anchor moveWithCells="1">
                  <from>
                    <xdr:col>0</xdr:col>
                    <xdr:colOff>276225</xdr:colOff>
                    <xdr:row>431</xdr:row>
                    <xdr:rowOff>9525</xdr:rowOff>
                  </from>
                  <to>
                    <xdr:col>3</xdr:col>
                    <xdr:colOff>95250</xdr:colOff>
                    <xdr:row>431</xdr:row>
                    <xdr:rowOff>485775</xdr:rowOff>
                  </to>
                </anchor>
              </controlPr>
            </control>
          </mc:Choice>
        </mc:AlternateContent>
        <mc:AlternateContent xmlns:mc="http://schemas.openxmlformats.org/markup-compatibility/2006">
          <mc:Choice Requires="x14">
            <control shapeId="1456" r:id="rId434" name="Check Box 432">
              <controlPr defaultSize="0" autoFill="0" autoLine="0" autoPict="0">
                <anchor moveWithCells="1">
                  <from>
                    <xdr:col>0</xdr:col>
                    <xdr:colOff>276225</xdr:colOff>
                    <xdr:row>432</xdr:row>
                    <xdr:rowOff>9525</xdr:rowOff>
                  </from>
                  <to>
                    <xdr:col>3</xdr:col>
                    <xdr:colOff>95250</xdr:colOff>
                    <xdr:row>432</xdr:row>
                    <xdr:rowOff>485775</xdr:rowOff>
                  </to>
                </anchor>
              </controlPr>
            </control>
          </mc:Choice>
        </mc:AlternateContent>
        <mc:AlternateContent xmlns:mc="http://schemas.openxmlformats.org/markup-compatibility/2006">
          <mc:Choice Requires="x14">
            <control shapeId="1457" r:id="rId435" name="Check Box 433">
              <controlPr defaultSize="0" autoFill="0" autoLine="0" autoPict="0">
                <anchor moveWithCells="1">
                  <from>
                    <xdr:col>0</xdr:col>
                    <xdr:colOff>276225</xdr:colOff>
                    <xdr:row>433</xdr:row>
                    <xdr:rowOff>9525</xdr:rowOff>
                  </from>
                  <to>
                    <xdr:col>3</xdr:col>
                    <xdr:colOff>95250</xdr:colOff>
                    <xdr:row>433</xdr:row>
                    <xdr:rowOff>485775</xdr:rowOff>
                  </to>
                </anchor>
              </controlPr>
            </control>
          </mc:Choice>
        </mc:AlternateContent>
        <mc:AlternateContent xmlns:mc="http://schemas.openxmlformats.org/markup-compatibility/2006">
          <mc:Choice Requires="x14">
            <control shapeId="1458" r:id="rId436" name="Check Box 434">
              <controlPr defaultSize="0" autoFill="0" autoLine="0" autoPict="0">
                <anchor moveWithCells="1">
                  <from>
                    <xdr:col>0</xdr:col>
                    <xdr:colOff>276225</xdr:colOff>
                    <xdr:row>434</xdr:row>
                    <xdr:rowOff>9525</xdr:rowOff>
                  </from>
                  <to>
                    <xdr:col>3</xdr:col>
                    <xdr:colOff>95250</xdr:colOff>
                    <xdr:row>434</xdr:row>
                    <xdr:rowOff>485775</xdr:rowOff>
                  </to>
                </anchor>
              </controlPr>
            </control>
          </mc:Choice>
        </mc:AlternateContent>
        <mc:AlternateContent xmlns:mc="http://schemas.openxmlformats.org/markup-compatibility/2006">
          <mc:Choice Requires="x14">
            <control shapeId="1459" r:id="rId437" name="Check Box 435">
              <controlPr defaultSize="0" autoFill="0" autoLine="0" autoPict="0">
                <anchor moveWithCells="1">
                  <from>
                    <xdr:col>0</xdr:col>
                    <xdr:colOff>276225</xdr:colOff>
                    <xdr:row>435</xdr:row>
                    <xdr:rowOff>9525</xdr:rowOff>
                  </from>
                  <to>
                    <xdr:col>3</xdr:col>
                    <xdr:colOff>95250</xdr:colOff>
                    <xdr:row>435</xdr:row>
                    <xdr:rowOff>485775</xdr:rowOff>
                  </to>
                </anchor>
              </controlPr>
            </control>
          </mc:Choice>
        </mc:AlternateContent>
        <mc:AlternateContent xmlns:mc="http://schemas.openxmlformats.org/markup-compatibility/2006">
          <mc:Choice Requires="x14">
            <control shapeId="1460" r:id="rId438" name="Check Box 436">
              <controlPr defaultSize="0" autoFill="0" autoLine="0" autoPict="0">
                <anchor moveWithCells="1">
                  <from>
                    <xdr:col>0</xdr:col>
                    <xdr:colOff>276225</xdr:colOff>
                    <xdr:row>436</xdr:row>
                    <xdr:rowOff>9525</xdr:rowOff>
                  </from>
                  <to>
                    <xdr:col>3</xdr:col>
                    <xdr:colOff>95250</xdr:colOff>
                    <xdr:row>436</xdr:row>
                    <xdr:rowOff>485775</xdr:rowOff>
                  </to>
                </anchor>
              </controlPr>
            </control>
          </mc:Choice>
        </mc:AlternateContent>
        <mc:AlternateContent xmlns:mc="http://schemas.openxmlformats.org/markup-compatibility/2006">
          <mc:Choice Requires="x14">
            <control shapeId="1461" r:id="rId439" name="Check Box 437">
              <controlPr defaultSize="0" autoFill="0" autoLine="0" autoPict="0">
                <anchor moveWithCells="1">
                  <from>
                    <xdr:col>0</xdr:col>
                    <xdr:colOff>276225</xdr:colOff>
                    <xdr:row>437</xdr:row>
                    <xdr:rowOff>9525</xdr:rowOff>
                  </from>
                  <to>
                    <xdr:col>3</xdr:col>
                    <xdr:colOff>95250</xdr:colOff>
                    <xdr:row>437</xdr:row>
                    <xdr:rowOff>485775</xdr:rowOff>
                  </to>
                </anchor>
              </controlPr>
            </control>
          </mc:Choice>
        </mc:AlternateContent>
        <mc:AlternateContent xmlns:mc="http://schemas.openxmlformats.org/markup-compatibility/2006">
          <mc:Choice Requires="x14">
            <control shapeId="1462" r:id="rId440" name="Check Box 438">
              <controlPr defaultSize="0" autoFill="0" autoLine="0" autoPict="0">
                <anchor moveWithCells="1">
                  <from>
                    <xdr:col>0</xdr:col>
                    <xdr:colOff>276225</xdr:colOff>
                    <xdr:row>438</xdr:row>
                    <xdr:rowOff>9525</xdr:rowOff>
                  </from>
                  <to>
                    <xdr:col>3</xdr:col>
                    <xdr:colOff>95250</xdr:colOff>
                    <xdr:row>438</xdr:row>
                    <xdr:rowOff>485775</xdr:rowOff>
                  </to>
                </anchor>
              </controlPr>
            </control>
          </mc:Choice>
        </mc:AlternateContent>
        <mc:AlternateContent xmlns:mc="http://schemas.openxmlformats.org/markup-compatibility/2006">
          <mc:Choice Requires="x14">
            <control shapeId="1463" r:id="rId441" name="Check Box 439">
              <controlPr defaultSize="0" autoFill="0" autoLine="0" autoPict="0">
                <anchor moveWithCells="1">
                  <from>
                    <xdr:col>0</xdr:col>
                    <xdr:colOff>276225</xdr:colOff>
                    <xdr:row>439</xdr:row>
                    <xdr:rowOff>9525</xdr:rowOff>
                  </from>
                  <to>
                    <xdr:col>3</xdr:col>
                    <xdr:colOff>95250</xdr:colOff>
                    <xdr:row>439</xdr:row>
                    <xdr:rowOff>485775</xdr:rowOff>
                  </to>
                </anchor>
              </controlPr>
            </control>
          </mc:Choice>
        </mc:AlternateContent>
        <mc:AlternateContent xmlns:mc="http://schemas.openxmlformats.org/markup-compatibility/2006">
          <mc:Choice Requires="x14">
            <control shapeId="1464" r:id="rId442" name="Check Box 440">
              <controlPr defaultSize="0" autoFill="0" autoLine="0" autoPict="0">
                <anchor moveWithCells="1">
                  <from>
                    <xdr:col>0</xdr:col>
                    <xdr:colOff>276225</xdr:colOff>
                    <xdr:row>440</xdr:row>
                    <xdr:rowOff>9525</xdr:rowOff>
                  </from>
                  <to>
                    <xdr:col>3</xdr:col>
                    <xdr:colOff>95250</xdr:colOff>
                    <xdr:row>440</xdr:row>
                    <xdr:rowOff>485775</xdr:rowOff>
                  </to>
                </anchor>
              </controlPr>
            </control>
          </mc:Choice>
        </mc:AlternateContent>
        <mc:AlternateContent xmlns:mc="http://schemas.openxmlformats.org/markup-compatibility/2006">
          <mc:Choice Requires="x14">
            <control shapeId="1465" r:id="rId443" name="Check Box 441">
              <controlPr defaultSize="0" autoFill="0" autoLine="0" autoPict="0">
                <anchor moveWithCells="1">
                  <from>
                    <xdr:col>0</xdr:col>
                    <xdr:colOff>276225</xdr:colOff>
                    <xdr:row>441</xdr:row>
                    <xdr:rowOff>9525</xdr:rowOff>
                  </from>
                  <to>
                    <xdr:col>3</xdr:col>
                    <xdr:colOff>95250</xdr:colOff>
                    <xdr:row>441</xdr:row>
                    <xdr:rowOff>485775</xdr:rowOff>
                  </to>
                </anchor>
              </controlPr>
            </control>
          </mc:Choice>
        </mc:AlternateContent>
        <mc:AlternateContent xmlns:mc="http://schemas.openxmlformats.org/markup-compatibility/2006">
          <mc:Choice Requires="x14">
            <control shapeId="1466" r:id="rId444" name="Check Box 442">
              <controlPr defaultSize="0" autoFill="0" autoLine="0" autoPict="0">
                <anchor moveWithCells="1">
                  <from>
                    <xdr:col>0</xdr:col>
                    <xdr:colOff>276225</xdr:colOff>
                    <xdr:row>442</xdr:row>
                    <xdr:rowOff>9525</xdr:rowOff>
                  </from>
                  <to>
                    <xdr:col>3</xdr:col>
                    <xdr:colOff>95250</xdr:colOff>
                    <xdr:row>442</xdr:row>
                    <xdr:rowOff>485775</xdr:rowOff>
                  </to>
                </anchor>
              </controlPr>
            </control>
          </mc:Choice>
        </mc:AlternateContent>
        <mc:AlternateContent xmlns:mc="http://schemas.openxmlformats.org/markup-compatibility/2006">
          <mc:Choice Requires="x14">
            <control shapeId="1467" r:id="rId445" name="Check Box 443">
              <controlPr defaultSize="0" autoFill="0" autoLine="0" autoPict="0">
                <anchor moveWithCells="1">
                  <from>
                    <xdr:col>0</xdr:col>
                    <xdr:colOff>276225</xdr:colOff>
                    <xdr:row>443</xdr:row>
                    <xdr:rowOff>9525</xdr:rowOff>
                  </from>
                  <to>
                    <xdr:col>3</xdr:col>
                    <xdr:colOff>95250</xdr:colOff>
                    <xdr:row>443</xdr:row>
                    <xdr:rowOff>485775</xdr:rowOff>
                  </to>
                </anchor>
              </controlPr>
            </control>
          </mc:Choice>
        </mc:AlternateContent>
        <mc:AlternateContent xmlns:mc="http://schemas.openxmlformats.org/markup-compatibility/2006">
          <mc:Choice Requires="x14">
            <control shapeId="1468" r:id="rId446" name="Check Box 444">
              <controlPr defaultSize="0" autoFill="0" autoLine="0" autoPict="0">
                <anchor moveWithCells="1">
                  <from>
                    <xdr:col>0</xdr:col>
                    <xdr:colOff>276225</xdr:colOff>
                    <xdr:row>444</xdr:row>
                    <xdr:rowOff>9525</xdr:rowOff>
                  </from>
                  <to>
                    <xdr:col>3</xdr:col>
                    <xdr:colOff>95250</xdr:colOff>
                    <xdr:row>444</xdr:row>
                    <xdr:rowOff>485775</xdr:rowOff>
                  </to>
                </anchor>
              </controlPr>
            </control>
          </mc:Choice>
        </mc:AlternateContent>
        <mc:AlternateContent xmlns:mc="http://schemas.openxmlformats.org/markup-compatibility/2006">
          <mc:Choice Requires="x14">
            <control shapeId="1469" r:id="rId447" name="Check Box 445">
              <controlPr defaultSize="0" autoFill="0" autoLine="0" autoPict="0">
                <anchor moveWithCells="1">
                  <from>
                    <xdr:col>0</xdr:col>
                    <xdr:colOff>276225</xdr:colOff>
                    <xdr:row>445</xdr:row>
                    <xdr:rowOff>9525</xdr:rowOff>
                  </from>
                  <to>
                    <xdr:col>3</xdr:col>
                    <xdr:colOff>95250</xdr:colOff>
                    <xdr:row>445</xdr:row>
                    <xdr:rowOff>485775</xdr:rowOff>
                  </to>
                </anchor>
              </controlPr>
            </control>
          </mc:Choice>
        </mc:AlternateContent>
        <mc:AlternateContent xmlns:mc="http://schemas.openxmlformats.org/markup-compatibility/2006">
          <mc:Choice Requires="x14">
            <control shapeId="1470" r:id="rId448" name="Check Box 446">
              <controlPr defaultSize="0" autoFill="0" autoLine="0" autoPict="0">
                <anchor moveWithCells="1">
                  <from>
                    <xdr:col>0</xdr:col>
                    <xdr:colOff>276225</xdr:colOff>
                    <xdr:row>446</xdr:row>
                    <xdr:rowOff>9525</xdr:rowOff>
                  </from>
                  <to>
                    <xdr:col>3</xdr:col>
                    <xdr:colOff>95250</xdr:colOff>
                    <xdr:row>446</xdr:row>
                    <xdr:rowOff>485775</xdr:rowOff>
                  </to>
                </anchor>
              </controlPr>
            </control>
          </mc:Choice>
        </mc:AlternateContent>
        <mc:AlternateContent xmlns:mc="http://schemas.openxmlformats.org/markup-compatibility/2006">
          <mc:Choice Requires="x14">
            <control shapeId="1471" r:id="rId449" name="Check Box 447">
              <controlPr defaultSize="0" autoFill="0" autoLine="0" autoPict="0">
                <anchor moveWithCells="1">
                  <from>
                    <xdr:col>0</xdr:col>
                    <xdr:colOff>276225</xdr:colOff>
                    <xdr:row>447</xdr:row>
                    <xdr:rowOff>9525</xdr:rowOff>
                  </from>
                  <to>
                    <xdr:col>3</xdr:col>
                    <xdr:colOff>95250</xdr:colOff>
                    <xdr:row>447</xdr:row>
                    <xdr:rowOff>485775</xdr:rowOff>
                  </to>
                </anchor>
              </controlPr>
            </control>
          </mc:Choice>
        </mc:AlternateContent>
        <mc:AlternateContent xmlns:mc="http://schemas.openxmlformats.org/markup-compatibility/2006">
          <mc:Choice Requires="x14">
            <control shapeId="1472" r:id="rId450" name="Check Box 448">
              <controlPr defaultSize="0" autoFill="0" autoLine="0" autoPict="0">
                <anchor moveWithCells="1">
                  <from>
                    <xdr:col>0</xdr:col>
                    <xdr:colOff>276225</xdr:colOff>
                    <xdr:row>448</xdr:row>
                    <xdr:rowOff>9525</xdr:rowOff>
                  </from>
                  <to>
                    <xdr:col>3</xdr:col>
                    <xdr:colOff>95250</xdr:colOff>
                    <xdr:row>448</xdr:row>
                    <xdr:rowOff>485775</xdr:rowOff>
                  </to>
                </anchor>
              </controlPr>
            </control>
          </mc:Choice>
        </mc:AlternateContent>
        <mc:AlternateContent xmlns:mc="http://schemas.openxmlformats.org/markup-compatibility/2006">
          <mc:Choice Requires="x14">
            <control shapeId="1473" r:id="rId451" name="Check Box 449">
              <controlPr defaultSize="0" autoFill="0" autoLine="0" autoPict="0">
                <anchor moveWithCells="1">
                  <from>
                    <xdr:col>0</xdr:col>
                    <xdr:colOff>276225</xdr:colOff>
                    <xdr:row>449</xdr:row>
                    <xdr:rowOff>9525</xdr:rowOff>
                  </from>
                  <to>
                    <xdr:col>3</xdr:col>
                    <xdr:colOff>95250</xdr:colOff>
                    <xdr:row>449</xdr:row>
                    <xdr:rowOff>485775</xdr:rowOff>
                  </to>
                </anchor>
              </controlPr>
            </control>
          </mc:Choice>
        </mc:AlternateContent>
        <mc:AlternateContent xmlns:mc="http://schemas.openxmlformats.org/markup-compatibility/2006">
          <mc:Choice Requires="x14">
            <control shapeId="1474" r:id="rId452" name="Check Box 450">
              <controlPr defaultSize="0" autoFill="0" autoLine="0" autoPict="0">
                <anchor moveWithCells="1">
                  <from>
                    <xdr:col>0</xdr:col>
                    <xdr:colOff>276225</xdr:colOff>
                    <xdr:row>450</xdr:row>
                    <xdr:rowOff>9525</xdr:rowOff>
                  </from>
                  <to>
                    <xdr:col>3</xdr:col>
                    <xdr:colOff>95250</xdr:colOff>
                    <xdr:row>450</xdr:row>
                    <xdr:rowOff>485775</xdr:rowOff>
                  </to>
                </anchor>
              </controlPr>
            </control>
          </mc:Choice>
        </mc:AlternateContent>
        <mc:AlternateContent xmlns:mc="http://schemas.openxmlformats.org/markup-compatibility/2006">
          <mc:Choice Requires="x14">
            <control shapeId="1475" r:id="rId453" name="Check Box 451">
              <controlPr defaultSize="0" autoFill="0" autoLine="0" autoPict="0">
                <anchor moveWithCells="1">
                  <from>
                    <xdr:col>0</xdr:col>
                    <xdr:colOff>276225</xdr:colOff>
                    <xdr:row>451</xdr:row>
                    <xdr:rowOff>9525</xdr:rowOff>
                  </from>
                  <to>
                    <xdr:col>3</xdr:col>
                    <xdr:colOff>95250</xdr:colOff>
                    <xdr:row>451</xdr:row>
                    <xdr:rowOff>485775</xdr:rowOff>
                  </to>
                </anchor>
              </controlPr>
            </control>
          </mc:Choice>
        </mc:AlternateContent>
        <mc:AlternateContent xmlns:mc="http://schemas.openxmlformats.org/markup-compatibility/2006">
          <mc:Choice Requires="x14">
            <control shapeId="1476" r:id="rId454" name="Check Box 452">
              <controlPr defaultSize="0" autoFill="0" autoLine="0" autoPict="0">
                <anchor moveWithCells="1">
                  <from>
                    <xdr:col>0</xdr:col>
                    <xdr:colOff>276225</xdr:colOff>
                    <xdr:row>452</xdr:row>
                    <xdr:rowOff>9525</xdr:rowOff>
                  </from>
                  <to>
                    <xdr:col>3</xdr:col>
                    <xdr:colOff>95250</xdr:colOff>
                    <xdr:row>452</xdr:row>
                    <xdr:rowOff>485775</xdr:rowOff>
                  </to>
                </anchor>
              </controlPr>
            </control>
          </mc:Choice>
        </mc:AlternateContent>
        <mc:AlternateContent xmlns:mc="http://schemas.openxmlformats.org/markup-compatibility/2006">
          <mc:Choice Requires="x14">
            <control shapeId="1477" r:id="rId455" name="Check Box 453">
              <controlPr defaultSize="0" autoFill="0" autoLine="0" autoPict="0">
                <anchor moveWithCells="1">
                  <from>
                    <xdr:col>0</xdr:col>
                    <xdr:colOff>276225</xdr:colOff>
                    <xdr:row>453</xdr:row>
                    <xdr:rowOff>9525</xdr:rowOff>
                  </from>
                  <to>
                    <xdr:col>3</xdr:col>
                    <xdr:colOff>95250</xdr:colOff>
                    <xdr:row>453</xdr:row>
                    <xdr:rowOff>485775</xdr:rowOff>
                  </to>
                </anchor>
              </controlPr>
            </control>
          </mc:Choice>
        </mc:AlternateContent>
        <mc:AlternateContent xmlns:mc="http://schemas.openxmlformats.org/markup-compatibility/2006">
          <mc:Choice Requires="x14">
            <control shapeId="1478" r:id="rId456" name="Check Box 454">
              <controlPr defaultSize="0" autoFill="0" autoLine="0" autoPict="0">
                <anchor moveWithCells="1">
                  <from>
                    <xdr:col>0</xdr:col>
                    <xdr:colOff>276225</xdr:colOff>
                    <xdr:row>454</xdr:row>
                    <xdr:rowOff>9525</xdr:rowOff>
                  </from>
                  <to>
                    <xdr:col>3</xdr:col>
                    <xdr:colOff>95250</xdr:colOff>
                    <xdr:row>454</xdr:row>
                    <xdr:rowOff>485775</xdr:rowOff>
                  </to>
                </anchor>
              </controlPr>
            </control>
          </mc:Choice>
        </mc:AlternateContent>
        <mc:AlternateContent xmlns:mc="http://schemas.openxmlformats.org/markup-compatibility/2006">
          <mc:Choice Requires="x14">
            <control shapeId="1479" r:id="rId457" name="Check Box 455">
              <controlPr defaultSize="0" autoFill="0" autoLine="0" autoPict="0">
                <anchor moveWithCells="1">
                  <from>
                    <xdr:col>0</xdr:col>
                    <xdr:colOff>276225</xdr:colOff>
                    <xdr:row>455</xdr:row>
                    <xdr:rowOff>9525</xdr:rowOff>
                  </from>
                  <to>
                    <xdr:col>3</xdr:col>
                    <xdr:colOff>95250</xdr:colOff>
                    <xdr:row>455</xdr:row>
                    <xdr:rowOff>485775</xdr:rowOff>
                  </to>
                </anchor>
              </controlPr>
            </control>
          </mc:Choice>
        </mc:AlternateContent>
        <mc:AlternateContent xmlns:mc="http://schemas.openxmlformats.org/markup-compatibility/2006">
          <mc:Choice Requires="x14">
            <control shapeId="1480" r:id="rId458" name="Check Box 456">
              <controlPr defaultSize="0" autoFill="0" autoLine="0" autoPict="0">
                <anchor moveWithCells="1">
                  <from>
                    <xdr:col>0</xdr:col>
                    <xdr:colOff>276225</xdr:colOff>
                    <xdr:row>456</xdr:row>
                    <xdr:rowOff>9525</xdr:rowOff>
                  </from>
                  <to>
                    <xdr:col>3</xdr:col>
                    <xdr:colOff>95250</xdr:colOff>
                    <xdr:row>456</xdr:row>
                    <xdr:rowOff>485775</xdr:rowOff>
                  </to>
                </anchor>
              </controlPr>
            </control>
          </mc:Choice>
        </mc:AlternateContent>
        <mc:AlternateContent xmlns:mc="http://schemas.openxmlformats.org/markup-compatibility/2006">
          <mc:Choice Requires="x14">
            <control shapeId="1481" r:id="rId459" name="Check Box 457">
              <controlPr defaultSize="0" autoFill="0" autoLine="0" autoPict="0">
                <anchor moveWithCells="1">
                  <from>
                    <xdr:col>0</xdr:col>
                    <xdr:colOff>276225</xdr:colOff>
                    <xdr:row>457</xdr:row>
                    <xdr:rowOff>9525</xdr:rowOff>
                  </from>
                  <to>
                    <xdr:col>3</xdr:col>
                    <xdr:colOff>95250</xdr:colOff>
                    <xdr:row>457</xdr:row>
                    <xdr:rowOff>485775</xdr:rowOff>
                  </to>
                </anchor>
              </controlPr>
            </control>
          </mc:Choice>
        </mc:AlternateContent>
        <mc:AlternateContent xmlns:mc="http://schemas.openxmlformats.org/markup-compatibility/2006">
          <mc:Choice Requires="x14">
            <control shapeId="1482" r:id="rId460" name="Check Box 458">
              <controlPr defaultSize="0" autoFill="0" autoLine="0" autoPict="0">
                <anchor moveWithCells="1">
                  <from>
                    <xdr:col>0</xdr:col>
                    <xdr:colOff>276225</xdr:colOff>
                    <xdr:row>458</xdr:row>
                    <xdr:rowOff>9525</xdr:rowOff>
                  </from>
                  <to>
                    <xdr:col>3</xdr:col>
                    <xdr:colOff>95250</xdr:colOff>
                    <xdr:row>458</xdr:row>
                    <xdr:rowOff>485775</xdr:rowOff>
                  </to>
                </anchor>
              </controlPr>
            </control>
          </mc:Choice>
        </mc:AlternateContent>
        <mc:AlternateContent xmlns:mc="http://schemas.openxmlformats.org/markup-compatibility/2006">
          <mc:Choice Requires="x14">
            <control shapeId="1483" r:id="rId461" name="Check Box 459">
              <controlPr defaultSize="0" autoFill="0" autoLine="0" autoPict="0">
                <anchor moveWithCells="1">
                  <from>
                    <xdr:col>0</xdr:col>
                    <xdr:colOff>276225</xdr:colOff>
                    <xdr:row>459</xdr:row>
                    <xdr:rowOff>9525</xdr:rowOff>
                  </from>
                  <to>
                    <xdr:col>3</xdr:col>
                    <xdr:colOff>95250</xdr:colOff>
                    <xdr:row>459</xdr:row>
                    <xdr:rowOff>485775</xdr:rowOff>
                  </to>
                </anchor>
              </controlPr>
            </control>
          </mc:Choice>
        </mc:AlternateContent>
        <mc:AlternateContent xmlns:mc="http://schemas.openxmlformats.org/markup-compatibility/2006">
          <mc:Choice Requires="x14">
            <control shapeId="1484" r:id="rId462" name="Check Box 460">
              <controlPr defaultSize="0" autoFill="0" autoLine="0" autoPict="0">
                <anchor moveWithCells="1">
                  <from>
                    <xdr:col>0</xdr:col>
                    <xdr:colOff>276225</xdr:colOff>
                    <xdr:row>460</xdr:row>
                    <xdr:rowOff>9525</xdr:rowOff>
                  </from>
                  <to>
                    <xdr:col>3</xdr:col>
                    <xdr:colOff>95250</xdr:colOff>
                    <xdr:row>460</xdr:row>
                    <xdr:rowOff>485775</xdr:rowOff>
                  </to>
                </anchor>
              </controlPr>
            </control>
          </mc:Choice>
        </mc:AlternateContent>
        <mc:AlternateContent xmlns:mc="http://schemas.openxmlformats.org/markup-compatibility/2006">
          <mc:Choice Requires="x14">
            <control shapeId="1485" r:id="rId463" name="Check Box 461">
              <controlPr defaultSize="0" autoFill="0" autoLine="0" autoPict="0">
                <anchor moveWithCells="1">
                  <from>
                    <xdr:col>0</xdr:col>
                    <xdr:colOff>276225</xdr:colOff>
                    <xdr:row>461</xdr:row>
                    <xdr:rowOff>9525</xdr:rowOff>
                  </from>
                  <to>
                    <xdr:col>3</xdr:col>
                    <xdr:colOff>95250</xdr:colOff>
                    <xdr:row>461</xdr:row>
                    <xdr:rowOff>485775</xdr:rowOff>
                  </to>
                </anchor>
              </controlPr>
            </control>
          </mc:Choice>
        </mc:AlternateContent>
        <mc:AlternateContent xmlns:mc="http://schemas.openxmlformats.org/markup-compatibility/2006">
          <mc:Choice Requires="x14">
            <control shapeId="1486" r:id="rId464" name="Check Box 462">
              <controlPr defaultSize="0" autoFill="0" autoLine="0" autoPict="0">
                <anchor moveWithCells="1">
                  <from>
                    <xdr:col>0</xdr:col>
                    <xdr:colOff>276225</xdr:colOff>
                    <xdr:row>462</xdr:row>
                    <xdr:rowOff>9525</xdr:rowOff>
                  </from>
                  <to>
                    <xdr:col>3</xdr:col>
                    <xdr:colOff>95250</xdr:colOff>
                    <xdr:row>462</xdr:row>
                    <xdr:rowOff>485775</xdr:rowOff>
                  </to>
                </anchor>
              </controlPr>
            </control>
          </mc:Choice>
        </mc:AlternateContent>
        <mc:AlternateContent xmlns:mc="http://schemas.openxmlformats.org/markup-compatibility/2006">
          <mc:Choice Requires="x14">
            <control shapeId="1487" r:id="rId465" name="Check Box 463">
              <controlPr defaultSize="0" autoFill="0" autoLine="0" autoPict="0">
                <anchor moveWithCells="1">
                  <from>
                    <xdr:col>0</xdr:col>
                    <xdr:colOff>276225</xdr:colOff>
                    <xdr:row>463</xdr:row>
                    <xdr:rowOff>9525</xdr:rowOff>
                  </from>
                  <to>
                    <xdr:col>3</xdr:col>
                    <xdr:colOff>95250</xdr:colOff>
                    <xdr:row>463</xdr:row>
                    <xdr:rowOff>485775</xdr:rowOff>
                  </to>
                </anchor>
              </controlPr>
            </control>
          </mc:Choice>
        </mc:AlternateContent>
        <mc:AlternateContent xmlns:mc="http://schemas.openxmlformats.org/markup-compatibility/2006">
          <mc:Choice Requires="x14">
            <control shapeId="1488" r:id="rId466" name="Check Box 464">
              <controlPr defaultSize="0" autoFill="0" autoLine="0" autoPict="0">
                <anchor moveWithCells="1">
                  <from>
                    <xdr:col>0</xdr:col>
                    <xdr:colOff>276225</xdr:colOff>
                    <xdr:row>464</xdr:row>
                    <xdr:rowOff>9525</xdr:rowOff>
                  </from>
                  <to>
                    <xdr:col>3</xdr:col>
                    <xdr:colOff>95250</xdr:colOff>
                    <xdr:row>464</xdr:row>
                    <xdr:rowOff>485775</xdr:rowOff>
                  </to>
                </anchor>
              </controlPr>
            </control>
          </mc:Choice>
        </mc:AlternateContent>
        <mc:AlternateContent xmlns:mc="http://schemas.openxmlformats.org/markup-compatibility/2006">
          <mc:Choice Requires="x14">
            <control shapeId="1489" r:id="rId467" name="Check Box 465">
              <controlPr defaultSize="0" autoFill="0" autoLine="0" autoPict="0">
                <anchor moveWithCells="1">
                  <from>
                    <xdr:col>0</xdr:col>
                    <xdr:colOff>276225</xdr:colOff>
                    <xdr:row>465</xdr:row>
                    <xdr:rowOff>9525</xdr:rowOff>
                  </from>
                  <to>
                    <xdr:col>3</xdr:col>
                    <xdr:colOff>95250</xdr:colOff>
                    <xdr:row>465</xdr:row>
                    <xdr:rowOff>485775</xdr:rowOff>
                  </to>
                </anchor>
              </controlPr>
            </control>
          </mc:Choice>
        </mc:AlternateContent>
        <mc:AlternateContent xmlns:mc="http://schemas.openxmlformats.org/markup-compatibility/2006">
          <mc:Choice Requires="x14">
            <control shapeId="1490" r:id="rId468" name="Check Box 466">
              <controlPr defaultSize="0" autoFill="0" autoLine="0" autoPict="0">
                <anchor moveWithCells="1">
                  <from>
                    <xdr:col>0</xdr:col>
                    <xdr:colOff>276225</xdr:colOff>
                    <xdr:row>466</xdr:row>
                    <xdr:rowOff>9525</xdr:rowOff>
                  </from>
                  <to>
                    <xdr:col>3</xdr:col>
                    <xdr:colOff>95250</xdr:colOff>
                    <xdr:row>466</xdr:row>
                    <xdr:rowOff>485775</xdr:rowOff>
                  </to>
                </anchor>
              </controlPr>
            </control>
          </mc:Choice>
        </mc:AlternateContent>
        <mc:AlternateContent xmlns:mc="http://schemas.openxmlformats.org/markup-compatibility/2006">
          <mc:Choice Requires="x14">
            <control shapeId="1491" r:id="rId469" name="Check Box 467">
              <controlPr defaultSize="0" autoFill="0" autoLine="0" autoPict="0">
                <anchor moveWithCells="1">
                  <from>
                    <xdr:col>0</xdr:col>
                    <xdr:colOff>276225</xdr:colOff>
                    <xdr:row>467</xdr:row>
                    <xdr:rowOff>9525</xdr:rowOff>
                  </from>
                  <to>
                    <xdr:col>3</xdr:col>
                    <xdr:colOff>95250</xdr:colOff>
                    <xdr:row>467</xdr:row>
                    <xdr:rowOff>485775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37BC0886-D51E-4AA2-8D43-7540A1B9CA97}"/>
</file>

<file path=customXml/itemProps2.xml><?xml version="1.0" encoding="utf-8"?>
<ds:datastoreItem xmlns:ds="http://schemas.openxmlformats.org/officeDocument/2006/customXml" ds:itemID="{C78F728C-DCED-44B1-B308-C1BB6BC1CC25}"/>
</file>

<file path=customXml/itemProps3.xml><?xml version="1.0" encoding="utf-8"?>
<ds:datastoreItem xmlns:ds="http://schemas.openxmlformats.org/officeDocument/2006/customXml" ds:itemID="{A6BA92A4-8638-479D-ACE4-5246AD1468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2022-03-01T19:28:51Z</dcterms:created>
  <dcterms:modified xsi:type="dcterms:W3CDTF">2022-03-01T19:31:18Z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285800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