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2FA87F7-5D0C-4382-A8A2-D12A29F405EF}" xr6:coauthVersionLast="47" xr6:coauthVersionMax="47" xr10:uidLastSave="{00000000-0000-0000-0000-000000000000}"/>
  <bookViews>
    <workbookView xWindow="-120" yWindow="-120" windowWidth="29040" windowHeight="15840" xr2:uid="{6B272885-0BD4-4C0E-B84D-385A8D8299B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52" i="1" l="1"/>
  <c r="AS352" i="1"/>
  <c r="AR352" i="1"/>
  <c r="AT351" i="1"/>
  <c r="AS351" i="1"/>
  <c r="AR351" i="1"/>
  <c r="AT350" i="1"/>
  <c r="AS350" i="1"/>
  <c r="AR350" i="1"/>
  <c r="AT349" i="1"/>
  <c r="AS349" i="1"/>
  <c r="AT348" i="1"/>
  <c r="AS348" i="1"/>
  <c r="AR348" i="1"/>
  <c r="AT347" i="1"/>
  <c r="AS347" i="1"/>
  <c r="AR347" i="1"/>
  <c r="AT346" i="1"/>
  <c r="AS346" i="1"/>
  <c r="AR346" i="1"/>
  <c r="AT345" i="1"/>
  <c r="AS345" i="1"/>
  <c r="AT344" i="1"/>
  <c r="AS344" i="1"/>
  <c r="AT343" i="1"/>
  <c r="AS343" i="1"/>
  <c r="AT342" i="1"/>
  <c r="AS342" i="1"/>
  <c r="AT341" i="1"/>
  <c r="AS341" i="1"/>
  <c r="AT340" i="1"/>
  <c r="AS340" i="1"/>
  <c r="AR340" i="1"/>
  <c r="AT339" i="1"/>
  <c r="AS339" i="1"/>
  <c r="AR339" i="1"/>
  <c r="AT338" i="1"/>
  <c r="AS338" i="1"/>
  <c r="AT337" i="1"/>
  <c r="AS337" i="1"/>
  <c r="AR337" i="1"/>
  <c r="AT336" i="1"/>
  <c r="AS336" i="1"/>
  <c r="AT335" i="1"/>
  <c r="AS335" i="1"/>
  <c r="AR335" i="1"/>
  <c r="AT334" i="1"/>
  <c r="AS334" i="1"/>
  <c r="AR334" i="1"/>
  <c r="AT333" i="1"/>
  <c r="AS333" i="1"/>
  <c r="AR333" i="1"/>
  <c r="AT332" i="1"/>
  <c r="AS332" i="1"/>
  <c r="AR332" i="1"/>
  <c r="AT331" i="1"/>
  <c r="AS331" i="1"/>
  <c r="AT330" i="1"/>
  <c r="AS330" i="1"/>
  <c r="AR330" i="1"/>
  <c r="AT329" i="1"/>
  <c r="AS329" i="1"/>
  <c r="AT328" i="1"/>
  <c r="AS328" i="1"/>
  <c r="AT327" i="1"/>
  <c r="AS327" i="1"/>
  <c r="AT326" i="1"/>
  <c r="AS326" i="1"/>
  <c r="AT325" i="1"/>
  <c r="AS325" i="1"/>
  <c r="AR325" i="1"/>
  <c r="AT324" i="1"/>
  <c r="AS324" i="1"/>
  <c r="AR324" i="1"/>
  <c r="AT323" i="1"/>
  <c r="AS323" i="1"/>
  <c r="AT322" i="1"/>
  <c r="AS322" i="1"/>
  <c r="AR322" i="1"/>
  <c r="AT321" i="1"/>
  <c r="AS321" i="1"/>
  <c r="AR321" i="1"/>
  <c r="AT320" i="1"/>
  <c r="AS320" i="1"/>
  <c r="AR320" i="1"/>
  <c r="AT319" i="1"/>
  <c r="AS319" i="1"/>
  <c r="AT318" i="1"/>
  <c r="AS318" i="1"/>
  <c r="AR318" i="1"/>
  <c r="AT317" i="1"/>
  <c r="AS317" i="1"/>
  <c r="AR317" i="1"/>
  <c r="AT316" i="1"/>
  <c r="AS316" i="1"/>
  <c r="AT315" i="1"/>
  <c r="AS315" i="1"/>
  <c r="AR315" i="1"/>
  <c r="AT314" i="1"/>
  <c r="AS314" i="1"/>
  <c r="AT313" i="1"/>
  <c r="AS313" i="1"/>
  <c r="AR313" i="1"/>
  <c r="AT312" i="1"/>
  <c r="AS312" i="1"/>
  <c r="AT311" i="1"/>
  <c r="AS311" i="1"/>
  <c r="AR311" i="1"/>
  <c r="AT310" i="1"/>
  <c r="AS310" i="1"/>
  <c r="AR310" i="1"/>
  <c r="AT309" i="1"/>
  <c r="AS309" i="1"/>
  <c r="AR309" i="1"/>
  <c r="AT308" i="1"/>
  <c r="AS308" i="1"/>
  <c r="AT307" i="1"/>
  <c r="AS307" i="1"/>
  <c r="AR307" i="1"/>
  <c r="AT306" i="1"/>
  <c r="AS306" i="1"/>
  <c r="AR306" i="1"/>
  <c r="AT305" i="1"/>
  <c r="AS305" i="1"/>
  <c r="AR305" i="1"/>
  <c r="AT304" i="1"/>
  <c r="AS304" i="1"/>
  <c r="AT303" i="1"/>
  <c r="AS303" i="1"/>
  <c r="AR303" i="1"/>
  <c r="AT302" i="1"/>
  <c r="AS302" i="1"/>
  <c r="AR302" i="1"/>
  <c r="AT301" i="1"/>
  <c r="AS301" i="1"/>
  <c r="AR301" i="1"/>
  <c r="AT300" i="1"/>
  <c r="AS300" i="1"/>
  <c r="AT299" i="1"/>
  <c r="AS299" i="1"/>
  <c r="AR299" i="1"/>
  <c r="AT298" i="1"/>
  <c r="AS298" i="1"/>
  <c r="AT297" i="1"/>
  <c r="AS297" i="1"/>
  <c r="AR297" i="1"/>
  <c r="AT296" i="1"/>
  <c r="AS296" i="1"/>
  <c r="AR296" i="1"/>
  <c r="AT295" i="1"/>
  <c r="AS295" i="1"/>
  <c r="AR295" i="1"/>
  <c r="AT294" i="1"/>
  <c r="AS294" i="1"/>
  <c r="AR294" i="1"/>
  <c r="AT293" i="1"/>
  <c r="AS293" i="1"/>
  <c r="AR293" i="1"/>
  <c r="AT292" i="1"/>
  <c r="AS292" i="1"/>
  <c r="AT291" i="1"/>
  <c r="AS291" i="1"/>
  <c r="AR291" i="1"/>
  <c r="AT290" i="1"/>
  <c r="AS290" i="1"/>
  <c r="AR290" i="1"/>
  <c r="AT289" i="1"/>
  <c r="AS289" i="1"/>
  <c r="AR289" i="1"/>
  <c r="AT288" i="1"/>
  <c r="AS288" i="1"/>
  <c r="AR288" i="1"/>
  <c r="AT287" i="1"/>
  <c r="AS287" i="1"/>
  <c r="AR287" i="1"/>
  <c r="AT286" i="1"/>
  <c r="AS286" i="1"/>
  <c r="AR286" i="1"/>
  <c r="AT285" i="1"/>
  <c r="AS285" i="1"/>
  <c r="AR285" i="1"/>
  <c r="AT284" i="1"/>
  <c r="AS284" i="1"/>
  <c r="AT283" i="1"/>
  <c r="AS283" i="1"/>
  <c r="AR283" i="1"/>
  <c r="AT282" i="1"/>
  <c r="AS282" i="1"/>
  <c r="AT281" i="1"/>
  <c r="AS281" i="1"/>
  <c r="AR281" i="1"/>
  <c r="AT280" i="1"/>
  <c r="AS280" i="1"/>
  <c r="AT279" i="1"/>
  <c r="AS279" i="1"/>
  <c r="AR279" i="1"/>
  <c r="AT278" i="1"/>
  <c r="AS278" i="1"/>
  <c r="AR278" i="1"/>
  <c r="AT277" i="1"/>
  <c r="AS277" i="1"/>
  <c r="AT276" i="1"/>
  <c r="AS276" i="1"/>
  <c r="AR276" i="1"/>
  <c r="AT275" i="1"/>
  <c r="AS275" i="1"/>
  <c r="AR275" i="1"/>
  <c r="AT274" i="1"/>
  <c r="AS274" i="1"/>
  <c r="AR274" i="1"/>
  <c r="AT273" i="1"/>
  <c r="AS273" i="1"/>
  <c r="AR273" i="1"/>
  <c r="AT272" i="1"/>
  <c r="AS272" i="1"/>
  <c r="AT271" i="1"/>
  <c r="AS271" i="1"/>
  <c r="AR271" i="1"/>
  <c r="AT270" i="1"/>
  <c r="AS270" i="1"/>
  <c r="AR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T261" i="1"/>
  <c r="AS261" i="1"/>
  <c r="AT260" i="1"/>
  <c r="AS260" i="1"/>
  <c r="AR260" i="1"/>
  <c r="AT259" i="1"/>
  <c r="AS259" i="1"/>
  <c r="AR259" i="1"/>
  <c r="AT258" i="1"/>
  <c r="AS258" i="1"/>
  <c r="AR258" i="1"/>
  <c r="AT257" i="1"/>
  <c r="AS257" i="1"/>
  <c r="AR257" i="1"/>
  <c r="AT256" i="1"/>
  <c r="AS256" i="1"/>
  <c r="AR256" i="1"/>
  <c r="AT255" i="1"/>
  <c r="AS255" i="1"/>
  <c r="AR255" i="1"/>
  <c r="AT254" i="1"/>
  <c r="AS254" i="1"/>
  <c r="AR254" i="1"/>
  <c r="AT253" i="1"/>
  <c r="AS253" i="1"/>
  <c r="AR253" i="1"/>
  <c r="AT252" i="1"/>
  <c r="AS252" i="1"/>
  <c r="AT251" i="1"/>
  <c r="AS251" i="1"/>
  <c r="AT250" i="1"/>
  <c r="AS250" i="1"/>
  <c r="AR250" i="1"/>
  <c r="AT249" i="1"/>
  <c r="AS249" i="1"/>
  <c r="AR249" i="1"/>
  <c r="AT248" i="1"/>
  <c r="AS248" i="1"/>
  <c r="AT247" i="1"/>
  <c r="AS247" i="1"/>
  <c r="AT246" i="1"/>
  <c r="AS246" i="1"/>
  <c r="AR246" i="1"/>
  <c r="AT245" i="1"/>
  <c r="AS245" i="1"/>
  <c r="AT244" i="1"/>
  <c r="AS244" i="1"/>
  <c r="AT243" i="1"/>
  <c r="AS243" i="1"/>
  <c r="AR243" i="1"/>
  <c r="AT242" i="1"/>
  <c r="AS242" i="1"/>
  <c r="AR242" i="1"/>
  <c r="AT241" i="1"/>
  <c r="AS241" i="1"/>
  <c r="AR241" i="1"/>
  <c r="AT240" i="1"/>
  <c r="AS240" i="1"/>
  <c r="AT239" i="1"/>
  <c r="AS239" i="1"/>
  <c r="AT238" i="1"/>
  <c r="AS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R226" i="1"/>
  <c r="AT225" i="1"/>
  <c r="AS225" i="1"/>
  <c r="AR225" i="1"/>
  <c r="AT224" i="1"/>
  <c r="AS224" i="1"/>
  <c r="AR224" i="1"/>
  <c r="AT223" i="1"/>
  <c r="AS223" i="1"/>
  <c r="AR223" i="1"/>
  <c r="AT222" i="1"/>
  <c r="AS222" i="1"/>
  <c r="AR222" i="1"/>
  <c r="AT221" i="1"/>
  <c r="AS221" i="1"/>
  <c r="AR221" i="1"/>
  <c r="AT220" i="1"/>
  <c r="AS220" i="1"/>
  <c r="AR220" i="1"/>
  <c r="AT219" i="1"/>
  <c r="AS219" i="1"/>
  <c r="AR219" i="1"/>
  <c r="AT218" i="1"/>
  <c r="AS218" i="1"/>
  <c r="AR218" i="1"/>
  <c r="AT217" i="1"/>
  <c r="AS217" i="1"/>
  <c r="AR217" i="1"/>
  <c r="AT216" i="1"/>
  <c r="AS216" i="1"/>
  <c r="AR216" i="1"/>
  <c r="AT215" i="1"/>
  <c r="AS215" i="1"/>
  <c r="AR215" i="1"/>
  <c r="AT214" i="1"/>
  <c r="AS214" i="1"/>
  <c r="AR214" i="1"/>
  <c r="AT213" i="1"/>
  <c r="AS213" i="1"/>
  <c r="AT212" i="1"/>
  <c r="AS212" i="1"/>
  <c r="AR212" i="1"/>
  <c r="AT211" i="1"/>
  <c r="AS211" i="1"/>
  <c r="AR211" i="1"/>
  <c r="AT210" i="1"/>
  <c r="AS210" i="1"/>
  <c r="AR210" i="1"/>
  <c r="AT209" i="1"/>
  <c r="AS209" i="1"/>
  <c r="AR209" i="1"/>
  <c r="AT208" i="1"/>
  <c r="AS208" i="1"/>
  <c r="AR208" i="1"/>
  <c r="AT207" i="1"/>
  <c r="AS207" i="1"/>
  <c r="AT206" i="1"/>
  <c r="AS206" i="1"/>
  <c r="AT205" i="1"/>
  <c r="AS205" i="1"/>
  <c r="AT204" i="1"/>
  <c r="AS204" i="1"/>
  <c r="AR204" i="1"/>
  <c r="AT203" i="1"/>
  <c r="AS203" i="1"/>
  <c r="AR203" i="1"/>
  <c r="AT202" i="1"/>
  <c r="AS202" i="1"/>
  <c r="AR202" i="1"/>
  <c r="AT201" i="1"/>
  <c r="AS201" i="1"/>
  <c r="AR201" i="1"/>
  <c r="AT200" i="1"/>
  <c r="AS200" i="1"/>
  <c r="AR200" i="1"/>
  <c r="AT199" i="1"/>
  <c r="AS199" i="1"/>
  <c r="AR199" i="1"/>
  <c r="AT198" i="1"/>
  <c r="AS198" i="1"/>
  <c r="AR198" i="1"/>
  <c r="AT197" i="1"/>
  <c r="AS197" i="1"/>
  <c r="AT196" i="1"/>
  <c r="AS196" i="1"/>
  <c r="AR196" i="1"/>
  <c r="AT195" i="1"/>
  <c r="AS195" i="1"/>
  <c r="AR195" i="1"/>
  <c r="AT194" i="1"/>
  <c r="AS194" i="1"/>
  <c r="AT193" i="1"/>
  <c r="AS193" i="1"/>
  <c r="AT192" i="1"/>
  <c r="AS192" i="1"/>
  <c r="AR192" i="1"/>
  <c r="AT191" i="1"/>
  <c r="AS191" i="1"/>
  <c r="AR191" i="1"/>
  <c r="AT190" i="1"/>
  <c r="AS190" i="1"/>
  <c r="AT189" i="1"/>
  <c r="AS189" i="1"/>
  <c r="AT188" i="1"/>
  <c r="AS188" i="1"/>
  <c r="AR188" i="1"/>
  <c r="AT187" i="1"/>
  <c r="AS187" i="1"/>
  <c r="AT186" i="1"/>
  <c r="AS186" i="1"/>
  <c r="AT185" i="1"/>
  <c r="AS185" i="1"/>
  <c r="AR185" i="1"/>
  <c r="AT184" i="1"/>
  <c r="AS184" i="1"/>
  <c r="AR184" i="1"/>
  <c r="AT183" i="1"/>
  <c r="AS183" i="1"/>
  <c r="AR183" i="1"/>
  <c r="AT182" i="1"/>
  <c r="AS182" i="1"/>
  <c r="AR182" i="1"/>
  <c r="AT181" i="1"/>
  <c r="AS181" i="1"/>
  <c r="AT180" i="1"/>
  <c r="AS180" i="1"/>
  <c r="AT179" i="1"/>
  <c r="AS179" i="1"/>
  <c r="AT178" i="1"/>
  <c r="AS178" i="1"/>
  <c r="AR178" i="1"/>
  <c r="AT177" i="1"/>
  <c r="AS177" i="1"/>
  <c r="AT176" i="1"/>
  <c r="AS176" i="1"/>
  <c r="AR176" i="1"/>
  <c r="AT175" i="1"/>
  <c r="AS175" i="1"/>
  <c r="AT174" i="1"/>
  <c r="AS174" i="1"/>
  <c r="AR174" i="1"/>
  <c r="AT173" i="1"/>
  <c r="AS173" i="1"/>
  <c r="AT172" i="1"/>
  <c r="AS172" i="1"/>
  <c r="AT171" i="1"/>
  <c r="AS171" i="1"/>
  <c r="AT170" i="1"/>
  <c r="AS170" i="1"/>
  <c r="AT169" i="1"/>
  <c r="AS169" i="1"/>
  <c r="AR169" i="1"/>
  <c r="AT168" i="1"/>
  <c r="AS168" i="1"/>
  <c r="AT167" i="1"/>
  <c r="AS167" i="1"/>
  <c r="AR167" i="1"/>
  <c r="AT166" i="1"/>
  <c r="AS166" i="1"/>
  <c r="AR166" i="1"/>
  <c r="AT165" i="1"/>
  <c r="AS165" i="1"/>
  <c r="AR165" i="1"/>
  <c r="AT164" i="1"/>
  <c r="AS164" i="1"/>
  <c r="AT163" i="1"/>
  <c r="AS163" i="1"/>
  <c r="AT162" i="1"/>
  <c r="AS162" i="1"/>
  <c r="AR162" i="1"/>
  <c r="AT161" i="1"/>
  <c r="AS161" i="1"/>
  <c r="AR161" i="1"/>
  <c r="AT160" i="1"/>
  <c r="AS160" i="1"/>
  <c r="AR160" i="1"/>
  <c r="AT159" i="1"/>
  <c r="AS159" i="1"/>
  <c r="AT158" i="1"/>
  <c r="AS158" i="1"/>
  <c r="AR158" i="1"/>
  <c r="AT157" i="1"/>
  <c r="AS157" i="1"/>
  <c r="AR157" i="1"/>
  <c r="AT156" i="1"/>
  <c r="AS156" i="1"/>
  <c r="AR156" i="1"/>
  <c r="AT155" i="1"/>
  <c r="AS155" i="1"/>
  <c r="AR155" i="1"/>
  <c r="AT154" i="1"/>
  <c r="AS154" i="1"/>
  <c r="AR154" i="1"/>
  <c r="AT153" i="1"/>
  <c r="AS153" i="1"/>
  <c r="AR153" i="1"/>
  <c r="AT152" i="1"/>
  <c r="AS152" i="1"/>
  <c r="AR152" i="1"/>
  <c r="AT151" i="1"/>
  <c r="AS151" i="1"/>
  <c r="AR151" i="1"/>
  <c r="AT150" i="1"/>
  <c r="AS150" i="1"/>
  <c r="AT149" i="1"/>
  <c r="AS149" i="1"/>
  <c r="AT148" i="1"/>
  <c r="AS148" i="1"/>
  <c r="AR148" i="1"/>
  <c r="AT147" i="1"/>
  <c r="AS147" i="1"/>
  <c r="AR147" i="1"/>
  <c r="AT146" i="1"/>
  <c r="AS146" i="1"/>
  <c r="AR146" i="1"/>
  <c r="AT145" i="1"/>
  <c r="AS145" i="1"/>
  <c r="AT144" i="1"/>
  <c r="AS144" i="1"/>
  <c r="AR144" i="1"/>
  <c r="AT143" i="1"/>
  <c r="AS143" i="1"/>
  <c r="AR143" i="1"/>
  <c r="AT142" i="1"/>
  <c r="AS142" i="1"/>
  <c r="AR142" i="1"/>
  <c r="AT141" i="1"/>
  <c r="AS141" i="1"/>
  <c r="AR141" i="1"/>
  <c r="AT140" i="1"/>
  <c r="AS140" i="1"/>
  <c r="AT139" i="1"/>
  <c r="AS139" i="1"/>
  <c r="AR139" i="1"/>
  <c r="AT138" i="1"/>
  <c r="AS138" i="1"/>
  <c r="AR138" i="1"/>
  <c r="AT137" i="1"/>
  <c r="AS137" i="1"/>
  <c r="AR137" i="1"/>
  <c r="AT136" i="1"/>
  <c r="AS136" i="1"/>
  <c r="AT135" i="1"/>
  <c r="AS135" i="1"/>
  <c r="AT134" i="1"/>
  <c r="AS134" i="1"/>
  <c r="AT133" i="1"/>
  <c r="AS133" i="1"/>
  <c r="AT132" i="1"/>
  <c r="AS132" i="1"/>
  <c r="AT131" i="1"/>
  <c r="AS131" i="1"/>
  <c r="AR131" i="1"/>
  <c r="AT130" i="1"/>
  <c r="AS130" i="1"/>
  <c r="AT129" i="1"/>
  <c r="AS129" i="1"/>
  <c r="AT128" i="1"/>
  <c r="AS128" i="1"/>
  <c r="AT127" i="1"/>
  <c r="AS127" i="1"/>
  <c r="AT126" i="1"/>
  <c r="AS126" i="1"/>
  <c r="AR126" i="1"/>
  <c r="AT125" i="1"/>
  <c r="AS125" i="1"/>
  <c r="AT124" i="1"/>
  <c r="AS124" i="1"/>
  <c r="AR124" i="1"/>
  <c r="AT123" i="1"/>
  <c r="AS123" i="1"/>
  <c r="AR123" i="1"/>
  <c r="AT122" i="1"/>
  <c r="AS122" i="1"/>
  <c r="AT121" i="1"/>
  <c r="AS121" i="1"/>
  <c r="AR121" i="1"/>
  <c r="AT120" i="1"/>
  <c r="AS120" i="1"/>
  <c r="AR120" i="1"/>
  <c r="AT119" i="1"/>
  <c r="AS119" i="1"/>
  <c r="AR119" i="1"/>
  <c r="AT118" i="1"/>
  <c r="AS118" i="1"/>
  <c r="AT117" i="1"/>
  <c r="AS117" i="1"/>
  <c r="AT116" i="1"/>
  <c r="AS116" i="1"/>
  <c r="AT115" i="1"/>
  <c r="AS115" i="1"/>
  <c r="AR115" i="1"/>
  <c r="AT114" i="1"/>
  <c r="AS114" i="1"/>
  <c r="AT113" i="1"/>
  <c r="AS113" i="1"/>
  <c r="AR113" i="1"/>
  <c r="AT112" i="1"/>
  <c r="AS112" i="1"/>
  <c r="AR112" i="1"/>
  <c r="AT111" i="1"/>
  <c r="AS111" i="1"/>
  <c r="AR111" i="1"/>
  <c r="AT110" i="1"/>
  <c r="AS110" i="1"/>
  <c r="AR110" i="1"/>
  <c r="AT109" i="1"/>
  <c r="AS109" i="1"/>
  <c r="AR109" i="1"/>
  <c r="AT108" i="1"/>
  <c r="AS108" i="1"/>
  <c r="AT107" i="1"/>
  <c r="AS107" i="1"/>
  <c r="AR107" i="1"/>
  <c r="AT106" i="1"/>
  <c r="AS106" i="1"/>
  <c r="AR106" i="1"/>
  <c r="AT105" i="1"/>
  <c r="AS105" i="1"/>
  <c r="AR105" i="1"/>
  <c r="AT104" i="1"/>
  <c r="AS104" i="1"/>
  <c r="AR104" i="1"/>
  <c r="AT103" i="1"/>
  <c r="AS103" i="1"/>
  <c r="AR103" i="1"/>
  <c r="AT102" i="1"/>
  <c r="AS102" i="1"/>
  <c r="AR102" i="1"/>
  <c r="AT101" i="1"/>
  <c r="AS101" i="1"/>
  <c r="AR101" i="1"/>
  <c r="AT100" i="1"/>
  <c r="AS100" i="1"/>
  <c r="AT99" i="1"/>
  <c r="AS99" i="1"/>
  <c r="AR99" i="1"/>
  <c r="AT98" i="1"/>
  <c r="AS98" i="1"/>
  <c r="AR98" i="1"/>
  <c r="AT97" i="1"/>
  <c r="AS97" i="1"/>
  <c r="AR97" i="1"/>
  <c r="AT96" i="1"/>
  <c r="AS96" i="1"/>
  <c r="AR96" i="1"/>
  <c r="AT95" i="1"/>
  <c r="AS95" i="1"/>
  <c r="AT94" i="1"/>
  <c r="AS94" i="1"/>
  <c r="AR94" i="1"/>
  <c r="AT93" i="1"/>
  <c r="AS93" i="1"/>
  <c r="AR93" i="1"/>
  <c r="AT92" i="1"/>
  <c r="AS92" i="1"/>
  <c r="AT91" i="1"/>
  <c r="AS91" i="1"/>
  <c r="AT90" i="1"/>
  <c r="AS90" i="1"/>
  <c r="AR90" i="1"/>
  <c r="AT89" i="1"/>
  <c r="AS89" i="1"/>
  <c r="AR89" i="1"/>
  <c r="AT88" i="1"/>
  <c r="AS88" i="1"/>
  <c r="AR88" i="1"/>
  <c r="AT87" i="1"/>
  <c r="AS87" i="1"/>
  <c r="AR87" i="1"/>
  <c r="AT86" i="1"/>
  <c r="AS86" i="1"/>
  <c r="AR86" i="1"/>
  <c r="AT85" i="1"/>
  <c r="AS85" i="1"/>
  <c r="AT84" i="1"/>
  <c r="AS84" i="1"/>
  <c r="AR84" i="1"/>
  <c r="AT83" i="1"/>
  <c r="AS83" i="1"/>
  <c r="AR83" i="1"/>
  <c r="AT82" i="1"/>
  <c r="AS82" i="1"/>
  <c r="AR82" i="1"/>
  <c r="AT81" i="1"/>
  <c r="AS81" i="1"/>
  <c r="AR81" i="1"/>
  <c r="AT80" i="1"/>
  <c r="AS80" i="1"/>
  <c r="AT79" i="1"/>
  <c r="AS79" i="1"/>
  <c r="AT78" i="1"/>
  <c r="AS78" i="1"/>
  <c r="AR78" i="1"/>
  <c r="AT77" i="1"/>
  <c r="AS77" i="1"/>
  <c r="AR77" i="1"/>
  <c r="AT76" i="1"/>
  <c r="AS76" i="1"/>
  <c r="AT75" i="1"/>
  <c r="AS75" i="1"/>
  <c r="AR75" i="1"/>
  <c r="AT74" i="1"/>
  <c r="AS74" i="1"/>
  <c r="AR74" i="1"/>
  <c r="AT73" i="1"/>
  <c r="AS73" i="1"/>
  <c r="AR73" i="1"/>
  <c r="AT72" i="1"/>
  <c r="AS72" i="1"/>
  <c r="AR72" i="1"/>
  <c r="AT71" i="1"/>
  <c r="AS71" i="1"/>
  <c r="AT70" i="1"/>
  <c r="AS70" i="1"/>
  <c r="AT69" i="1"/>
  <c r="AS69" i="1"/>
  <c r="AR69" i="1"/>
  <c r="AT68" i="1"/>
  <c r="AS68" i="1"/>
  <c r="AT67" i="1"/>
  <c r="AS67" i="1"/>
  <c r="AT66" i="1"/>
  <c r="AS66" i="1"/>
  <c r="AR66" i="1"/>
  <c r="AT65" i="1"/>
  <c r="AS65" i="1"/>
  <c r="AT64" i="1"/>
  <c r="AS64" i="1"/>
  <c r="AR64" i="1"/>
  <c r="AT63" i="1"/>
  <c r="AS63" i="1"/>
  <c r="AR63" i="1"/>
  <c r="AT62" i="1"/>
  <c r="AS62" i="1"/>
  <c r="AR62" i="1"/>
  <c r="AT61" i="1"/>
  <c r="AS61" i="1"/>
  <c r="AT60" i="1"/>
  <c r="AS60" i="1"/>
  <c r="AR60" i="1"/>
  <c r="AT59" i="1"/>
  <c r="AS59" i="1"/>
  <c r="AR59" i="1"/>
  <c r="AT58" i="1"/>
  <c r="AS58" i="1"/>
  <c r="AR58" i="1"/>
  <c r="AT57" i="1"/>
  <c r="AS57" i="1"/>
  <c r="AR57" i="1"/>
  <c r="AT56" i="1"/>
  <c r="AS56" i="1"/>
  <c r="AR56" i="1"/>
  <c r="AT55" i="1"/>
  <c r="AS55" i="1"/>
  <c r="AR55" i="1"/>
  <c r="AT54" i="1"/>
  <c r="AS54" i="1"/>
  <c r="AT53" i="1"/>
  <c r="AS53" i="1"/>
  <c r="AR53" i="1"/>
  <c r="AT52" i="1"/>
  <c r="AS52" i="1"/>
  <c r="AR52" i="1"/>
  <c r="AT51" i="1"/>
  <c r="AS51" i="1"/>
  <c r="AT50" i="1"/>
  <c r="AS50" i="1"/>
  <c r="AR50" i="1"/>
  <c r="AT49" i="1"/>
  <c r="AS49" i="1"/>
  <c r="AR49" i="1"/>
  <c r="AT48" i="1"/>
  <c r="AS48" i="1"/>
  <c r="AT47" i="1"/>
  <c r="AS47" i="1"/>
  <c r="AR47" i="1"/>
  <c r="AT46" i="1"/>
  <c r="AS46" i="1"/>
  <c r="AT45" i="1"/>
  <c r="AS45" i="1"/>
  <c r="AR45" i="1"/>
  <c r="AT44" i="1"/>
  <c r="AS44" i="1"/>
  <c r="AT43" i="1"/>
  <c r="AS43" i="1"/>
  <c r="AR43" i="1"/>
  <c r="AT42" i="1"/>
  <c r="AS42" i="1"/>
  <c r="AR42" i="1"/>
  <c r="AT41" i="1"/>
  <c r="AS41" i="1"/>
  <c r="AR41" i="1"/>
  <c r="AT40" i="1"/>
  <c r="AS40" i="1"/>
  <c r="AR40" i="1"/>
  <c r="AT39" i="1"/>
  <c r="AS39" i="1"/>
  <c r="AT38" i="1"/>
  <c r="AS38" i="1"/>
  <c r="AR38" i="1"/>
  <c r="AT37" i="1"/>
  <c r="AS37" i="1"/>
  <c r="AT36" i="1"/>
  <c r="AS36" i="1"/>
  <c r="AR36" i="1"/>
  <c r="AT35" i="1"/>
  <c r="AS35" i="1"/>
  <c r="AR35" i="1"/>
  <c r="AT34" i="1"/>
  <c r="AS34" i="1"/>
  <c r="AT33" i="1"/>
  <c r="AS33" i="1"/>
  <c r="AR33" i="1"/>
  <c r="AT32" i="1"/>
  <c r="AS32" i="1"/>
  <c r="AR32" i="1"/>
  <c r="AT31" i="1"/>
  <c r="AS31" i="1"/>
  <c r="AT30" i="1"/>
  <c r="AS30" i="1"/>
  <c r="AT29" i="1"/>
  <c r="AS29" i="1"/>
  <c r="AR29" i="1"/>
  <c r="AT28" i="1"/>
  <c r="AS28" i="1"/>
  <c r="AT27" i="1"/>
  <c r="AS27" i="1"/>
  <c r="AR27" i="1"/>
  <c r="AT26" i="1"/>
  <c r="AS26" i="1"/>
  <c r="AR26" i="1"/>
  <c r="AT25" i="1"/>
  <c r="AS25" i="1"/>
  <c r="AT24" i="1"/>
  <c r="AS24" i="1"/>
  <c r="AT23" i="1"/>
  <c r="AS23" i="1"/>
  <c r="AR23" i="1"/>
  <c r="AT22" i="1"/>
  <c r="AS22" i="1"/>
  <c r="AR22" i="1"/>
  <c r="AT21" i="1"/>
  <c r="AS21" i="1"/>
  <c r="AT20" i="1"/>
  <c r="AS20" i="1"/>
  <c r="AT19" i="1"/>
  <c r="AS19" i="1"/>
  <c r="AT18" i="1"/>
  <c r="AS18" i="1"/>
  <c r="AR18" i="1"/>
  <c r="AT17" i="1"/>
  <c r="AS17" i="1"/>
  <c r="AR17" i="1"/>
  <c r="AT16" i="1"/>
  <c r="AS16" i="1"/>
  <c r="AT15" i="1"/>
  <c r="AS15" i="1"/>
  <c r="AT14" i="1"/>
  <c r="AS14" i="1"/>
  <c r="AT13" i="1"/>
  <c r="AS13" i="1"/>
  <c r="AR13" i="1"/>
  <c r="AT12" i="1"/>
  <c r="AS12" i="1"/>
  <c r="AR12" i="1"/>
  <c r="AT11" i="1"/>
  <c r="AS11" i="1"/>
  <c r="AR11" i="1"/>
  <c r="AT10" i="1"/>
  <c r="AS10" i="1"/>
  <c r="AR10" i="1"/>
  <c r="AT9" i="1"/>
  <c r="AS9" i="1"/>
  <c r="AT8" i="1"/>
  <c r="AS8" i="1"/>
  <c r="AR8" i="1"/>
  <c r="AT7" i="1"/>
  <c r="AS7" i="1"/>
  <c r="AT6" i="1"/>
  <c r="AS6" i="1"/>
  <c r="AR6" i="1"/>
  <c r="AT5" i="1"/>
  <c r="AS5" i="1"/>
  <c r="AR5" i="1"/>
  <c r="AT4" i="1"/>
  <c r="AS4" i="1"/>
  <c r="AT3" i="1"/>
  <c r="AS3" i="1"/>
  <c r="AT2" i="1"/>
  <c r="AS2" i="1"/>
  <c r="AR2" i="1"/>
</calcChain>
</file>

<file path=xl/sharedStrings.xml><?xml version="1.0" encoding="utf-8"?>
<sst xmlns="http://schemas.openxmlformats.org/spreadsheetml/2006/main" count="10616" uniqueCount="4553">
  <si>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</si>
  <si>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</si>
  <si>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</si>
  <si>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</si>
  <si>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</si>
  <si>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</si>
  <si>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</si>
  <si>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</si>
  <si>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</si>
  <si>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</si>
  <si>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</si>
  <si>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</si>
  <si>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</si>
  <si>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</si>
  <si>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</si>
  <si>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</si>
  <si>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</si>
  <si>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</si>
  <si>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</si>
  <si>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</si>
  <si>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</si>
  <si>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</si>
  <si>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</si>
  <si>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</si>
  <si>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</si>
  <si>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</si>
  <si>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</si>
  <si>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</si>
  <si>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</si>
  <si>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</si>
  <si>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</si>
  <si>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</si>
  <si>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</si>
  <si>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</si>
  <si>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</si>
  <si>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</si>
  <si>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</si>
  <si>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</si>
  <si>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</si>
  <si>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</si>
  <si>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</si>
  <si>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</si>
  <si>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</si>
  <si>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</si>
  <si>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</si>
  <si>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</si>
  <si>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</si>
  <si>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</si>
  <si>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</si>
  <si>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</si>
  <si>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</si>
  <si>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</si>
  <si>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</si>
  <si>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</si>
  <si>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</si>
  <si>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NA1044 .B55 1970</t>
  </si>
  <si>
    <t>0                      NA 1044000B  55          1970</t>
  </si>
  <si>
    <t>Three hundred years of French architecture 1494-1794.</t>
  </si>
  <si>
    <t>No</t>
  </si>
  <si>
    <t>1</t>
  </si>
  <si>
    <t>0</t>
  </si>
  <si>
    <t>Blomfield, Reginald Theodore, Sir, 1856-1942.</t>
  </si>
  <si>
    <t>Freeport, N.Y., Books for Libraries Press [1970]</t>
  </si>
  <si>
    <t>1970</t>
  </si>
  <si>
    <t>eng</t>
  </si>
  <si>
    <t>nyu</t>
  </si>
  <si>
    <t xml:space="preserve">NA </t>
  </si>
  <si>
    <t>2001-02-22</t>
  </si>
  <si>
    <t>1997-07-01</t>
  </si>
  <si>
    <t>Yes</t>
  </si>
  <si>
    <t>1292933:eng</t>
  </si>
  <si>
    <t>89293</t>
  </si>
  <si>
    <t>991000528379702656</t>
  </si>
  <si>
    <t>2258773940002656</t>
  </si>
  <si>
    <t>BOOK</t>
  </si>
  <si>
    <t>9780836954142</t>
  </si>
  <si>
    <t>32285002861747</t>
  </si>
  <si>
    <t>893419547</t>
  </si>
  <si>
    <t>NA1046 .B47 1994</t>
  </si>
  <si>
    <t>0                      NA 1046000B  47          1994</t>
  </si>
  <si>
    <t>A royal passion : Louis XIV as patron of architecture / Robert W. Berger.</t>
  </si>
  <si>
    <t>Berger, Robert W.</t>
  </si>
  <si>
    <t>Cambridge ; New York : Cambridge University Press, 1994.</t>
  </si>
  <si>
    <t>1994</t>
  </si>
  <si>
    <t>enk</t>
  </si>
  <si>
    <t>2007-04-02</t>
  </si>
  <si>
    <t>1995-04-17</t>
  </si>
  <si>
    <t>343156:eng</t>
  </si>
  <si>
    <t>27897074</t>
  </si>
  <si>
    <t>991002167459702656</t>
  </si>
  <si>
    <t>2260640650002656</t>
  </si>
  <si>
    <t>9780521440295</t>
  </si>
  <si>
    <t>32285002018249</t>
  </si>
  <si>
    <t>893804297</t>
  </si>
  <si>
    <t>NA1046 .B75 1980</t>
  </si>
  <si>
    <t>0                      NA 1046000B  75          1980</t>
  </si>
  <si>
    <t>The architecture of the French Enlightenment / Allan Braham.</t>
  </si>
  <si>
    <t>Braham, Allan.</t>
  </si>
  <si>
    <t>Berkeley : University of California Press, c1980.</t>
  </si>
  <si>
    <t>1980</t>
  </si>
  <si>
    <t>cau</t>
  </si>
  <si>
    <t>1996-06-10</t>
  </si>
  <si>
    <t>1993-05-13</t>
  </si>
  <si>
    <t>19736218:eng</t>
  </si>
  <si>
    <t>6014957</t>
  </si>
  <si>
    <t>991004914519702656</t>
  </si>
  <si>
    <t>2267198980002656</t>
  </si>
  <si>
    <t>9780520041172</t>
  </si>
  <si>
    <t>32285001654739</t>
  </si>
  <si>
    <t>893350494</t>
  </si>
  <si>
    <t>NA105 .F47 1982</t>
  </si>
  <si>
    <t>0                      NA 0105000F  47          1982</t>
  </si>
  <si>
    <t>Historic preservation : curatorial management of the built world / James Marston Fitch.</t>
  </si>
  <si>
    <t>Fitch, James Marston.</t>
  </si>
  <si>
    <t>New York : McGraw-Hill, c1982.</t>
  </si>
  <si>
    <t>1982</t>
  </si>
  <si>
    <t>1996-01-15</t>
  </si>
  <si>
    <t>1990-06-06</t>
  </si>
  <si>
    <t>905558:eng</t>
  </si>
  <si>
    <t>6863245</t>
  </si>
  <si>
    <t>991005049309702656</t>
  </si>
  <si>
    <t>2271980760002656</t>
  </si>
  <si>
    <t>9780070211216</t>
  </si>
  <si>
    <t>32285000182906</t>
  </si>
  <si>
    <t>893594388</t>
  </si>
  <si>
    <t>NA1050 .G57 1997</t>
  </si>
  <si>
    <t>0                      NA 1050000G  57          1997</t>
  </si>
  <si>
    <t>Paris, contemporary architecture / Andrea Gleininger, Gerhard Matzig, Sebastian Redecke.</t>
  </si>
  <si>
    <t>Gleininger, Andrea.</t>
  </si>
  <si>
    <t>Munich ; New York : Prestel, c1997.</t>
  </si>
  <si>
    <t>1997</t>
  </si>
  <si>
    <t xml:space="preserve">gw </t>
  </si>
  <si>
    <t>2009-02-22</t>
  </si>
  <si>
    <t>1999-04-09</t>
  </si>
  <si>
    <t>630490:eng</t>
  </si>
  <si>
    <t>36648520</t>
  </si>
  <si>
    <t>991002790139702656</t>
  </si>
  <si>
    <t>2266061030002656</t>
  </si>
  <si>
    <t>9783791316550</t>
  </si>
  <si>
    <t>32285003561056</t>
  </si>
  <si>
    <t>893317257</t>
  </si>
  <si>
    <t>NA1050 .S87 1993</t>
  </si>
  <si>
    <t>0                      NA 1050000S  87          1993</t>
  </si>
  <si>
    <t>Paris : an architectural history / Anthony Sutcliffe.</t>
  </si>
  <si>
    <t>Sutcliffe, Anthony, 1942-2011.</t>
  </si>
  <si>
    <t>New Haven : Yale University Press, 1993.</t>
  </si>
  <si>
    <t>1993</t>
  </si>
  <si>
    <t>ctu</t>
  </si>
  <si>
    <t>2005-03-14</t>
  </si>
  <si>
    <t>1995-09-27</t>
  </si>
  <si>
    <t>329823:eng</t>
  </si>
  <si>
    <t>27265991</t>
  </si>
  <si>
    <t>991005416309702656</t>
  </si>
  <si>
    <t>2269724890002656</t>
  </si>
  <si>
    <t>9780300054453</t>
  </si>
  <si>
    <t>32285002094836</t>
  </si>
  <si>
    <t>893345156</t>
  </si>
  <si>
    <t>NA1050 .T53 1984</t>
  </si>
  <si>
    <t>0                      NA 1050000T  53          1984</t>
  </si>
  <si>
    <t>Renaissance Paris : architecture and growth, 1475-1600 / David Thomson.</t>
  </si>
  <si>
    <t>Thomson, David, 1951-</t>
  </si>
  <si>
    <t>Berkeley : University of California Press, c1984.</t>
  </si>
  <si>
    <t>1984</t>
  </si>
  <si>
    <t>2009-05-19</t>
  </si>
  <si>
    <t>869978031:eng</t>
  </si>
  <si>
    <t>10753593</t>
  </si>
  <si>
    <t>991005316429702656</t>
  </si>
  <si>
    <t>2265507220002656</t>
  </si>
  <si>
    <t>9780520053472</t>
  </si>
  <si>
    <t>32285005532360</t>
  </si>
  <si>
    <t>893527297</t>
  </si>
  <si>
    <t>NA1053.J4 T39 1987</t>
  </si>
  <si>
    <t>0                      NA 1053000J  4                  T  39          1987</t>
  </si>
  <si>
    <t>Le Corbusier, the City of Refuge, Paris 1929-33 / by Brian Brace Taylor ; with an introduction by Kenneth Frampton.</t>
  </si>
  <si>
    <t>Taylor, Brian Brace.</t>
  </si>
  <si>
    <t>Chicago : University of Chicago Press, 1987.</t>
  </si>
  <si>
    <t>1987</t>
  </si>
  <si>
    <t>ilu</t>
  </si>
  <si>
    <t>1995-04-14</t>
  </si>
  <si>
    <t>1993-02-17</t>
  </si>
  <si>
    <t>8961422208:eng</t>
  </si>
  <si>
    <t>15657055</t>
  </si>
  <si>
    <t>991001052099702656</t>
  </si>
  <si>
    <t>2264315280002656</t>
  </si>
  <si>
    <t>9780226791340</t>
  </si>
  <si>
    <t>32285001502623</t>
  </si>
  <si>
    <t>893903264</t>
  </si>
  <si>
    <t>NA1053.M25 B72</t>
  </si>
  <si>
    <t>0                      NA 1053000M  25                 B  72</t>
  </si>
  <si>
    <t>François Mansart [by] Allan Braham and Peter Smith.</t>
  </si>
  <si>
    <t>V.2</t>
  </si>
  <si>
    <t>[London] A. Zwemmer [1973]</t>
  </si>
  <si>
    <t>1973</t>
  </si>
  <si>
    <t>Studies in architecture ; v. 13</t>
  </si>
  <si>
    <t>2007-09-26</t>
  </si>
  <si>
    <t>3373238924:eng</t>
  </si>
  <si>
    <t>908920</t>
  </si>
  <si>
    <t>991003372839702656</t>
  </si>
  <si>
    <t>2261490660002656</t>
  </si>
  <si>
    <t>9780302022511</t>
  </si>
  <si>
    <t>32285002861796</t>
  </si>
  <si>
    <t>893799657</t>
  </si>
  <si>
    <t>V.1</t>
  </si>
  <si>
    <t>32285002861788</t>
  </si>
  <si>
    <t>893805733</t>
  </si>
  <si>
    <t>NA106 .A44 1985</t>
  </si>
  <si>
    <t>0                      NA 0106000A  44          1985</t>
  </si>
  <si>
    <t>All about old buildings : the whole preservation catalog / edited by Diane Maddex ; National Trust for Historic Preservation.</t>
  </si>
  <si>
    <t>Washington, D.C. : Preservation Press, 1985.</t>
  </si>
  <si>
    <t>1985</t>
  </si>
  <si>
    <t>dcu</t>
  </si>
  <si>
    <t>2000-04-14</t>
  </si>
  <si>
    <t>901021098:eng</t>
  </si>
  <si>
    <t>11721531</t>
  </si>
  <si>
    <t>991000578679702656</t>
  </si>
  <si>
    <t>2259130440002656</t>
  </si>
  <si>
    <t>9780891331087</t>
  </si>
  <si>
    <t>32285000182914</t>
  </si>
  <si>
    <t>893327408</t>
  </si>
  <si>
    <t>NA106 .B84 1983</t>
  </si>
  <si>
    <t>0                      NA 0106000B  84          1983</t>
  </si>
  <si>
    <t>The restoration manual : an illustrated guide to the preservation and restoration of old buildings / by Orin M. Bullock, Jr. ; with a foreword by Morris Ketchum, Jr.</t>
  </si>
  <si>
    <t>Bullock, Orin M.</t>
  </si>
  <si>
    <t>New York : Van Nostrand Reinhold, 1983, c1966.</t>
  </si>
  <si>
    <t>1983</t>
  </si>
  <si>
    <t>1423235:eng</t>
  </si>
  <si>
    <t>9082803</t>
  </si>
  <si>
    <t>991000125469702656</t>
  </si>
  <si>
    <t>2255062690002656</t>
  </si>
  <si>
    <t>9780442214333</t>
  </si>
  <si>
    <t>32285000182922</t>
  </si>
  <si>
    <t>893871432</t>
  </si>
  <si>
    <t>NA1065 .H57 1981</t>
  </si>
  <si>
    <t>0                      NA 1065000H  57          1981</t>
  </si>
  <si>
    <t>German Renaissance architecture / Henry-Russell Hitchcock.</t>
  </si>
  <si>
    <t>Hitchcock, Henry-Russell, 1903-1987.</t>
  </si>
  <si>
    <t>Princeton, N.J. : Princeton University Press, c1981.</t>
  </si>
  <si>
    <t>1981</t>
  </si>
  <si>
    <t>nju</t>
  </si>
  <si>
    <t>1998-06-08</t>
  </si>
  <si>
    <t>441151:eng</t>
  </si>
  <si>
    <t>6305102</t>
  </si>
  <si>
    <t>991004961099702656</t>
  </si>
  <si>
    <t>2259035410002656</t>
  </si>
  <si>
    <t>9780691039596</t>
  </si>
  <si>
    <t>32285001654754</t>
  </si>
  <si>
    <t>893901937</t>
  </si>
  <si>
    <t>NA1068.5.N37 L36 1985</t>
  </si>
  <si>
    <t>0                      NA 1068500N  37                 L  36          1985</t>
  </si>
  <si>
    <t>Architecture and politics in Germany, 1918-1945 / by Barbara Miller Lane.</t>
  </si>
  <si>
    <t>Lane, Barbara Miller.</t>
  </si>
  <si>
    <t>Cambridge, Mass. : Harvard University Press, 1985, c1968.</t>
  </si>
  <si>
    <t>mau</t>
  </si>
  <si>
    <t>2005-02-10</t>
  </si>
  <si>
    <t>2003-02-12</t>
  </si>
  <si>
    <t>520750:eng</t>
  </si>
  <si>
    <t>12051124</t>
  </si>
  <si>
    <t>991003995219702656</t>
  </si>
  <si>
    <t>2268774890002656</t>
  </si>
  <si>
    <t>9780674043503</t>
  </si>
  <si>
    <t>32285004698444</t>
  </si>
  <si>
    <t>893888198</t>
  </si>
  <si>
    <t>NA108.P5 H57 1981</t>
  </si>
  <si>
    <t>0                      NA 0108000P  5                  H  57          1981</t>
  </si>
  <si>
    <t>Philadelphia preserved : catalog of the Historic American Buildings Survey / Richard J. Webster ; with an introd. by Charles E. Peterson.</t>
  </si>
  <si>
    <t>Historic American Buildings Survey.</t>
  </si>
  <si>
    <t>Philadelphia : Temple University Press : Philadelphia Historical Commission, 1981, c1976.</t>
  </si>
  <si>
    <t>2nd ed.</t>
  </si>
  <si>
    <t>pau</t>
  </si>
  <si>
    <t>1994-05-05</t>
  </si>
  <si>
    <t>1993-05-05</t>
  </si>
  <si>
    <t>5188319149:eng</t>
  </si>
  <si>
    <t>6942589</t>
  </si>
  <si>
    <t>991005063929702656</t>
  </si>
  <si>
    <t>2257280320002656</t>
  </si>
  <si>
    <t>9780877220893</t>
  </si>
  <si>
    <t>32285001651016</t>
  </si>
  <si>
    <t>893688536</t>
  </si>
  <si>
    <t>NA1085 .W58 1998</t>
  </si>
  <si>
    <t>0                      NA 1085000W  58          1998</t>
  </si>
  <si>
    <t>Capital dilemma : Germany's search for a new architecture of democracy / Michael Z. Wise.</t>
  </si>
  <si>
    <t>Wise, Michael Z., 1957-</t>
  </si>
  <si>
    <t>New York : Princeton Architectural Press, c1998.</t>
  </si>
  <si>
    <t>1998</t>
  </si>
  <si>
    <t>1st ed.</t>
  </si>
  <si>
    <t>2003-03-18</t>
  </si>
  <si>
    <t>793888171:eng</t>
  </si>
  <si>
    <t>37890519</t>
  </si>
  <si>
    <t>991004012389702656</t>
  </si>
  <si>
    <t>2262506830002656</t>
  </si>
  <si>
    <t>9781568981345</t>
  </si>
  <si>
    <t>32285004684717</t>
  </si>
  <si>
    <t>893343354</t>
  </si>
  <si>
    <t>NA1088.G85 F5</t>
  </si>
  <si>
    <t>0                      NA 1088000G  85                 F  5</t>
  </si>
  <si>
    <t>Walter Gropius.</t>
  </si>
  <si>
    <t>New York, G. Braziller, 1960.</t>
  </si>
  <si>
    <t>1960</t>
  </si>
  <si>
    <t>The Masters of world architecture series</t>
  </si>
  <si>
    <t>2001-04-23</t>
  </si>
  <si>
    <t>1471427:eng</t>
  </si>
  <si>
    <t>518788</t>
  </si>
  <si>
    <t>991002904409702656</t>
  </si>
  <si>
    <t>2255959630002656</t>
  </si>
  <si>
    <t>32285002861812</t>
  </si>
  <si>
    <t>893530615</t>
  </si>
  <si>
    <t>NA1088.M65 S38 1985</t>
  </si>
  <si>
    <t>0                      NA 1088000M  65                 S  38          1985</t>
  </si>
  <si>
    <t>Mies van der Rohe : a critical biography / Franz Schulze in association with the Mies van der Rohe Archive of the Museum of Modern Art.</t>
  </si>
  <si>
    <t>Schulze, Franz, 1927-2019.</t>
  </si>
  <si>
    <t>Chicago : University of Chicago Press, 1985.</t>
  </si>
  <si>
    <t>1992-04-22</t>
  </si>
  <si>
    <t>1990-03-08</t>
  </si>
  <si>
    <t>2255598552:eng</t>
  </si>
  <si>
    <t>12081678</t>
  </si>
  <si>
    <t>991000636639702656</t>
  </si>
  <si>
    <t>2264281840002656</t>
  </si>
  <si>
    <t>9780226740591</t>
  </si>
  <si>
    <t>32285000043264</t>
  </si>
  <si>
    <t>893890880</t>
  </si>
  <si>
    <t>NA1115 .B813 1987</t>
  </si>
  <si>
    <t>0                      NA 1115000B  813         1987</t>
  </si>
  <si>
    <t>The architecture of the Italian Renaissance / Jacob Burckhardt ; translated by James Palmes ; revised and edited by Peter Murray.</t>
  </si>
  <si>
    <t>Burckhardt, Jacob, 1818-1897.</t>
  </si>
  <si>
    <t>Chicago : University of Chicago Press, 1987, c1985.</t>
  </si>
  <si>
    <t>Pbk. ed.</t>
  </si>
  <si>
    <t>2010-05-26</t>
  </si>
  <si>
    <t>5611907978:eng</t>
  </si>
  <si>
    <t>18902411</t>
  </si>
  <si>
    <t>991005401359702656</t>
  </si>
  <si>
    <t>2263648060002656</t>
  </si>
  <si>
    <t>9780226080499</t>
  </si>
  <si>
    <t>32285005586440</t>
  </si>
  <si>
    <t>893777429</t>
  </si>
  <si>
    <t>NA1115 .H49 1996</t>
  </si>
  <si>
    <t>0                      NA 1115000H  49          1996</t>
  </si>
  <si>
    <t>Architecture in Italy, 1400-1500 / Ludwig H. Heydenreich ; revised by Paul Davies ; [translated by Mary Hottinger].</t>
  </si>
  <si>
    <t>Heydenreich, Ludwig H. (Ludwig Heinrich), 1903-1978.</t>
  </si>
  <si>
    <t>New Haven : Yale University Press, 1996.</t>
  </si>
  <si>
    <t>1996</t>
  </si>
  <si>
    <t>Yale University Press Pelican history of art</t>
  </si>
  <si>
    <t>2008-11-18</t>
  </si>
  <si>
    <t>9937383444:eng</t>
  </si>
  <si>
    <t>32923287</t>
  </si>
  <si>
    <t>991005275549702656</t>
  </si>
  <si>
    <t>2262005060002656</t>
  </si>
  <si>
    <t>9780300064667</t>
  </si>
  <si>
    <t>32285005466882</t>
  </si>
  <si>
    <t>893619726</t>
  </si>
  <si>
    <t>NA1115 .M8</t>
  </si>
  <si>
    <t>0                      NA 1115000M  8</t>
  </si>
  <si>
    <t>The architecture of the Italian Renaissance / Peter Murray.</t>
  </si>
  <si>
    <t>Murray, Peter.</t>
  </si>
  <si>
    <t>London : B. T. Batsford, [1963]</t>
  </si>
  <si>
    <t>1963</t>
  </si>
  <si>
    <t>1996-02-28</t>
  </si>
  <si>
    <t>1992-04-06</t>
  </si>
  <si>
    <t>50864116:eng</t>
  </si>
  <si>
    <t>7031796</t>
  </si>
  <si>
    <t>991005071509702656</t>
  </si>
  <si>
    <t>2255303620002656</t>
  </si>
  <si>
    <t>32285001034577</t>
  </si>
  <si>
    <t>893446539</t>
  </si>
  <si>
    <t>NA1115 .W613 1966</t>
  </si>
  <si>
    <t>0                      NA 1115000W  613         1966</t>
  </si>
  <si>
    <t>Renaissance and baroque / translated by Kathrin Simon. With an introd. by Peter Murray.</t>
  </si>
  <si>
    <t>Wölfflin, Heinrich, 1864-1945.</t>
  </si>
  <si>
    <t>Ithaca, N.Y. : Cornell University Press, [1966]</t>
  </si>
  <si>
    <t>1966</t>
  </si>
  <si>
    <t>2008-10-14</t>
  </si>
  <si>
    <t>1990-02-21</t>
  </si>
  <si>
    <t>4460856302:eng</t>
  </si>
  <si>
    <t>243556</t>
  </si>
  <si>
    <t>991001915489702656</t>
  </si>
  <si>
    <t>2270603040002656</t>
  </si>
  <si>
    <t>32285000048479</t>
  </si>
  <si>
    <t>893609239</t>
  </si>
  <si>
    <t>NA1116 .V37 1986</t>
  </si>
  <si>
    <t>0                      NA 1116000V  37          1986</t>
  </si>
  <si>
    <t>Italian Baroque and Rococo architecture / John Varriano.</t>
  </si>
  <si>
    <t>Varriano, John L.</t>
  </si>
  <si>
    <t>New York : Oxford University Press, 1986.</t>
  </si>
  <si>
    <t>1986</t>
  </si>
  <si>
    <t>2008-11-17</t>
  </si>
  <si>
    <t>355936767:eng</t>
  </si>
  <si>
    <t>11676361</t>
  </si>
  <si>
    <t>991005275559702656</t>
  </si>
  <si>
    <t>2256543760002656</t>
  </si>
  <si>
    <t>9780195035476</t>
  </si>
  <si>
    <t>32285005466247</t>
  </si>
  <si>
    <t>893424832</t>
  </si>
  <si>
    <t>NA1118 .E86 1991</t>
  </si>
  <si>
    <t>0                      NA 1118000E  86          1991</t>
  </si>
  <si>
    <t>Modernism in Italian architecture, 1890-1940 / Richard A. Etlin.</t>
  </si>
  <si>
    <t>Etlin, Richard A.</t>
  </si>
  <si>
    <t>Cambridge, Mass. : MIT Press, c1991.</t>
  </si>
  <si>
    <t>1991</t>
  </si>
  <si>
    <t>2010-09-21</t>
  </si>
  <si>
    <t>2556496:eng</t>
  </si>
  <si>
    <t>21195400</t>
  </si>
  <si>
    <t>991000108819702656</t>
  </si>
  <si>
    <t>2268884880002656</t>
  </si>
  <si>
    <t>9780262050388</t>
  </si>
  <si>
    <t>32285005595474</t>
  </si>
  <si>
    <t>893902898</t>
  </si>
  <si>
    <t>NA1121.V4 H68 1981</t>
  </si>
  <si>
    <t>0                      NA 1121000V  4                  H  68          1981</t>
  </si>
  <si>
    <t>The architectural history of Venice / by Deborah Howard.</t>
  </si>
  <si>
    <t>Howard, Deborah, 1946-</t>
  </si>
  <si>
    <t>New York : Holmes &amp; Meier, 1981.</t>
  </si>
  <si>
    <t>1999-04-29</t>
  </si>
  <si>
    <t>505853:eng</t>
  </si>
  <si>
    <t>6863458</t>
  </si>
  <si>
    <t>991005049469702656</t>
  </si>
  <si>
    <t>2271964480002656</t>
  </si>
  <si>
    <t>9780841906815</t>
  </si>
  <si>
    <t>32285001034569</t>
  </si>
  <si>
    <t>893801636</t>
  </si>
  <si>
    <t>NA1121.V4 L53 1982</t>
  </si>
  <si>
    <t>0                      NA 1121000V  4                  L  53          1982</t>
  </si>
  <si>
    <t>Renaissance architecture in Venice, 1450-1540 / Ralph Lieberman.</t>
  </si>
  <si>
    <t>Lieberman, Ralph.</t>
  </si>
  <si>
    <t>New York, N.Y. : Abbeville Press, 1982.</t>
  </si>
  <si>
    <t>2010-03-16</t>
  </si>
  <si>
    <t>553116:eng</t>
  </si>
  <si>
    <t>8981166</t>
  </si>
  <si>
    <t>991000107019702656</t>
  </si>
  <si>
    <t>2261335120002656</t>
  </si>
  <si>
    <t>9780896593107</t>
  </si>
  <si>
    <t>32285001654770</t>
  </si>
  <si>
    <t>893320810</t>
  </si>
  <si>
    <t>NA1121.V4 R7 1981</t>
  </si>
  <si>
    <t>0                      NA 1121000V  4                  R  7           1981</t>
  </si>
  <si>
    <t>The stones of Venice / John Ruskin ; edited &amp; introduced by Jan Morris.</t>
  </si>
  <si>
    <t>Ruskin, John, 1819-1900.</t>
  </si>
  <si>
    <t>Boston : Little, Brown, 1981.</t>
  </si>
  <si>
    <t>1st American ed.</t>
  </si>
  <si>
    <t>2004-11-23</t>
  </si>
  <si>
    <t>673185:eng</t>
  </si>
  <si>
    <t>7777709</t>
  </si>
  <si>
    <t>991005160489702656</t>
  </si>
  <si>
    <t>2271400620002656</t>
  </si>
  <si>
    <t>9780316761901</t>
  </si>
  <si>
    <t>32285001654788</t>
  </si>
  <si>
    <t>893719889</t>
  </si>
  <si>
    <t>NA1123.A5 B6713</t>
  </si>
  <si>
    <t>0                      NA 1123000A  5                  B  6713</t>
  </si>
  <si>
    <t>Leon Battista Alberti / Franco Borsi ; translated by Rudolf G. Carpanini.</t>
  </si>
  <si>
    <t>Borsi, Franco.</t>
  </si>
  <si>
    <t>New York : Harper &amp; Row, c1977.</t>
  </si>
  <si>
    <t>1977</t>
  </si>
  <si>
    <t>1st U. S. ed.</t>
  </si>
  <si>
    <t>2004-10-04</t>
  </si>
  <si>
    <t>3768528228:eng</t>
  </si>
  <si>
    <t>3171787</t>
  </si>
  <si>
    <t>991004366629702656</t>
  </si>
  <si>
    <t>2262707700002656</t>
  </si>
  <si>
    <t>9780060104115</t>
  </si>
  <si>
    <t>32285001654796</t>
  </si>
  <si>
    <t>893605929</t>
  </si>
  <si>
    <t>NA1123.A5 G3</t>
  </si>
  <si>
    <t>0                      NA 1123000A  5                  G  3</t>
  </si>
  <si>
    <t>Leon Battista Alberti: universal man of the early Renaissance.</t>
  </si>
  <si>
    <t>Kelly, Joan, 1928-1982.</t>
  </si>
  <si>
    <t>Chicago, University of Chicago Press [1969]</t>
  </si>
  <si>
    <t>1969</t>
  </si>
  <si>
    <t>2002-12-01</t>
  </si>
  <si>
    <t>43090683:eng</t>
  </si>
  <si>
    <t>81699</t>
  </si>
  <si>
    <t>991000502069702656</t>
  </si>
  <si>
    <t>2272146530002656</t>
  </si>
  <si>
    <t>9780226307893</t>
  </si>
  <si>
    <t>32285002861861</t>
  </si>
  <si>
    <t>893683473</t>
  </si>
  <si>
    <t>NA1123.A5 G73 2000</t>
  </si>
  <si>
    <t>0                      NA 1123000A  5                  G  73          2000</t>
  </si>
  <si>
    <t>Leon Battista Alberti : master builder of the Italian Renaissance / Anthony Grafton.</t>
  </si>
  <si>
    <t>Grafton, Anthony.</t>
  </si>
  <si>
    <t>New York : Hill and Wang, 2000.</t>
  </si>
  <si>
    <t>2000</t>
  </si>
  <si>
    <t>2009-04-01</t>
  </si>
  <si>
    <t>2002-04-15</t>
  </si>
  <si>
    <t>5966610:eng</t>
  </si>
  <si>
    <t>43728987</t>
  </si>
  <si>
    <t>991003782279702656</t>
  </si>
  <si>
    <t>2270350800002656</t>
  </si>
  <si>
    <t>9780809097524</t>
  </si>
  <si>
    <t>32285004479498</t>
  </si>
  <si>
    <t>893435439</t>
  </si>
  <si>
    <t>NA1123.B8 H95 1974</t>
  </si>
  <si>
    <t>0                      NA 1123000B  8                  H  95          1974</t>
  </si>
  <si>
    <t>Brunelleschi in perspective.</t>
  </si>
  <si>
    <t>Hyman, Isabelle, compiler.</t>
  </si>
  <si>
    <t>Englewood Cliffs, N.J., Prentice-Hall [1974]</t>
  </si>
  <si>
    <t>1974</t>
  </si>
  <si>
    <t>A Spectrum book</t>
  </si>
  <si>
    <t>2005-03-29</t>
  </si>
  <si>
    <t>1997-09-10</t>
  </si>
  <si>
    <t>1736371:eng</t>
  </si>
  <si>
    <t>677646</t>
  </si>
  <si>
    <t>991003136099702656</t>
  </si>
  <si>
    <t>2272437950002656</t>
  </si>
  <si>
    <t>9780130848970</t>
  </si>
  <si>
    <t>32285003170213</t>
  </si>
  <si>
    <t>893505248</t>
  </si>
  <si>
    <t>NA1123.B9 A8713 1993</t>
  </si>
  <si>
    <t>0                      NA 1123000B  9                  A  8713        1993</t>
  </si>
  <si>
    <t>Michelangelo architect / by Giulio Carlo Argan and Bruno Contardi ; translated from the Italian by Marion L. Grayson.</t>
  </si>
  <si>
    <t>Argan, Giulio Carlo.</t>
  </si>
  <si>
    <t>New York : Harry N. Abrams, 1993.</t>
  </si>
  <si>
    <t>2009-04-21</t>
  </si>
  <si>
    <t>1994-05-09</t>
  </si>
  <si>
    <t>353424:eng</t>
  </si>
  <si>
    <t>26975240</t>
  </si>
  <si>
    <t>991002102619702656</t>
  </si>
  <si>
    <t>2256805040002656</t>
  </si>
  <si>
    <t>9780810936386</t>
  </si>
  <si>
    <t>32285001879799</t>
  </si>
  <si>
    <t>893691222</t>
  </si>
  <si>
    <t>NA1123.B9 W35 1994</t>
  </si>
  <si>
    <t>0                      NA 1123000B  9                  W  35          1994</t>
  </si>
  <si>
    <t>Michelangelo at San Lorenzo : the genius as entrepreneur / William E. Wallace.</t>
  </si>
  <si>
    <t>Wallace, William E.</t>
  </si>
  <si>
    <t>Cambridge [England] ; New York : Cambridge University Press, 1994.</t>
  </si>
  <si>
    <t>2008-11-06</t>
  </si>
  <si>
    <t>308448469:eng</t>
  </si>
  <si>
    <t>28255006</t>
  </si>
  <si>
    <t>991005274989702656</t>
  </si>
  <si>
    <t>2261854960002656</t>
  </si>
  <si>
    <t>9780521410212</t>
  </si>
  <si>
    <t>32285005466130</t>
  </si>
  <si>
    <t>893600916</t>
  </si>
  <si>
    <t>NA1181 .B7 1983</t>
  </si>
  <si>
    <t>0                      NA 1181000B  7           1983</t>
  </si>
  <si>
    <t>Gold in azure : one thousand years of Russian architecture / text and photographs by William Craft Brumfield.</t>
  </si>
  <si>
    <t>Brumfield, William Craft, 1944-</t>
  </si>
  <si>
    <t>Boston, Mass. : D.R. Godine, 1983.</t>
  </si>
  <si>
    <t>2009-07-20</t>
  </si>
  <si>
    <t>309264127:eng</t>
  </si>
  <si>
    <t>8305898</t>
  </si>
  <si>
    <t>991005228979702656</t>
  </si>
  <si>
    <t>2269314530002656</t>
  </si>
  <si>
    <t>9780879234362</t>
  </si>
  <si>
    <t>32285001654812</t>
  </si>
  <si>
    <t>893418590</t>
  </si>
  <si>
    <t>NA1303 .W5 1968</t>
  </si>
  <si>
    <t>0                      NA 1303000W  5           1968</t>
  </si>
  <si>
    <t>Spanish Romanesque architecture of the eleventh century.</t>
  </si>
  <si>
    <t>Whitehill, Walter Muir, 1905-1978.</t>
  </si>
  <si>
    <t>London : Oxford U.P., 1968.</t>
  </si>
  <si>
    <t>1968</t>
  </si>
  <si>
    <t>2006-04-11</t>
  </si>
  <si>
    <t>1992-02-26</t>
  </si>
  <si>
    <t>4820463944:eng</t>
  </si>
  <si>
    <t>28814</t>
  </si>
  <si>
    <t>991000072869702656</t>
  </si>
  <si>
    <t>2264582210002656</t>
  </si>
  <si>
    <t>32285000976471</t>
  </si>
  <si>
    <t>893419172</t>
  </si>
  <si>
    <t>NA1313.G3 D413 1982</t>
  </si>
  <si>
    <t>0                      NA 1313000G  3                  D  413         1982</t>
  </si>
  <si>
    <t>Gaudí, the visionary / Robert Descharnes ; [photographs by] Clovis Prévost ; preface by Salvador Dali.</t>
  </si>
  <si>
    <t>Descharnes, Robert.</t>
  </si>
  <si>
    <t>New York : Viking Press, 1982.</t>
  </si>
  <si>
    <t>A Studio book</t>
  </si>
  <si>
    <t>2007-12-09</t>
  </si>
  <si>
    <t>1992-03-01</t>
  </si>
  <si>
    <t>3855329411:eng</t>
  </si>
  <si>
    <t>8221279</t>
  </si>
  <si>
    <t>991005220079702656</t>
  </si>
  <si>
    <t>2268620060002656</t>
  </si>
  <si>
    <t>9780670335879</t>
  </si>
  <si>
    <t>32285000979293</t>
  </si>
  <si>
    <t>893520658</t>
  </si>
  <si>
    <t>NA1313.G3 J42</t>
  </si>
  <si>
    <t>0                      NA 1313000G  3                  J  42</t>
  </si>
  <si>
    <t>Gaudí. Texto: Le Corbusier. Fotosco: Gomis-Prats.</t>
  </si>
  <si>
    <t>Gaudí, Antoni, 1852-1926.</t>
  </si>
  <si>
    <t>Barcelona, Ediciones Polígrafa [1967]</t>
  </si>
  <si>
    <t>1967</t>
  </si>
  <si>
    <t>spa</t>
  </si>
  <si>
    <t xml:space="preserve">sp </t>
  </si>
  <si>
    <t>5090956577:spa</t>
  </si>
  <si>
    <t>381916</t>
  </si>
  <si>
    <t>991002625419702656</t>
  </si>
  <si>
    <t>2259888680002656</t>
  </si>
  <si>
    <t>32285002861937</t>
  </si>
  <si>
    <t>893239294</t>
  </si>
  <si>
    <t>NA1353.B67 A4 2004</t>
  </si>
  <si>
    <t>0                      NA 1353000B  67                 A  4           2004</t>
  </si>
  <si>
    <t>Mario Botta : light and gravity : architecture, 1993-2003 / edited by Gabriele Cappellato ; with contributions by Mario Botta ... [et al. ; translated from the Italian by Catherine Bolton].</t>
  </si>
  <si>
    <t>Botta, Mario, 1943-</t>
  </si>
  <si>
    <t>Munich ; London ; New York : Prestel, 2004.</t>
  </si>
  <si>
    <t>2004</t>
  </si>
  <si>
    <t>2006-07-25</t>
  </si>
  <si>
    <t>145947587:eng</t>
  </si>
  <si>
    <t>56654928</t>
  </si>
  <si>
    <t>991004853169702656</t>
  </si>
  <si>
    <t>2255512810002656</t>
  </si>
  <si>
    <t>9783791331867</t>
  </si>
  <si>
    <t>32285005197883</t>
  </si>
  <si>
    <t>893325875</t>
  </si>
  <si>
    <t>NA1460 .S613 1965</t>
  </si>
  <si>
    <t>0                      NA 1460000S  613         1965</t>
  </si>
  <si>
    <t>Oriental architecture in color : Islamic, Indian, far eastern / Werner Speiser ; [translated by Charles W.E. Kessler].</t>
  </si>
  <si>
    <t>Speiser, Werner.</t>
  </si>
  <si>
    <t>New York : Viking Press, c1965.</t>
  </si>
  <si>
    <t>1965</t>
  </si>
  <si>
    <t>2004-01-19</t>
  </si>
  <si>
    <t>1997-06-25</t>
  </si>
  <si>
    <t>2261152610:eng</t>
  </si>
  <si>
    <t>422801</t>
  </si>
  <si>
    <t>991002746139702656</t>
  </si>
  <si>
    <t>2267038640002656</t>
  </si>
  <si>
    <t>32285002753936</t>
  </si>
  <si>
    <t>893710633</t>
  </si>
  <si>
    <t>NA1502 .N36</t>
  </si>
  <si>
    <t>0                      NA 1502000N  36</t>
  </si>
  <si>
    <t>Colour decoration in Mughal architecture [by] R. Nath.</t>
  </si>
  <si>
    <t>Nath, R. (Ram), 1933-</t>
  </si>
  <si>
    <t>Bombay, D. B. Taraporevala Sons [1970]</t>
  </si>
  <si>
    <t xml:space="preserve">ii </t>
  </si>
  <si>
    <t>1999-09-30</t>
  </si>
  <si>
    <t>690294882:eng</t>
  </si>
  <si>
    <t>124626</t>
  </si>
  <si>
    <t>991000708239702656</t>
  </si>
  <si>
    <t>2259868600002656</t>
  </si>
  <si>
    <t>32285002861986</t>
  </si>
  <si>
    <t>893620726</t>
  </si>
  <si>
    <t>NA1543 .W8</t>
  </si>
  <si>
    <t>0                      NA 1543000W  8</t>
  </si>
  <si>
    <t>Chinese and Indian architecture; the city of man, the Mountain of God, and the realm of the immortals, by Nelson I. Wu (Wu No-sun)</t>
  </si>
  <si>
    <t>Wu, Nelson Ikon, 1919-2002.</t>
  </si>
  <si>
    <t>New York, G. Braziller, 1963.</t>
  </si>
  <si>
    <t>The Great ages of world architecture</t>
  </si>
  <si>
    <t>2005-05-01</t>
  </si>
  <si>
    <t>66283032:eng</t>
  </si>
  <si>
    <t>517340</t>
  </si>
  <si>
    <t>991002901189702656</t>
  </si>
  <si>
    <t>2255100400002656</t>
  </si>
  <si>
    <t>32285002861994</t>
  </si>
  <si>
    <t>893428186</t>
  </si>
  <si>
    <t>NA1550 .A75</t>
  </si>
  <si>
    <t>0                      NA 1550000A  75</t>
  </si>
  <si>
    <t>Japanese architecture.</t>
  </si>
  <si>
    <t>Alex, William.</t>
  </si>
  <si>
    <t>3943272187:eng</t>
  </si>
  <si>
    <t>517338</t>
  </si>
  <si>
    <t>991002901159702656</t>
  </si>
  <si>
    <t>2255119190002656</t>
  </si>
  <si>
    <t>32285002862000</t>
  </si>
  <si>
    <t>893245796</t>
  </si>
  <si>
    <t>NA1550 .F853</t>
  </si>
  <si>
    <t>0                      NA 1550000F  853</t>
  </si>
  <si>
    <t>The roots of Japanese architecture; a photographic quest. With text and commentaries by Teiji Itoh, and a foreword by Isamu Noguchi.</t>
  </si>
  <si>
    <t>Futagawa, Yukio, 1932-2013.</t>
  </si>
  <si>
    <t>New York, Harper &amp; Row [1963]</t>
  </si>
  <si>
    <t>[1st ed.]</t>
  </si>
  <si>
    <t>307836170:eng</t>
  </si>
  <si>
    <t>1081456</t>
  </si>
  <si>
    <t>991003520909702656</t>
  </si>
  <si>
    <t>2266535080002656</t>
  </si>
  <si>
    <t>32285002862018</t>
  </si>
  <si>
    <t>893410365</t>
  </si>
  <si>
    <t>NA1550 .N4 1966</t>
  </si>
  <si>
    <t>0                      NA 1550000N  4           1966</t>
  </si>
  <si>
    <t>The architecture of Japan.</t>
  </si>
  <si>
    <t>Museum of Modern Art (New York, N.Y.)</t>
  </si>
  <si>
    <t>[New York] Published for the Museum of Modern Art by Arno Press, 1966.</t>
  </si>
  <si>
    <t>Reprint ed.</t>
  </si>
  <si>
    <t xml:space="preserve">xx </t>
  </si>
  <si>
    <t>20606436:eng</t>
  </si>
  <si>
    <t>717422</t>
  </si>
  <si>
    <t>991003192259702656</t>
  </si>
  <si>
    <t>2258812870002656</t>
  </si>
  <si>
    <t>32285003170221</t>
  </si>
  <si>
    <t>893598349</t>
  </si>
  <si>
    <t>NA1553 .N5713 1996</t>
  </si>
  <si>
    <t>0                      NA 1553000N  5713        1996</t>
  </si>
  <si>
    <t>What is Japanese architecture? / Kazuo Nishi and Kazuo Hozumi ; translated, adapted, and with an introduction by H. Mack Horton.</t>
  </si>
  <si>
    <t>Nishi, Kazuo, 1938-2015.</t>
  </si>
  <si>
    <t>Tokyo ; New York : Kodansha International, 1996.</t>
  </si>
  <si>
    <t>1st pbk. ed.</t>
  </si>
  <si>
    <t xml:space="preserve">ja </t>
  </si>
  <si>
    <t>2005-04-09</t>
  </si>
  <si>
    <t>1998-12-01</t>
  </si>
  <si>
    <t>5001669:eng</t>
  </si>
  <si>
    <t>34673692</t>
  </si>
  <si>
    <t>991002651149702656</t>
  </si>
  <si>
    <t>2266447280002656</t>
  </si>
  <si>
    <t>9784770019929</t>
  </si>
  <si>
    <t>32285003492492</t>
  </si>
  <si>
    <t>893716723</t>
  </si>
  <si>
    <t>NA1554.5 .F56 1995</t>
  </si>
  <si>
    <t>0                      NA 1554500F  56          1995</t>
  </si>
  <si>
    <t>Meiji revisited : the sites of Victorian Japan / by Dallas Finn.</t>
  </si>
  <si>
    <t>Finn, Dallas.</t>
  </si>
  <si>
    <t>New York : Weatherhill, 1995.</t>
  </si>
  <si>
    <t>1995</t>
  </si>
  <si>
    <t>2002-10-14</t>
  </si>
  <si>
    <t>33064635:eng</t>
  </si>
  <si>
    <t>30733510</t>
  </si>
  <si>
    <t>991003912159702656</t>
  </si>
  <si>
    <t>2265120230002656</t>
  </si>
  <si>
    <t>9780834802889</t>
  </si>
  <si>
    <t>32285004654546</t>
  </si>
  <si>
    <t>893806421</t>
  </si>
  <si>
    <t>NA1555 .I813 1972</t>
  </si>
  <si>
    <t>0                      NA 1555000I  813         1972</t>
  </si>
  <si>
    <t>The classic tradition in Japanese architecture : modern versionsof the sukiya style / Text by Teiji Itoh. Photos. by Yukio Futagawa. Translated from the Japanese by Richard L. Gage.</t>
  </si>
  <si>
    <t>Itō, Teiji, 1922-2010.</t>
  </si>
  <si>
    <t>New York : Weatherhill, 1972.</t>
  </si>
  <si>
    <t>1972</t>
  </si>
  <si>
    <t>1995-10-23</t>
  </si>
  <si>
    <t>118338774:eng</t>
  </si>
  <si>
    <t>495383</t>
  </si>
  <si>
    <t>991002865599702656</t>
  </si>
  <si>
    <t>2256808770002656</t>
  </si>
  <si>
    <t>9780834815117</t>
  </si>
  <si>
    <t>32285001654929</t>
  </si>
  <si>
    <t>893793031</t>
  </si>
  <si>
    <t>NA1555 .N5513 1985</t>
  </si>
  <si>
    <t>0                      NA 1555000N  5513        1985</t>
  </si>
  <si>
    <t>Contemporary architecture of Japan 1958-1984 / [edited by] Hiroyuki Suzuki, Reyner Banham, Katsuhiro Kobayashi.</t>
  </si>
  <si>
    <t>Nihon no gendai kenchiku. English.</t>
  </si>
  <si>
    <t>New York : Rizzoli, 1985.</t>
  </si>
  <si>
    <t>1999-10-27</t>
  </si>
  <si>
    <t>4397392:eng</t>
  </si>
  <si>
    <t>12053759</t>
  </si>
  <si>
    <t>991000632579702656</t>
  </si>
  <si>
    <t>2261454120002656</t>
  </si>
  <si>
    <t>9780847806492</t>
  </si>
  <si>
    <t>32285001654937</t>
  </si>
  <si>
    <t>893438451</t>
  </si>
  <si>
    <t>NA1557.T6 A84 1989</t>
  </si>
  <si>
    <t>0                      NA 1557000T  6                  A  84          1989</t>
  </si>
  <si>
    <t>The hidden order : Tokyo through the twentieth century / Yoshinobu Ashihara ; translated and adapted by Lynne E. Riggs ; introduction by Daniel J. Boorstin ; foreword by Edward T. Hall.</t>
  </si>
  <si>
    <t>Ashihara, Yoshinobu, 1918-2003.</t>
  </si>
  <si>
    <t>Tokyo ; New York : Kodansha International, c1989.</t>
  </si>
  <si>
    <t>1989</t>
  </si>
  <si>
    <t>2002-11-19</t>
  </si>
  <si>
    <t>1151354235:eng</t>
  </si>
  <si>
    <t>18987230</t>
  </si>
  <si>
    <t>991003946779702656</t>
  </si>
  <si>
    <t>2266610790002656</t>
  </si>
  <si>
    <t>9780870119125</t>
  </si>
  <si>
    <t>32285004664826</t>
  </si>
  <si>
    <t>893788101</t>
  </si>
  <si>
    <t>NA1995 .S27 1983</t>
  </si>
  <si>
    <t>0                      NA 1995000S  27          1983</t>
  </si>
  <si>
    <t>The image of the architect / Andrew Saint.</t>
  </si>
  <si>
    <t>Saint, Andrew.</t>
  </si>
  <si>
    <t>New Haven : Yale University Press, 1983.</t>
  </si>
  <si>
    <t>2004-09-16</t>
  </si>
  <si>
    <t>1993-05-14</t>
  </si>
  <si>
    <t>5759428:eng</t>
  </si>
  <si>
    <t>9081015</t>
  </si>
  <si>
    <t>991000122919702656</t>
  </si>
  <si>
    <t>2257018530002656</t>
  </si>
  <si>
    <t>9780300030136</t>
  </si>
  <si>
    <t>32285001654960</t>
  </si>
  <si>
    <t>893521417</t>
  </si>
  <si>
    <t>NA200 .A46 1970</t>
  </si>
  <si>
    <t>0                      NA 0200000A  46          1970</t>
  </si>
  <si>
    <t>The study of architectural history / Bruce Allsopp.</t>
  </si>
  <si>
    <t>Allsopp, Bruce.</t>
  </si>
  <si>
    <t>[New York] : Praeger, [1970]</t>
  </si>
  <si>
    <t>2004-11-18</t>
  </si>
  <si>
    <t>1281813:eng</t>
  </si>
  <si>
    <t>502134</t>
  </si>
  <si>
    <t>991004425529702656</t>
  </si>
  <si>
    <t>2263986450002656</t>
  </si>
  <si>
    <t>9780289700624</t>
  </si>
  <si>
    <t>32285005011811</t>
  </si>
  <si>
    <t>893882465</t>
  </si>
  <si>
    <t>NA200 .B15</t>
  </si>
  <si>
    <t>0                      NA 0200000B  15</t>
  </si>
  <si>
    <t>Architecture and interior design : a basic history through the seventeenth century / Victoria Kloss Ball.</t>
  </si>
  <si>
    <t>Ball, Victoria Kloss.</t>
  </si>
  <si>
    <t>New York : Wiley, c1980.</t>
  </si>
  <si>
    <t>1999-07-19</t>
  </si>
  <si>
    <t>1992-03-17</t>
  </si>
  <si>
    <t>488771:eng</t>
  </si>
  <si>
    <t>5410526</t>
  </si>
  <si>
    <t>991004830939702656</t>
  </si>
  <si>
    <t>2260609210002656</t>
  </si>
  <si>
    <t>9780471051626</t>
  </si>
  <si>
    <t>32285001023661</t>
  </si>
  <si>
    <t>893895539</t>
  </si>
  <si>
    <t>NA200 .B85 1926</t>
  </si>
  <si>
    <t>0                      NA 0200000B  85          1926</t>
  </si>
  <si>
    <t>Architecture and the allied arts : Greek, Roman, Byzantine, Romanesque and Gothic / by Alfred Mansfield Brooks.</t>
  </si>
  <si>
    <t>Brooks, Alfred Mansfield, 1870-1963.</t>
  </si>
  <si>
    <t>Indianapolis : Bobbs-Merrill, c1926.</t>
  </si>
  <si>
    <t>1926</t>
  </si>
  <si>
    <t>inu</t>
  </si>
  <si>
    <t>1998-09-20</t>
  </si>
  <si>
    <t>5930827:eng</t>
  </si>
  <si>
    <t>1839552</t>
  </si>
  <si>
    <t>991003906369702656</t>
  </si>
  <si>
    <t>2255246890002656</t>
  </si>
  <si>
    <t>32285002860996</t>
  </si>
  <si>
    <t>893788052</t>
  </si>
  <si>
    <t>NA200 .G56</t>
  </si>
  <si>
    <t>0                      NA 0200000G  56</t>
  </si>
  <si>
    <t>Guide to Western architecture.</t>
  </si>
  <si>
    <t>Gloag, John, 1896-1981.</t>
  </si>
  <si>
    <t>New York, Grove Press [c1958]</t>
  </si>
  <si>
    <t>1958</t>
  </si>
  <si>
    <t>149577312:eng</t>
  </si>
  <si>
    <t>512926</t>
  </si>
  <si>
    <t>991002894019702656</t>
  </si>
  <si>
    <t>2263217010002656</t>
  </si>
  <si>
    <t>32285002861010</t>
  </si>
  <si>
    <t>893622874</t>
  </si>
  <si>
    <t>NA200 .G76 1975</t>
  </si>
  <si>
    <t>0                      NA 0200000G  76          1975</t>
  </si>
  <si>
    <t>Great architecture of the world / general editor, John Julius Norwich.</t>
  </si>
  <si>
    <t>New York : Random House, [1975]</t>
  </si>
  <si>
    <t>1975</t>
  </si>
  <si>
    <t>1998-11-20</t>
  </si>
  <si>
    <t>1993-09-30</t>
  </si>
  <si>
    <t>2830214240:eng</t>
  </si>
  <si>
    <t>8139409</t>
  </si>
  <si>
    <t>991005208969702656</t>
  </si>
  <si>
    <t>2264077850002656</t>
  </si>
  <si>
    <t>9780394498874</t>
  </si>
  <si>
    <t>32285001772176</t>
  </si>
  <si>
    <t>893801917</t>
  </si>
  <si>
    <t>NA200 .J32 1974</t>
  </si>
  <si>
    <t>0                      NA 0200000J  32          1974</t>
  </si>
  <si>
    <t>Architecture / by David Jacobs.</t>
  </si>
  <si>
    <t>Jacobs, David, 1939-</t>
  </si>
  <si>
    <t>New York : Newsweek Books, c1974.</t>
  </si>
  <si>
    <t>World of culture</t>
  </si>
  <si>
    <t>2006-09-15</t>
  </si>
  <si>
    <t>1994-06-21</t>
  </si>
  <si>
    <t>499868813:eng</t>
  </si>
  <si>
    <t>1327605</t>
  </si>
  <si>
    <t>991003695569702656</t>
  </si>
  <si>
    <t>2258535450002656</t>
  </si>
  <si>
    <t>9780882251073</t>
  </si>
  <si>
    <t>32285001917094</t>
  </si>
  <si>
    <t>893342875</t>
  </si>
  <si>
    <t>NA2000 .G813</t>
  </si>
  <si>
    <t>0                      NA 2000000G  813</t>
  </si>
  <si>
    <t>Apollo in the democracy : the cultural obligation of the architect.</t>
  </si>
  <si>
    <t>Gropius, Walter, 1883-1969.</t>
  </si>
  <si>
    <t>New York : McGraw-Hill, [1968]</t>
  </si>
  <si>
    <t>1992-05-01</t>
  </si>
  <si>
    <t>293303583:eng</t>
  </si>
  <si>
    <t>189968</t>
  </si>
  <si>
    <t>991001180229702656</t>
  </si>
  <si>
    <t>2268484190002656</t>
  </si>
  <si>
    <t>32285001091098</t>
  </si>
  <si>
    <t>893438939</t>
  </si>
  <si>
    <t>NA201 .W6</t>
  </si>
  <si>
    <t>0                      NA 0201000W  6</t>
  </si>
  <si>
    <t>World architecture; an illustrated history. Introd. by H.R. Hitchcock. [Text by] Seton Lloyd [and others. Editor: Trewin Copplestone.</t>
  </si>
  <si>
    <t>New York] McGraw-Hill [1963]</t>
  </si>
  <si>
    <t>1998-12-05</t>
  </si>
  <si>
    <t>498809510:eng</t>
  </si>
  <si>
    <t>1242161</t>
  </si>
  <si>
    <t>991003643439702656</t>
  </si>
  <si>
    <t>2258452040002656</t>
  </si>
  <si>
    <t>32285002861051</t>
  </si>
  <si>
    <t>893441531</t>
  </si>
  <si>
    <t>NA203 .G5</t>
  </si>
  <si>
    <t>0                      NA 0203000G  5</t>
  </si>
  <si>
    <t>Space, time and architecture; the growth of a new tradition.</t>
  </si>
  <si>
    <t>Giedion, S. (Sigfried), 1888-1968.</t>
  </si>
  <si>
    <t>Cambridge, The Harvard University Press; London, H. Milford, Oxford University Press, 1941.</t>
  </si>
  <si>
    <t>1941</t>
  </si>
  <si>
    <t>The Charles Eliot Norton lectures for 1938-1939</t>
  </si>
  <si>
    <t>2010-03-08</t>
  </si>
  <si>
    <t>62743510:eng</t>
  </si>
  <si>
    <t>1058878</t>
  </si>
  <si>
    <t>991003506759702656</t>
  </si>
  <si>
    <t>2271527350002656</t>
  </si>
  <si>
    <t>32285002861077</t>
  </si>
  <si>
    <t>893874823</t>
  </si>
  <si>
    <t>NA210 .P56</t>
  </si>
  <si>
    <t>0                      NA 0210000P  56</t>
  </si>
  <si>
    <t>Ancient and classical architecture.</t>
  </si>
  <si>
    <t>Plommer, Hugh.</t>
  </si>
  <si>
    <t>[London] Longmans [1956]</t>
  </si>
  <si>
    <t>1956</t>
  </si>
  <si>
    <t>[Rev. ed.]</t>
  </si>
  <si>
    <t>Simpson's History of architectural development, new edition, v. 1</t>
  </si>
  <si>
    <t>1998-11-24</t>
  </si>
  <si>
    <t>6336607:eng</t>
  </si>
  <si>
    <t>2749495</t>
  </si>
  <si>
    <t>991004231909702656</t>
  </si>
  <si>
    <t>2254959860002656</t>
  </si>
  <si>
    <t>32285002861093</t>
  </si>
  <si>
    <t>893806821</t>
  </si>
  <si>
    <t>NA215 .A75 1999</t>
  </si>
  <si>
    <t>0                      NA 0215000A  75          1999</t>
  </si>
  <si>
    <t>Temples of the last pharaohs / Dieter Arnold.</t>
  </si>
  <si>
    <t>Arnold, Dieter, 1936-</t>
  </si>
  <si>
    <t>New York : Oxford University Press, c1999.</t>
  </si>
  <si>
    <t>1999</t>
  </si>
  <si>
    <t>2002-07-30</t>
  </si>
  <si>
    <t>23499779:eng</t>
  </si>
  <si>
    <t>40954181</t>
  </si>
  <si>
    <t>991003837439702656</t>
  </si>
  <si>
    <t>2262986890002656</t>
  </si>
  <si>
    <t>9780195126334</t>
  </si>
  <si>
    <t>32285004640776</t>
  </si>
  <si>
    <t>893410753</t>
  </si>
  <si>
    <t>NA215 .B285</t>
  </si>
  <si>
    <t>0                      NA 0215000B  285</t>
  </si>
  <si>
    <t>Architecture in ancient Egypt and the Near East.</t>
  </si>
  <si>
    <t>Badawy, Alexander.</t>
  </si>
  <si>
    <t>Cambridge : M.I.T. Press, [1966]</t>
  </si>
  <si>
    <t>1992-11-24</t>
  </si>
  <si>
    <t>1992-05-08</t>
  </si>
  <si>
    <t>1478494:eng</t>
  </si>
  <si>
    <t>512099</t>
  </si>
  <si>
    <t>991002891859702656</t>
  </si>
  <si>
    <t>2263435880002656</t>
  </si>
  <si>
    <t>32285001105088</t>
  </si>
  <si>
    <t>893504956</t>
  </si>
  <si>
    <t>NA215 .M8 1977</t>
  </si>
  <si>
    <t>0                      NA 0215000M  8           1977</t>
  </si>
  <si>
    <t>Egyptian temples / by Margaret A. Murray.</t>
  </si>
  <si>
    <t>Murray, Margaret Alice.</t>
  </si>
  <si>
    <t>New York : AMS Press, 1977.</t>
  </si>
  <si>
    <t>1999-10-08</t>
  </si>
  <si>
    <t>1992-07-15</t>
  </si>
  <si>
    <t>475327:eng</t>
  </si>
  <si>
    <t>3120503</t>
  </si>
  <si>
    <t>991004351069702656</t>
  </si>
  <si>
    <t>2263819110002656</t>
  </si>
  <si>
    <t>9780404147198</t>
  </si>
  <si>
    <t>32285001151892</t>
  </si>
  <si>
    <t>893593588</t>
  </si>
  <si>
    <t>NA216.A2 D38 1981</t>
  </si>
  <si>
    <t>0                      NA 0216000A  2                  D  38          1981</t>
  </si>
  <si>
    <t>A guide to religious ritual at Abydos / Rosalie David.</t>
  </si>
  <si>
    <t>David, A. Rosalie (Ann Rosalie)</t>
  </si>
  <si>
    <t>Warminster : Aris and Phillips, 1981.</t>
  </si>
  <si>
    <t>Modern Egyptology series</t>
  </si>
  <si>
    <t>510881:eng</t>
  </si>
  <si>
    <t>8301957</t>
  </si>
  <si>
    <t>991005228689702656</t>
  </si>
  <si>
    <t>2271434650002656</t>
  </si>
  <si>
    <t>9780856680601</t>
  </si>
  <si>
    <t>32285000949874</t>
  </si>
  <si>
    <t>893707484</t>
  </si>
  <si>
    <t>NA2500 .F73 1991</t>
  </si>
  <si>
    <t>0                      NA 2500000F  73          1991</t>
  </si>
  <si>
    <t>Monsters of architecture : anthropomorphism in architectural theory / Marco Frascari.</t>
  </si>
  <si>
    <t>Frascari, Marco.</t>
  </si>
  <si>
    <t>Savage, Md. : Rowman &amp; Littlefield, c1991.</t>
  </si>
  <si>
    <t>mdu</t>
  </si>
  <si>
    <t>1992-08-19</t>
  </si>
  <si>
    <t>1992-02-27</t>
  </si>
  <si>
    <t>836737542:eng</t>
  </si>
  <si>
    <t>21301823</t>
  </si>
  <si>
    <t>991001673139702656</t>
  </si>
  <si>
    <t>2261904910002656</t>
  </si>
  <si>
    <t>9780847676583</t>
  </si>
  <si>
    <t>32285000937077</t>
  </si>
  <si>
    <t>893596622</t>
  </si>
  <si>
    <t>NA2500 .H8 1969</t>
  </si>
  <si>
    <t>0                      NA 2500000H  8           1969</t>
  </si>
  <si>
    <t>Architecture and the spirit of man.</t>
  </si>
  <si>
    <t>Hudnut, Joseph, 1886-1968.</t>
  </si>
  <si>
    <t>New York, Greenwood Press [1969, c1949]</t>
  </si>
  <si>
    <t>2000-11-27</t>
  </si>
  <si>
    <t>1198301:eng</t>
  </si>
  <si>
    <t>59032</t>
  </si>
  <si>
    <t>991000146849702656</t>
  </si>
  <si>
    <t>2260552230002656</t>
  </si>
  <si>
    <t>9780837125763</t>
  </si>
  <si>
    <t>32285002862059</t>
  </si>
  <si>
    <t>893333247</t>
  </si>
  <si>
    <t>NA2500 .S43</t>
  </si>
  <si>
    <t>0                      NA 2500000S  43</t>
  </si>
  <si>
    <t>The aesthetics of architecture / Roger Scruton.</t>
  </si>
  <si>
    <t>Scruton, Roger.</t>
  </si>
  <si>
    <t>Princeton, N.J. : Princeton University Press, c1979.</t>
  </si>
  <si>
    <t>1979</t>
  </si>
  <si>
    <t>Princeton essays on the arts ; 8</t>
  </si>
  <si>
    <t>2002-05-02</t>
  </si>
  <si>
    <t>1992-08-31</t>
  </si>
  <si>
    <t>440567:eng</t>
  </si>
  <si>
    <t>5263685</t>
  </si>
  <si>
    <t>991004807599702656</t>
  </si>
  <si>
    <t>2256381930002656</t>
  </si>
  <si>
    <t>9780691003221</t>
  </si>
  <si>
    <t>32285001284313</t>
  </si>
  <si>
    <t>893870137</t>
  </si>
  <si>
    <t>NA2515 .P253 1965</t>
  </si>
  <si>
    <t>0                      NA 2515000P  253         1965</t>
  </si>
  <si>
    <t>The four books of architecture / with a new introd. by Adolf K. Placzek.</t>
  </si>
  <si>
    <t>Palladio, Andrea, 1508-1580.</t>
  </si>
  <si>
    <t>New York : Dover Publications, [1965]</t>
  </si>
  <si>
    <t>2001-04-02</t>
  </si>
  <si>
    <t>1993-01-08</t>
  </si>
  <si>
    <t>4495355050:eng</t>
  </si>
  <si>
    <t>332435</t>
  </si>
  <si>
    <t>991002390999702656</t>
  </si>
  <si>
    <t>2257759290002656</t>
  </si>
  <si>
    <t>32285001474146</t>
  </si>
  <si>
    <t>893597403</t>
  </si>
  <si>
    <t>NA2520 .S37 1991</t>
  </si>
  <si>
    <t>0                      NA 2520000S  37          1991</t>
  </si>
  <si>
    <t>Architecture : the natural and the manmade / Vincent Scully.</t>
  </si>
  <si>
    <t>Scully, Vincent, Jr., 1920-2017.</t>
  </si>
  <si>
    <t>New York : St. Martin's Press, 1991.</t>
  </si>
  <si>
    <t>1994-01-20</t>
  </si>
  <si>
    <t>1992-04-23</t>
  </si>
  <si>
    <t>24813412:eng</t>
  </si>
  <si>
    <t>23900932</t>
  </si>
  <si>
    <t>991001892459702656</t>
  </si>
  <si>
    <t>2262295530002656</t>
  </si>
  <si>
    <t>9780312062927</t>
  </si>
  <si>
    <t>32285001037182</t>
  </si>
  <si>
    <t>893791797</t>
  </si>
  <si>
    <t>NA2542.35 .C48 1993</t>
  </si>
  <si>
    <t>0                      NA 2542350C  48          1993</t>
  </si>
  <si>
    <t>Applications of environment-behavior research : case studies and analysis / Paul D. Cherulnik.</t>
  </si>
  <si>
    <t>Cherulnik, Paul D., 1941-</t>
  </si>
  <si>
    <t>Cambridge ; New York : Cambridge University Press, 1993.</t>
  </si>
  <si>
    <t>Cambridge series in environment and behavior</t>
  </si>
  <si>
    <t>1996-09-20</t>
  </si>
  <si>
    <t>1995-07-14</t>
  </si>
  <si>
    <t>836920491:eng</t>
  </si>
  <si>
    <t>27430375</t>
  </si>
  <si>
    <t>991002138909702656</t>
  </si>
  <si>
    <t>2266132880002656</t>
  </si>
  <si>
    <t>9780521331890</t>
  </si>
  <si>
    <t>32285002054848</t>
  </si>
  <si>
    <t>893510343</t>
  </si>
  <si>
    <t>NA2542.35 .K86 1993</t>
  </si>
  <si>
    <t>0                      NA 2542350K  86          1993</t>
  </si>
  <si>
    <t>The geography of nowhere : the rise and decline of America's man-made landscape / James Howard Kunstler.</t>
  </si>
  <si>
    <t>Kunstler, James Howard.</t>
  </si>
  <si>
    <t>New York : Simon &amp; Schuster, c1993.</t>
  </si>
  <si>
    <t>2008-04-08</t>
  </si>
  <si>
    <t>1993-06-09</t>
  </si>
  <si>
    <t>795693574:eng</t>
  </si>
  <si>
    <t>27726774</t>
  </si>
  <si>
    <t>991002151519702656</t>
  </si>
  <si>
    <t>2265020160002656</t>
  </si>
  <si>
    <t>9780671707743</t>
  </si>
  <si>
    <t>32285001584829</t>
  </si>
  <si>
    <t>893427248</t>
  </si>
  <si>
    <t>NA2542.35 .M47 1987</t>
  </si>
  <si>
    <t>0                      NA 2542350M  47          1987</t>
  </si>
  <si>
    <t>Man made the town / Michael Middleton.</t>
  </si>
  <si>
    <t>Middleton, Michael, 1917-2009.</t>
  </si>
  <si>
    <t>New York : St. Martin's Press, c1987.</t>
  </si>
  <si>
    <t>1st U.S. ed.</t>
  </si>
  <si>
    <t>317775720:eng</t>
  </si>
  <si>
    <t>18162697</t>
  </si>
  <si>
    <t>991004425249702656</t>
  </si>
  <si>
    <t>2260060450002656</t>
  </si>
  <si>
    <t>9780312011697</t>
  </si>
  <si>
    <t>32285005011738</t>
  </si>
  <si>
    <t>893411524</t>
  </si>
  <si>
    <t>NA2542.35 .O42 1980</t>
  </si>
  <si>
    <t>0                      NA 2542350O  42          1980</t>
  </si>
  <si>
    <t>Old &amp; new architecture : design relationship : from a conference / sponsored by National Trust for Historic Preservation, Latrobe Chapter, Society of Architectural Historians [and] Washington Metropolitan Chapter, American Institute of Architects.</t>
  </si>
  <si>
    <t>Washington, D.C. : Preservation Press, National Trust for Historic Preservation, c1980.</t>
  </si>
  <si>
    <t>2005-10-10</t>
  </si>
  <si>
    <t>1993-05-03</t>
  </si>
  <si>
    <t>789431129:eng</t>
  </si>
  <si>
    <t>6195119</t>
  </si>
  <si>
    <t>991004942629702656</t>
  </si>
  <si>
    <t>2265747390002656</t>
  </si>
  <si>
    <t>9780891330769</t>
  </si>
  <si>
    <t>32285001632982</t>
  </si>
  <si>
    <t>893446470</t>
  </si>
  <si>
    <t>NA2545.A3 D47 1985</t>
  </si>
  <si>
    <t>0                      NA 2545000A  3                  D  47          1985</t>
  </si>
  <si>
    <t>Design for aging : an architect's guide.</t>
  </si>
  <si>
    <t>Washington, D.C. : American Institute of Architects, 1985.</t>
  </si>
  <si>
    <t>2005-07-19</t>
  </si>
  <si>
    <t>54817146:eng</t>
  </si>
  <si>
    <t>13564704</t>
  </si>
  <si>
    <t>991000847119702656</t>
  </si>
  <si>
    <t>2256683250002656</t>
  </si>
  <si>
    <t>9780913962770</t>
  </si>
  <si>
    <t>32285001655033</t>
  </si>
  <si>
    <t>893808844</t>
  </si>
  <si>
    <t>NA2560 .A2 1964</t>
  </si>
  <si>
    <t>0                      NA 2560000A  2           1964</t>
  </si>
  <si>
    <t>The history, theory, and criticism of architecture : papers / edited by Marcus Whiffen. With a foreword by Buford L. Pickens.</t>
  </si>
  <si>
    <t>AIA-ACSA Teacher Seminar (1964 : Cranbrook Academy of Art)</t>
  </si>
  <si>
    <t>Cambridge, Mass., M.I.T. Press [c1965]</t>
  </si>
  <si>
    <t>1997-11-05</t>
  </si>
  <si>
    <t>1997-05-27</t>
  </si>
  <si>
    <t>3901650229:eng</t>
  </si>
  <si>
    <t>513174</t>
  </si>
  <si>
    <t>991002894229702656</t>
  </si>
  <si>
    <t>2260767600002656</t>
  </si>
  <si>
    <t>32285002696804</t>
  </si>
  <si>
    <t>893710813</t>
  </si>
  <si>
    <t>NA260 .D7 1966</t>
  </si>
  <si>
    <t>0                      NA 0260000D  7           1966</t>
  </si>
  <si>
    <t>Architectura numismatica : ancient architecture on Greek and Roman coins and medals.</t>
  </si>
  <si>
    <t>Donaldson, Thomas Leverton, 1795-1885.</t>
  </si>
  <si>
    <t>Chicago : Argonaut Publishers, 1966.</t>
  </si>
  <si>
    <t>Argonaut library of antiquities</t>
  </si>
  <si>
    <t>2004-09-24</t>
  </si>
  <si>
    <t>1992-05-20</t>
  </si>
  <si>
    <t>323008573:eng</t>
  </si>
  <si>
    <t>265835</t>
  </si>
  <si>
    <t>991002096759702656</t>
  </si>
  <si>
    <t>2267753320002656</t>
  </si>
  <si>
    <t>32285001112100</t>
  </si>
  <si>
    <t>893709862</t>
  </si>
  <si>
    <t>NA260 .L97 1974b</t>
  </si>
  <si>
    <t>0                      NA 0260000L  97          1974b</t>
  </si>
  <si>
    <t>Baroque architecture in classical antiquity / Margaret Lyttelton.</t>
  </si>
  <si>
    <t>Lyttelton, Margaret.</t>
  </si>
  <si>
    <t>Ithaca, N.Y. : Cornell University Press, 1974.</t>
  </si>
  <si>
    <t>Studies in ancient art and archaeology</t>
  </si>
  <si>
    <t>2006-05-03</t>
  </si>
  <si>
    <t>2068132:eng</t>
  </si>
  <si>
    <t>1144621</t>
  </si>
  <si>
    <t>991003569769702656</t>
  </si>
  <si>
    <t>2263499960002656</t>
  </si>
  <si>
    <t>9780801407840</t>
  </si>
  <si>
    <t>32285001654135</t>
  </si>
  <si>
    <t>893330451</t>
  </si>
  <si>
    <t>NA260 .R6</t>
  </si>
  <si>
    <t>0                      NA 0260000R  6</t>
  </si>
  <si>
    <t>A handbook of Greek &amp; Roman architecture / by D. S. Robertson.</t>
  </si>
  <si>
    <t>Robertson, D. S. (Donald Struan), 1885-1961.</t>
  </si>
  <si>
    <t>Cambridge, [Eng.] : The University Press, 1929.</t>
  </si>
  <si>
    <t>1929</t>
  </si>
  <si>
    <t>1991-05-20</t>
  </si>
  <si>
    <t>1479187:eng</t>
  </si>
  <si>
    <t>1076246</t>
  </si>
  <si>
    <t>991003517829702656</t>
  </si>
  <si>
    <t>2257581970002656</t>
  </si>
  <si>
    <t>32285000597400</t>
  </si>
  <si>
    <t>893805858</t>
  </si>
  <si>
    <t>NA260 .T96 1986</t>
  </si>
  <si>
    <t>0                      NA 0260000T  96          1986</t>
  </si>
  <si>
    <t>Classical architecture : the poetics of order / Alexander Tzonis and Liane Lefaivre.</t>
  </si>
  <si>
    <t>Tzonis, Alexander.</t>
  </si>
  <si>
    <t>Cambridge, Mass. : MIT Press, c1986.</t>
  </si>
  <si>
    <t>2010-09-27</t>
  </si>
  <si>
    <t>7436850:eng</t>
  </si>
  <si>
    <t>13330006</t>
  </si>
  <si>
    <t>991000109079702656</t>
  </si>
  <si>
    <t>2266149030002656</t>
  </si>
  <si>
    <t>9780262200592</t>
  </si>
  <si>
    <t>32285005596720</t>
  </si>
  <si>
    <t>893595278</t>
  </si>
  <si>
    <t>NA267 .H58 2000</t>
  </si>
  <si>
    <t>0                      NA 0267000H  58          2000</t>
  </si>
  <si>
    <t>Minoan architecture : a contextual analysis / Louise A. Hitchcock.</t>
  </si>
  <si>
    <t>Hitchcock, Louise.</t>
  </si>
  <si>
    <t>Jonsered : P. Åströms förlag, c2000.</t>
  </si>
  <si>
    <t xml:space="preserve">sw </t>
  </si>
  <si>
    <t>Studies in Mediterranean archaeology and literature. Pocket-book ; 155</t>
  </si>
  <si>
    <t>2005-08-12</t>
  </si>
  <si>
    <t>2002-01-10</t>
  </si>
  <si>
    <t>197532176:eng</t>
  </si>
  <si>
    <t>43731848</t>
  </si>
  <si>
    <t>991003606169702656</t>
  </si>
  <si>
    <t>2271411550002656</t>
  </si>
  <si>
    <t>9789170811920</t>
  </si>
  <si>
    <t>32285004447529</t>
  </si>
  <si>
    <t>893705416</t>
  </si>
  <si>
    <t>NA270 .C65 1977b</t>
  </si>
  <si>
    <t>0                      NA 0270000C  65          1977b</t>
  </si>
  <si>
    <t>Greek architects at work : problems of structure and design / J. J. Coulton.</t>
  </si>
  <si>
    <t>Coulton, J. J.</t>
  </si>
  <si>
    <t>London : Elek, 1977.</t>
  </si>
  <si>
    <t>Elek archaeology and anthropology</t>
  </si>
  <si>
    <t>2005-11-27</t>
  </si>
  <si>
    <t>1993-02-08</t>
  </si>
  <si>
    <t>3943320044:eng</t>
  </si>
  <si>
    <t>3204413</t>
  </si>
  <si>
    <t>991004375099702656</t>
  </si>
  <si>
    <t>2270723090002656</t>
  </si>
  <si>
    <t>9780236400676</t>
  </si>
  <si>
    <t>32285001524809</t>
  </si>
  <si>
    <t>893882401</t>
  </si>
  <si>
    <t>NA270 .D5 1950</t>
  </si>
  <si>
    <t>0                      NA 0270000D  5           1950</t>
  </si>
  <si>
    <t>The architecture of ancient Greece : an account of its historic development / rev. and enl. ed. based on the first part of The Architecture of Greece and Rome, by William J. Anderson and R. Phené Spiers.</t>
  </si>
  <si>
    <t>Dinsmoor, William Bell, 1886-1973.</t>
  </si>
  <si>
    <t>London ; New York : Batsford, [1950]</t>
  </si>
  <si>
    <t>1950</t>
  </si>
  <si>
    <t>[3d ed.]</t>
  </si>
  <si>
    <t>1990-02-24</t>
  </si>
  <si>
    <t>4915109232:eng</t>
  </si>
  <si>
    <t>1059513</t>
  </si>
  <si>
    <t>991003507049702656</t>
  </si>
  <si>
    <t>2262717100002656</t>
  </si>
  <si>
    <t>32285000061621</t>
  </si>
  <si>
    <t>893518544</t>
  </si>
  <si>
    <t>NA270 .L36 1983</t>
  </si>
  <si>
    <t>0                      NA 0270000L  36          1983</t>
  </si>
  <si>
    <t>Greek architecture / A.W. Lawrence ; revised with additions by R.A. Tomlinson.</t>
  </si>
  <si>
    <t>Lawrence, A. W. (Arnold Walter), 1900-1991.</t>
  </si>
  <si>
    <t>Harmondsworth, Middlesex, England ; New York, N.Y., U.S.A. : Penguin Books, c1983.</t>
  </si>
  <si>
    <t>4th (integrated) ed., rev.</t>
  </si>
  <si>
    <t>The Pelican history of art</t>
  </si>
  <si>
    <t>1990-02-22</t>
  </si>
  <si>
    <t>5622646807:eng</t>
  </si>
  <si>
    <t>8929121</t>
  </si>
  <si>
    <t>991000096209702656</t>
  </si>
  <si>
    <t>2266410690002656</t>
  </si>
  <si>
    <t>9780140560114</t>
  </si>
  <si>
    <t>32285000049279</t>
  </si>
  <si>
    <t>893339270</t>
  </si>
  <si>
    <t>NA270 .L36 1996</t>
  </si>
  <si>
    <t>0                      NA 0270000L  36          1996</t>
  </si>
  <si>
    <t>Greek architecture / A.W. Lawrence.</t>
  </si>
  <si>
    <t>New Haven : Yale University Press, c1996.</t>
  </si>
  <si>
    <t>5th ed. / revised by R.A. Tomlinson.</t>
  </si>
  <si>
    <t>2009-04-06</t>
  </si>
  <si>
    <t>2002-03-27</t>
  </si>
  <si>
    <t>966814:eng</t>
  </si>
  <si>
    <t>34024605</t>
  </si>
  <si>
    <t>991003647109702656</t>
  </si>
  <si>
    <t>2258282600002656</t>
  </si>
  <si>
    <t>9780300064919</t>
  </si>
  <si>
    <t>32285004464201</t>
  </si>
  <si>
    <t>893324307</t>
  </si>
  <si>
    <t>NA270 .S3</t>
  </si>
  <si>
    <t>0                      NA 0270000S  3</t>
  </si>
  <si>
    <t>Greek architecture.</t>
  </si>
  <si>
    <t>Scranton, Robert, 1912-1993.</t>
  </si>
  <si>
    <t>New York : G. Braziller, 1962.</t>
  </si>
  <si>
    <t>1962</t>
  </si>
  <si>
    <t>2009-02-02</t>
  </si>
  <si>
    <t>1995-05-11</t>
  </si>
  <si>
    <t>8908338415:eng</t>
  </si>
  <si>
    <t>512301</t>
  </si>
  <si>
    <t>991002892299702656</t>
  </si>
  <si>
    <t>2263291500002656</t>
  </si>
  <si>
    <t>32285002033909</t>
  </si>
  <si>
    <t>893511321</t>
  </si>
  <si>
    <t>NA2700 .B44</t>
  </si>
  <si>
    <t>0                      NA 2700000B  44</t>
  </si>
  <si>
    <t>Architectural drafting / [by] Herbert F. Bellis [and] Walter A. Schmidt.</t>
  </si>
  <si>
    <t>Bellis, Herbert F.</t>
  </si>
  <si>
    <t>New York : McGraw-Hill, 1961.</t>
  </si>
  <si>
    <t>1961</t>
  </si>
  <si>
    <t>2005-10-02</t>
  </si>
  <si>
    <t>1992-06-24</t>
  </si>
  <si>
    <t>404781:eng</t>
  </si>
  <si>
    <t>1279101</t>
  </si>
  <si>
    <t>991003665729702656</t>
  </si>
  <si>
    <t>2261094730002656</t>
  </si>
  <si>
    <t>32285001134005</t>
  </si>
  <si>
    <t>893531452</t>
  </si>
  <si>
    <t>NA2700 .N44 1983</t>
  </si>
  <si>
    <t>0                      NA 2700000N  44          1983</t>
  </si>
  <si>
    <t>Handbook of architectural and civil drafting / John A. Nelson.</t>
  </si>
  <si>
    <t>Nelson, John A., 1935-</t>
  </si>
  <si>
    <t>New York : Van Nostrand Reinhold, c1983.</t>
  </si>
  <si>
    <t>2000-10-10</t>
  </si>
  <si>
    <t>43499383:eng</t>
  </si>
  <si>
    <t>9081511</t>
  </si>
  <si>
    <t>991003306929702656</t>
  </si>
  <si>
    <t>2256078010002656</t>
  </si>
  <si>
    <t>9780442268640</t>
  </si>
  <si>
    <t>32285003767422</t>
  </si>
  <si>
    <t>893774600</t>
  </si>
  <si>
    <t>NA2706.I8 S6 1993</t>
  </si>
  <si>
    <t>0                      NA 2706000I  8                  S  6           1993</t>
  </si>
  <si>
    <t>Architectural diplomacy : Rome and Paris in the late Baroque / Gil R. Smith.</t>
  </si>
  <si>
    <t>Smith, Gil R., 1952-</t>
  </si>
  <si>
    <t>New York : Architectural History Foundation ; Cambridge, Mass. : MIT Press, c1993.</t>
  </si>
  <si>
    <t>2010-01-21</t>
  </si>
  <si>
    <t>118135251:eng</t>
  </si>
  <si>
    <t>25553180</t>
  </si>
  <si>
    <t>991005350459702656</t>
  </si>
  <si>
    <t>2271322070002656</t>
  </si>
  <si>
    <t>9780262193238</t>
  </si>
  <si>
    <t>32285005558902</t>
  </si>
  <si>
    <t>893890068</t>
  </si>
  <si>
    <t>NA2707.W7 A4 1988</t>
  </si>
  <si>
    <t>0                      NA 2707000W  7                  A  4           1988</t>
  </si>
  <si>
    <t>Sir Christopher Wren : the design of St. Paul's Cathedral : introduction and catalogue / by Kerry Downes.</t>
  </si>
  <si>
    <t>Downes, Kerry.</t>
  </si>
  <si>
    <t>London : Trefoil Publications ; Washington, D.C. : American Institute of Architects Press, 1988, c1987, 1990 printing.</t>
  </si>
  <si>
    <t>1988</t>
  </si>
  <si>
    <t>2003-03-03</t>
  </si>
  <si>
    <t>1990-06-20</t>
  </si>
  <si>
    <t>152310950:eng</t>
  </si>
  <si>
    <t>20753952</t>
  </si>
  <si>
    <t>991001612239702656</t>
  </si>
  <si>
    <t>2262450140002656</t>
  </si>
  <si>
    <t>9781558350656</t>
  </si>
  <si>
    <t>32285000178524</t>
  </si>
  <si>
    <t>893225946</t>
  </si>
  <si>
    <t>NA2714 .P67 1992</t>
  </si>
  <si>
    <t>0                      NA 2714000P  67          1992</t>
  </si>
  <si>
    <t>Design drawing techniques for architects, graphic designers &amp; artists / Tom Porter and Sue Goodman.</t>
  </si>
  <si>
    <t>Porter, Tom.</t>
  </si>
  <si>
    <t>Oxford : Butterworth Architecture, 1992, c1991.</t>
  </si>
  <si>
    <t>1992</t>
  </si>
  <si>
    <t>2006-02-22</t>
  </si>
  <si>
    <t>1997-06-16</t>
  </si>
  <si>
    <t>3768361308:eng</t>
  </si>
  <si>
    <t>122691272</t>
  </si>
  <si>
    <t>991002096969702656</t>
  </si>
  <si>
    <t>2269259260002656</t>
  </si>
  <si>
    <t>9780750608121</t>
  </si>
  <si>
    <t>32285002751542</t>
  </si>
  <si>
    <t>893510289</t>
  </si>
  <si>
    <t>NA275 .S3 1979</t>
  </si>
  <si>
    <t>0                      NA 0275000S  3           1979</t>
  </si>
  <si>
    <t>The earth, the temple, and the gods : Greek sacred architecture / Vincent Scully.</t>
  </si>
  <si>
    <t>New Haven : Yale University Press, c1979.</t>
  </si>
  <si>
    <t>Rev. ed.</t>
  </si>
  <si>
    <t>2009-11-05</t>
  </si>
  <si>
    <t>1992-12-14</t>
  </si>
  <si>
    <t>435437:eng</t>
  </si>
  <si>
    <t>4933030</t>
  </si>
  <si>
    <t>991004749659702656</t>
  </si>
  <si>
    <t>2268888430002656</t>
  </si>
  <si>
    <t>9780300024319</t>
  </si>
  <si>
    <t>32285001466316</t>
  </si>
  <si>
    <t>893870061</t>
  </si>
  <si>
    <t>NA2750 .S94 1980</t>
  </si>
  <si>
    <t>0                      NA 2750000S  94          1980</t>
  </si>
  <si>
    <t>Design cost analysis for architects and engineers / Herbert Swinburne.</t>
  </si>
  <si>
    <t>Swinburne, Herbert.</t>
  </si>
  <si>
    <t>New York : McGraw-Hill, c1980.</t>
  </si>
  <si>
    <t>1998-12-17</t>
  </si>
  <si>
    <t>15212018:eng</t>
  </si>
  <si>
    <t>4983044</t>
  </si>
  <si>
    <t>991004757999702656</t>
  </si>
  <si>
    <t>2266103220002656</t>
  </si>
  <si>
    <t>9780070626355</t>
  </si>
  <si>
    <t>32285003507539</t>
  </si>
  <si>
    <t>893443016</t>
  </si>
  <si>
    <t>NA2760 .B53 1984</t>
  </si>
  <si>
    <t>0                      NA 2760000B  53          1984</t>
  </si>
  <si>
    <t>Geometry in architecture / William Blackwell.</t>
  </si>
  <si>
    <t>Blackwell, William, 1929-</t>
  </si>
  <si>
    <t>New York : Wiley, c1984.</t>
  </si>
  <si>
    <t>24942515:eng</t>
  </si>
  <si>
    <t>9622028</t>
  </si>
  <si>
    <t>991000227969702656</t>
  </si>
  <si>
    <t>2270894150002656</t>
  </si>
  <si>
    <t>9780471096832</t>
  </si>
  <si>
    <t>32285001655066</t>
  </si>
  <si>
    <t>893683263</t>
  </si>
  <si>
    <t>NA2760 .M365 1990</t>
  </si>
  <si>
    <t>0                      NA 2760000M  365         1990</t>
  </si>
  <si>
    <t>Light, wind, and structure : the mystery of the master builders / Robert Mark.</t>
  </si>
  <si>
    <t>Mark, Robert.</t>
  </si>
  <si>
    <t>New York : McGraw-Hill Pub. Co., c1990.</t>
  </si>
  <si>
    <t>1990</t>
  </si>
  <si>
    <t>[McGraw-Hill Edition].</t>
  </si>
  <si>
    <t>New liberal arts series</t>
  </si>
  <si>
    <t>1994-10-23</t>
  </si>
  <si>
    <t>1991-03-14</t>
  </si>
  <si>
    <t>21762821:eng</t>
  </si>
  <si>
    <t>19888256</t>
  </si>
  <si>
    <t>991001510909702656</t>
  </si>
  <si>
    <t>2260022960002656</t>
  </si>
  <si>
    <t>9780070404038</t>
  </si>
  <si>
    <t>32285000512508</t>
  </si>
  <si>
    <t>893621434</t>
  </si>
  <si>
    <t>NA2765 .N67 1971</t>
  </si>
  <si>
    <t>0                      NA 2765000N  67          1971</t>
  </si>
  <si>
    <t>Existence, space &amp; architecture.</t>
  </si>
  <si>
    <t>Norberg-Schulz, Christian.</t>
  </si>
  <si>
    <t>New York, Praeger [1971]</t>
  </si>
  <si>
    <t>1971</t>
  </si>
  <si>
    <t>2002-11-22</t>
  </si>
  <si>
    <t>47635900:eng</t>
  </si>
  <si>
    <t>223370</t>
  </si>
  <si>
    <t>991001370229702656</t>
  </si>
  <si>
    <t>2264123910002656</t>
  </si>
  <si>
    <t>32285002862216</t>
  </si>
  <si>
    <t>893408064</t>
  </si>
  <si>
    <t>NA278.P6 M2 1943</t>
  </si>
  <si>
    <t>0                      NA 0278000P  6                  M  2           1943</t>
  </si>
  <si>
    <t>The political meeting places of the Greeks / by William A. McDonald.</t>
  </si>
  <si>
    <t>McDonald, William A. (William Andrew), 1913-2000.</t>
  </si>
  <si>
    <t>Baltimore : The Johns Hopkins press, 1943.</t>
  </si>
  <si>
    <t>1943</t>
  </si>
  <si>
    <t>Johns Hopkins University studies in archaeology ; no. 34</t>
  </si>
  <si>
    <t>1995-04-13</t>
  </si>
  <si>
    <t>1993-02-09</t>
  </si>
  <si>
    <t>422820733:eng</t>
  </si>
  <si>
    <t>670105</t>
  </si>
  <si>
    <t>991003125589702656</t>
  </si>
  <si>
    <t>2266464080002656</t>
  </si>
  <si>
    <t>32285001508232</t>
  </si>
  <si>
    <t>893252055</t>
  </si>
  <si>
    <t>NA279.C7 G7</t>
  </si>
  <si>
    <t>0                      NA 0279000C  7                  G  7</t>
  </si>
  <si>
    <t>The palaces of Crete.</t>
  </si>
  <si>
    <t>Graham, J. Walter (James Walter), 1906-1991.</t>
  </si>
  <si>
    <t>Princeton, N.J., Princeton University Press, 1962.</t>
  </si>
  <si>
    <t>2003-11-28</t>
  </si>
  <si>
    <t>1992-06-10</t>
  </si>
  <si>
    <t>1215439:eng</t>
  </si>
  <si>
    <t>512110</t>
  </si>
  <si>
    <t>991002891919702656</t>
  </si>
  <si>
    <t>2263409840002656</t>
  </si>
  <si>
    <t>32285001098721</t>
  </si>
  <si>
    <t>893610433</t>
  </si>
  <si>
    <t>NA2793 .D5 1986</t>
  </si>
  <si>
    <t>0                      NA 2793000D  5           1986</t>
  </si>
  <si>
    <t>Remaking America : new uses, old places / Barbaralee Diamonstein.</t>
  </si>
  <si>
    <t>Diamonstein-Spielvogel, Barbaralee.</t>
  </si>
  <si>
    <t>New York : Crown, c1986.</t>
  </si>
  <si>
    <t>1998-04-22</t>
  </si>
  <si>
    <t>1993-05-12</t>
  </si>
  <si>
    <t>439638878:eng</t>
  </si>
  <si>
    <t>13215677</t>
  </si>
  <si>
    <t>991000798929702656</t>
  </si>
  <si>
    <t>2263331790002656</t>
  </si>
  <si>
    <t>9780517562871</t>
  </si>
  <si>
    <t>32285001653749</t>
  </si>
  <si>
    <t>893608294</t>
  </si>
  <si>
    <t>NA280 .R63 1957b</t>
  </si>
  <si>
    <t>0                      NA 0280000R  63          1957b</t>
  </si>
  <si>
    <t>The Acropolis. Photographed by Walter Hege.</t>
  </si>
  <si>
    <t>Rodenwaldt, Gerhart, 1886-1945.</t>
  </si>
  <si>
    <t>Oxford, Blackwell, 1957.</t>
  </si>
  <si>
    <t>1957</t>
  </si>
  <si>
    <t>[2d ed.]</t>
  </si>
  <si>
    <t>2001-09-17</t>
  </si>
  <si>
    <t>10359693711:eng</t>
  </si>
  <si>
    <t>259100</t>
  </si>
  <si>
    <t>991002015149702656</t>
  </si>
  <si>
    <t>2271368180002656</t>
  </si>
  <si>
    <t>32285002861135</t>
  </si>
  <si>
    <t>893615590</t>
  </si>
  <si>
    <t>NA2800 .A68</t>
  </si>
  <si>
    <t>0                      NA 2800000A  68</t>
  </si>
  <si>
    <t>Architectural acoustics / edited by Thomas D. Northwood.</t>
  </si>
  <si>
    <t>Stroudsburg, Pa. : Dowden, Hutchinson &amp; Ross ; New York : exclusive distributor, Halsted Press, c1977.</t>
  </si>
  <si>
    <t>Benchmark papers in acoustics ; 10</t>
  </si>
  <si>
    <t>2000-04-20</t>
  </si>
  <si>
    <t>54166234:eng</t>
  </si>
  <si>
    <t>2984898</t>
  </si>
  <si>
    <t>991004307979702656</t>
  </si>
  <si>
    <t>2258367290002656</t>
  </si>
  <si>
    <t>9780879332570</t>
  </si>
  <si>
    <t>32285002862224</t>
  </si>
  <si>
    <t>893806901</t>
  </si>
  <si>
    <t>NA2800 .B8</t>
  </si>
  <si>
    <t>0                      NA 2800000B  8</t>
  </si>
  <si>
    <t>Acoustics for the architect [by] Harold Burris-Meyer &amp; Lewis S. Goodfriend.</t>
  </si>
  <si>
    <t>Burris-Meyer, Harold, 1902-1984.</t>
  </si>
  <si>
    <t>New York, Reinhold Pub. Corp. [1957]</t>
  </si>
  <si>
    <t>2000-04-19</t>
  </si>
  <si>
    <t>2367728:eng</t>
  </si>
  <si>
    <t>1477063</t>
  </si>
  <si>
    <t>991003773829702656</t>
  </si>
  <si>
    <t>2258096340002656</t>
  </si>
  <si>
    <t>32285002862240</t>
  </si>
  <si>
    <t>893894112</t>
  </si>
  <si>
    <t>NA2800 .K58</t>
  </si>
  <si>
    <t>0                      NA 2800000K  58</t>
  </si>
  <si>
    <t>Acoustical designing in architecture [by] Vern O. Knudsen [and] Cyril M. Harris.</t>
  </si>
  <si>
    <t>Knudsen, Vern Oliver, 1893-1974.</t>
  </si>
  <si>
    <t>New York, Wiley, 1950.</t>
  </si>
  <si>
    <t>11234793:eng</t>
  </si>
  <si>
    <t>3611972</t>
  </si>
  <si>
    <t>991004477689702656</t>
  </si>
  <si>
    <t>2264765430002656</t>
  </si>
  <si>
    <t>32285002862257</t>
  </si>
  <si>
    <t>893253735</t>
  </si>
  <si>
    <t>NA2800 .K6</t>
  </si>
  <si>
    <t>0                      NA 2800000K  6</t>
  </si>
  <si>
    <t>Architectural acoustics, by Vern O. Knudsen.</t>
  </si>
  <si>
    <t>New York, J. Wiley &amp; sons, inc.; London, Chapman &amp; Hall, limited, c1932.</t>
  </si>
  <si>
    <t>1932</t>
  </si>
  <si>
    <t>143779392:eng</t>
  </si>
  <si>
    <t>1109790</t>
  </si>
  <si>
    <t>991003543719702656</t>
  </si>
  <si>
    <t>2255293100002656</t>
  </si>
  <si>
    <t>32285002862265</t>
  </si>
  <si>
    <t>893422680</t>
  </si>
  <si>
    <t>NA281 .P28 1993</t>
  </si>
  <si>
    <t>0                      NA 0281000P  28          1993</t>
  </si>
  <si>
    <t>The pediments of the Parthenon / by Olga Palagia.</t>
  </si>
  <si>
    <t>Palagia, Olga.</t>
  </si>
  <si>
    <t>Leiden ; New York : E.J. Brill, 1993.</t>
  </si>
  <si>
    <t xml:space="preserve">ne </t>
  </si>
  <si>
    <t>Monumenta Graeca et Romana, 0169-8850 ; v. 7</t>
  </si>
  <si>
    <t>2009-03-15</t>
  </si>
  <si>
    <t>1994-03-18</t>
  </si>
  <si>
    <t>28714009:eng</t>
  </si>
  <si>
    <t>26361711</t>
  </si>
  <si>
    <t>991002059839702656</t>
  </si>
  <si>
    <t>2261932210002656</t>
  </si>
  <si>
    <t>9789004096837</t>
  </si>
  <si>
    <t>32285001856706</t>
  </si>
  <si>
    <t>893334894</t>
  </si>
  <si>
    <t>NA300 .B63 1978</t>
  </si>
  <si>
    <t>0                      NA 0300000B  63          1978</t>
  </si>
  <si>
    <t>Etruscan and early Roman architecture / Axel Boëthius.</t>
  </si>
  <si>
    <t>Boëthius, Axel, 1889-1969.</t>
  </si>
  <si>
    <t>Harmondsworth, Eng. ; New York : Penguin Books, 1978.</t>
  </si>
  <si>
    <t>1978</t>
  </si>
  <si>
    <t>2d integrated ed., rev. / by Roger Ling and Tom Rasmussen.</t>
  </si>
  <si>
    <t>1996-01-04</t>
  </si>
  <si>
    <t>3855942566:eng</t>
  </si>
  <si>
    <t>3669573</t>
  </si>
  <si>
    <t>991004492279702656</t>
  </si>
  <si>
    <t>2262011850002656</t>
  </si>
  <si>
    <t>9780140561449</t>
  </si>
  <si>
    <t>32285001654184</t>
  </si>
  <si>
    <t>893343899</t>
  </si>
  <si>
    <t>NA3010 .N6 1926</t>
  </si>
  <si>
    <t>0                      NA 3010000N  6           1926</t>
  </si>
  <si>
    <t>Historic doorways of Old Salem / by Mary Harrod Northend, illustrated from photographs by the author.</t>
  </si>
  <si>
    <t>Northend, Mary Harrod, 1850-1926.</t>
  </si>
  <si>
    <t>Boston ; New York : Houghton Mifflin Co., 1926.</t>
  </si>
  <si>
    <t>2005-04-27</t>
  </si>
  <si>
    <t>1951279:eng</t>
  </si>
  <si>
    <t>1022389</t>
  </si>
  <si>
    <t>991004546269702656</t>
  </si>
  <si>
    <t>2272622170002656</t>
  </si>
  <si>
    <t>32285005033880</t>
  </si>
  <si>
    <t>893888857</t>
  </si>
  <si>
    <t>NA31 .O8</t>
  </si>
  <si>
    <t>0                      NA 0031000O  8</t>
  </si>
  <si>
    <t>A dictionary of English domestic architecture.</t>
  </si>
  <si>
    <t>Osborne, Arthur Leslie.</t>
  </si>
  <si>
    <t>New York, Philosophical Library [1956]</t>
  </si>
  <si>
    <t>2002-07-26</t>
  </si>
  <si>
    <t>2522047:eng</t>
  </si>
  <si>
    <t>1800479</t>
  </si>
  <si>
    <t>991003892759702656</t>
  </si>
  <si>
    <t>2270410410002656</t>
  </si>
  <si>
    <t>32285002860962</t>
  </si>
  <si>
    <t>893349352</t>
  </si>
  <si>
    <t>NA31 .W45 1976</t>
  </si>
  <si>
    <t>0                      NA 0031000W  45          1976</t>
  </si>
  <si>
    <t>The architecture book / by Norval White.</t>
  </si>
  <si>
    <t>White, Norval, 1926-2009.</t>
  </si>
  <si>
    <t>New York : Knopf, 1976.</t>
  </si>
  <si>
    <t>1976</t>
  </si>
  <si>
    <t>369598731:eng</t>
  </si>
  <si>
    <t>2238201</t>
  </si>
  <si>
    <t>991004060159702656</t>
  </si>
  <si>
    <t>2257483220002656</t>
  </si>
  <si>
    <t>9780394493268</t>
  </si>
  <si>
    <t>32285002860970</t>
  </si>
  <si>
    <t>893535786</t>
  </si>
  <si>
    <t>NA310 .N28</t>
  </si>
  <si>
    <t>0                      NA 0310000N  28</t>
  </si>
  <si>
    <t>Pictorial dictionary of ancient Rome.</t>
  </si>
  <si>
    <t>Nash, Ernest.</t>
  </si>
  <si>
    <t>New York, Praeger [1961-62]</t>
  </si>
  <si>
    <t>Books that matter</t>
  </si>
  <si>
    <t>2003-04-26</t>
  </si>
  <si>
    <t>3373126747:eng</t>
  </si>
  <si>
    <t>1327998</t>
  </si>
  <si>
    <t>991003695829702656</t>
  </si>
  <si>
    <t>2258543130002656</t>
  </si>
  <si>
    <t>32285002861150</t>
  </si>
  <si>
    <t>893435316</t>
  </si>
  <si>
    <t>32285002861143</t>
  </si>
  <si>
    <t>893410574</t>
  </si>
  <si>
    <t>NA310 .S6</t>
  </si>
  <si>
    <t>0                      NA 0310000S  6</t>
  </si>
  <si>
    <t>Architectural symbolism of imperial Rome and the Middle Ages.</t>
  </si>
  <si>
    <t>Smith, E. Baldwin (Earl Baldwin), 1888-1956.</t>
  </si>
  <si>
    <t>Princeton : Princeton University Press, 1956.</t>
  </si>
  <si>
    <t>Princeton monographs in art and archaeology ; 30</t>
  </si>
  <si>
    <t>1998-01-22</t>
  </si>
  <si>
    <t>1991-02-14</t>
  </si>
  <si>
    <t>1483554:eng</t>
  </si>
  <si>
    <t>513643</t>
  </si>
  <si>
    <t>991002894799702656</t>
  </si>
  <si>
    <t>2262461460002656</t>
  </si>
  <si>
    <t>32285000510551</t>
  </si>
  <si>
    <t>893622875</t>
  </si>
  <si>
    <t>NA310 .T45 1995</t>
  </si>
  <si>
    <t>0                      NA 0310000T  45          1995</t>
  </si>
  <si>
    <t>Roman architecture / Martin Thorpe.</t>
  </si>
  <si>
    <t>Thorpe, Martin.</t>
  </si>
  <si>
    <t>London : Bristol Classical Press, 1995.</t>
  </si>
  <si>
    <t>Classical world series</t>
  </si>
  <si>
    <t>2009-12-12</t>
  </si>
  <si>
    <t>2001-04-09</t>
  </si>
  <si>
    <t>6163099:eng</t>
  </si>
  <si>
    <t>34339748</t>
  </si>
  <si>
    <t>991003500299702656</t>
  </si>
  <si>
    <t>2263150320002656</t>
  </si>
  <si>
    <t>9781853994210</t>
  </si>
  <si>
    <t>32285004310727</t>
  </si>
  <si>
    <t>893805829</t>
  </si>
  <si>
    <t>NA310 .W55 2000</t>
  </si>
  <si>
    <t>0                      NA 0310000W  55          2000</t>
  </si>
  <si>
    <t>Principles of Roman architecture / Mark Wilson Jones.</t>
  </si>
  <si>
    <t>Wilson Jones, Mark, 1956-</t>
  </si>
  <si>
    <t>New Haven, Conn. : Yale University Press, c2000.</t>
  </si>
  <si>
    <t>2009-05-11</t>
  </si>
  <si>
    <t>672213:eng</t>
  </si>
  <si>
    <t>41035350</t>
  </si>
  <si>
    <t>991005310559702656</t>
  </si>
  <si>
    <t>2257801510002656</t>
  </si>
  <si>
    <t>9780300081381</t>
  </si>
  <si>
    <t>32285005531875</t>
  </si>
  <si>
    <t>893443744</t>
  </si>
  <si>
    <t>NA323 .L4</t>
  </si>
  <si>
    <t>0                      NA 0323000L  4</t>
  </si>
  <si>
    <t>Temples in Roman Britain, by M. J. T. Lewis.</t>
  </si>
  <si>
    <t>Lewis, M. J. T., 1938-</t>
  </si>
  <si>
    <t>Cambridge, Cambridge U. P., 1966.</t>
  </si>
  <si>
    <t>Cambridge classical studies</t>
  </si>
  <si>
    <t>1746359:eng</t>
  </si>
  <si>
    <t>679330</t>
  </si>
  <si>
    <t>991003137809702656</t>
  </si>
  <si>
    <t>2269709940002656</t>
  </si>
  <si>
    <t>32285002861168</t>
  </si>
  <si>
    <t>893598304</t>
  </si>
  <si>
    <t>NA324 .D8 1994</t>
  </si>
  <si>
    <t>0                      NA 0324000D  8           1994</t>
  </si>
  <si>
    <t>The villas of Pliny from antiquity to posterity / Pierre de la Ruffinière du Prey.</t>
  </si>
  <si>
    <t>Du Prey, Pierre de la Ruffinière.</t>
  </si>
  <si>
    <t>Chicago : University of Chicago Press, c1994.</t>
  </si>
  <si>
    <t>2006-11-26</t>
  </si>
  <si>
    <t>1996-04-28</t>
  </si>
  <si>
    <t>1089993:eng</t>
  </si>
  <si>
    <t>29548193</t>
  </si>
  <si>
    <t>991002276789702656</t>
  </si>
  <si>
    <t>2270921700002656</t>
  </si>
  <si>
    <t>9780226173009</t>
  </si>
  <si>
    <t>32285002158219</t>
  </si>
  <si>
    <t>893226649</t>
  </si>
  <si>
    <t>NA327.T5 M23 1995</t>
  </si>
  <si>
    <t>0                      NA 0327000T  5                  M  23          1995</t>
  </si>
  <si>
    <t>Hadrian's villa and its legacy / William L. MacDonald and John A. Pinto.</t>
  </si>
  <si>
    <t>MacDonald, William L. (William Lloyd), 1921-</t>
  </si>
  <si>
    <t>New Haven : Yale University Press, c1995.</t>
  </si>
  <si>
    <t>2003-03-28</t>
  </si>
  <si>
    <t>2000-01-05</t>
  </si>
  <si>
    <t>10792744073:eng</t>
  </si>
  <si>
    <t>30734581</t>
  </si>
  <si>
    <t>991002362719702656</t>
  </si>
  <si>
    <t>2264338880002656</t>
  </si>
  <si>
    <t>9780300053814</t>
  </si>
  <si>
    <t>32285003636908</t>
  </si>
  <si>
    <t>893529871</t>
  </si>
  <si>
    <t>NA335.I68 S45 1997</t>
  </si>
  <si>
    <t>0                      NA 0335000I  68                 S  45          1997</t>
  </si>
  <si>
    <t>From function to monument : urban landscapes of Roman Palestine, Syria and Provincia Arabia / Arthur Segal.</t>
  </si>
  <si>
    <t>Segal, Arthur.</t>
  </si>
  <si>
    <t>Oxford : Oxbow, c1997.</t>
  </si>
  <si>
    <t>Oxbow monograph ; 66</t>
  </si>
  <si>
    <t>2008-04-20</t>
  </si>
  <si>
    <t>1998-04-16</t>
  </si>
  <si>
    <t>808137202:eng</t>
  </si>
  <si>
    <t>37245522</t>
  </si>
  <si>
    <t>991002828569702656</t>
  </si>
  <si>
    <t>2266553940002656</t>
  </si>
  <si>
    <t>9781900188135</t>
  </si>
  <si>
    <t>32285003375200</t>
  </si>
  <si>
    <t>893504866</t>
  </si>
  <si>
    <t>NA340.V5 M34 1985</t>
  </si>
  <si>
    <t>0                      NA 0340000V  5                  M  34          1985</t>
  </si>
  <si>
    <t>Vitruvius, architect and engineer : buildings and building techniques in Augustan Rome / Alexander McKay.</t>
  </si>
  <si>
    <t>McKay, Alexander G., 1924-2007.</t>
  </si>
  <si>
    <t>Bristol [Eng.] : Bristol Classical Press, 1985.</t>
  </si>
  <si>
    <t>Inside the ancient world</t>
  </si>
  <si>
    <t>2005-10-11</t>
  </si>
  <si>
    <t>7184361:eng</t>
  </si>
  <si>
    <t>13519548</t>
  </si>
  <si>
    <t>991000838529702656</t>
  </si>
  <si>
    <t>2268785030002656</t>
  </si>
  <si>
    <t>9780862921576</t>
  </si>
  <si>
    <t>32285001654259</t>
  </si>
  <si>
    <t>893884809</t>
  </si>
  <si>
    <t>NA350 .H26 1972b</t>
  </si>
  <si>
    <t>0                      NA 0350000H  26          1972b</t>
  </si>
  <si>
    <t>The mediaeval architect / [by] John Harvey.</t>
  </si>
  <si>
    <t>Harvey, John, 1911-1997.</t>
  </si>
  <si>
    <t>New York : St. Martin's Press, [1972]</t>
  </si>
  <si>
    <t>1995-02-28</t>
  </si>
  <si>
    <t>119932579:eng</t>
  </si>
  <si>
    <t>2780553</t>
  </si>
  <si>
    <t>991004239759702656</t>
  </si>
  <si>
    <t>2262980680002656</t>
  </si>
  <si>
    <t>32285001034585</t>
  </si>
  <si>
    <t>893500312</t>
  </si>
  <si>
    <t>NA350 .S2</t>
  </si>
  <si>
    <t>0                      NA 0350000S  2</t>
  </si>
  <si>
    <t>Medieval architecture : European architecture, 600-1200.</t>
  </si>
  <si>
    <t>Saalman, Howard.</t>
  </si>
  <si>
    <t>1998-12-09</t>
  </si>
  <si>
    <t>1992-05-13</t>
  </si>
  <si>
    <t>464381:eng</t>
  </si>
  <si>
    <t>964981</t>
  </si>
  <si>
    <t>991003428149702656</t>
  </si>
  <si>
    <t>2261625680002656</t>
  </si>
  <si>
    <t>32285001108520</t>
  </si>
  <si>
    <t>893623469</t>
  </si>
  <si>
    <t>NA3552.A1 L56 1999</t>
  </si>
  <si>
    <t>0                      NA 3552000A  1                  L  56          1999</t>
  </si>
  <si>
    <t>Stuccowork and painting in Roman Italy / Roger Ling.</t>
  </si>
  <si>
    <t>Ling, Roger.</t>
  </si>
  <si>
    <t>Brookfield, VT : Ashgate, 1999.</t>
  </si>
  <si>
    <t>vtu</t>
  </si>
  <si>
    <t>Variorum collected studies series ; CS649</t>
  </si>
  <si>
    <t>2009-12-03</t>
  </si>
  <si>
    <t>2000-01-12</t>
  </si>
  <si>
    <t>23638006:eng</t>
  </si>
  <si>
    <t>40668231</t>
  </si>
  <si>
    <t>991003001669702656</t>
  </si>
  <si>
    <t>2255082180002656</t>
  </si>
  <si>
    <t>9780860787860</t>
  </si>
  <si>
    <t>32285003640843</t>
  </si>
  <si>
    <t>893329838</t>
  </si>
  <si>
    <t>NA360 .M3</t>
  </si>
  <si>
    <t>0                      NA 0360000M  3</t>
  </si>
  <si>
    <t>Early Christian &amp; Byzantine architecture.</t>
  </si>
  <si>
    <t>New York, G. Braziller, 1962.</t>
  </si>
  <si>
    <t>2009-09-04</t>
  </si>
  <si>
    <t>4918317714:eng</t>
  </si>
  <si>
    <t>512456</t>
  </si>
  <si>
    <t>991002892779702656</t>
  </si>
  <si>
    <t>2263287620002656</t>
  </si>
  <si>
    <t>32285003170122</t>
  </si>
  <si>
    <t>893440656</t>
  </si>
  <si>
    <t>NA3750 .D37 1985</t>
  </si>
  <si>
    <t>0                      NA 3750000D  37          1985</t>
  </si>
  <si>
    <t>Dionysos der Erlöser : Griechische Mythen im spätantiken Cypern / Wiktor A. Daszewski.</t>
  </si>
  <si>
    <t>Daszewski, Wiktor Andrzej.</t>
  </si>
  <si>
    <t>Mainz am Rhein : Philipp von Zabern, 1985.</t>
  </si>
  <si>
    <t>ger</t>
  </si>
  <si>
    <t>Trierer Beiträge zur Altertumskunde ; Bd. 2</t>
  </si>
  <si>
    <t>2002-11-11</t>
  </si>
  <si>
    <t>197118083:ger</t>
  </si>
  <si>
    <t>14167021</t>
  </si>
  <si>
    <t>991000825239702656</t>
  </si>
  <si>
    <t>2268875410002656</t>
  </si>
  <si>
    <t>9783805308472</t>
  </si>
  <si>
    <t>32285001657914</t>
  </si>
  <si>
    <t>893772006</t>
  </si>
  <si>
    <t>NA3750 .H43</t>
  </si>
  <si>
    <t>0                      NA 3750000H  43</t>
  </si>
  <si>
    <t>Mosaics.</t>
  </si>
  <si>
    <t>Hetherington, Paul.</t>
  </si>
  <si>
    <t>London : Hamlyn, [1967]</t>
  </si>
  <si>
    <t>The Colour library of art</t>
  </si>
  <si>
    <t>2007-03-08</t>
  </si>
  <si>
    <t>1994-05-24</t>
  </si>
  <si>
    <t>1504403:eng</t>
  </si>
  <si>
    <t>517325</t>
  </si>
  <si>
    <t>991002901129702656</t>
  </si>
  <si>
    <t>2255104600002656</t>
  </si>
  <si>
    <t>32285001913283</t>
  </si>
  <si>
    <t>893335875</t>
  </si>
  <si>
    <t>NA3750 .J4</t>
  </si>
  <si>
    <t>0                      NA 3750000J  4</t>
  </si>
  <si>
    <t>The art of making mosaics, by Louisa Jenkins and Barbara Mills.</t>
  </si>
  <si>
    <t>Jenkins, Louisa.</t>
  </si>
  <si>
    <t>Princeton, N.J., Van Nostrand [1957]</t>
  </si>
  <si>
    <t>2005-03-01</t>
  </si>
  <si>
    <t>1509934:eng</t>
  </si>
  <si>
    <t>518799</t>
  </si>
  <si>
    <t>991002904449702656</t>
  </si>
  <si>
    <t>2255942440002656</t>
  </si>
  <si>
    <t>32285002862372</t>
  </si>
  <si>
    <t>893893155</t>
  </si>
  <si>
    <t>NA3750 .L64 1967</t>
  </si>
  <si>
    <t>0                      NA 3750000L  64          1967</t>
  </si>
  <si>
    <t>Modern mosaic techniques / by Janice Lovoos and Felice Paramore.</t>
  </si>
  <si>
    <t>Lovoos, Janice.</t>
  </si>
  <si>
    <t>New York : Watson-Guptill Publications, [1967]</t>
  </si>
  <si>
    <t>2000-02-24</t>
  </si>
  <si>
    <t>1759806:eng</t>
  </si>
  <si>
    <t>588028</t>
  </si>
  <si>
    <t>991003023129702656</t>
  </si>
  <si>
    <t>2270241220002656</t>
  </si>
  <si>
    <t>32285001657922</t>
  </si>
  <si>
    <t>893904215</t>
  </si>
  <si>
    <t>NA3760 .U5</t>
  </si>
  <si>
    <t>0                      NA 3760000U  5</t>
  </si>
  <si>
    <t>Tunisia: ancient mosaics. Pref. [by] Giacomo Caputo. Introd. [by] Abdelaziz Driss.</t>
  </si>
  <si>
    <t>Unesco.</t>
  </si>
  <si>
    <t>[Greenwich, Conn.] New York Graphic Society [1962]</t>
  </si>
  <si>
    <t>UNESCO world art series ; 18</t>
  </si>
  <si>
    <t>308431316:eng</t>
  </si>
  <si>
    <t>338284</t>
  </si>
  <si>
    <t>991002404019702656</t>
  </si>
  <si>
    <t>2257051100002656</t>
  </si>
  <si>
    <t>32285002862398</t>
  </si>
  <si>
    <t>893886234</t>
  </si>
  <si>
    <t>NA3770 .C52</t>
  </si>
  <si>
    <t>0                      NA 3770000C  52</t>
  </si>
  <si>
    <t>Roman black-and-white figural mosaics / John R. Clarke.</t>
  </si>
  <si>
    <t>Clarke, John R., 1945-</t>
  </si>
  <si>
    <t>New York : Published by New York University Press for the College Art Association of America, 1979.</t>
  </si>
  <si>
    <t>Monographs on archaeology and fine arts ; 35</t>
  </si>
  <si>
    <t>3132542828:eng</t>
  </si>
  <si>
    <t>5028608</t>
  </si>
  <si>
    <t>991004764869702656</t>
  </si>
  <si>
    <t>2272354710002656</t>
  </si>
  <si>
    <t>9780814713761</t>
  </si>
  <si>
    <t>32285001657930</t>
  </si>
  <si>
    <t>893500924</t>
  </si>
  <si>
    <t>NA3770.G4 M6</t>
  </si>
  <si>
    <t>0                      NA 3770000G  4                  M  6</t>
  </si>
  <si>
    <t>Mosaics of Piazza Armerina; the hunting scenes. Translated by Brennan Wales.</t>
  </si>
  <si>
    <t>Gentili, Gino Vinicio.</t>
  </si>
  <si>
    <t>Milano, Arti Grafiche Ricordi 1964.</t>
  </si>
  <si>
    <t>1964</t>
  </si>
  <si>
    <t>1st. ed.</t>
  </si>
  <si>
    <t xml:space="preserve">it </t>
  </si>
  <si>
    <t>World painting</t>
  </si>
  <si>
    <t>2002-09-30</t>
  </si>
  <si>
    <t>956244860:eng</t>
  </si>
  <si>
    <t>2139967</t>
  </si>
  <si>
    <t>991004027289702656</t>
  </si>
  <si>
    <t>2268998650002656</t>
  </si>
  <si>
    <t>32285002862406</t>
  </si>
  <si>
    <t>893775511</t>
  </si>
  <si>
    <t>NA3780 .B663</t>
  </si>
  <si>
    <t>0                      NA 3780000B  663</t>
  </si>
  <si>
    <t>Ravenna mosaics ; the so-called Mausoleum of Galla Placidia, the Baptistery of the Cathedral, the Archiepiscopal Chapel, the Baptistery of the Arians, the Basilica San Apollinare nuovo, the Church of San Vitale, the Basilica of San Appolinare in Classe / [Translated by Gustina Scaglia]</t>
  </si>
  <si>
    <t>Bovini, Giuseppe.</t>
  </si>
  <si>
    <t>Greenwich, Conn. : New York Graphic Society, [1956]</t>
  </si>
  <si>
    <t>[The Great masters of the past, 4]</t>
  </si>
  <si>
    <t>1999-02-15</t>
  </si>
  <si>
    <t>1993-09-18</t>
  </si>
  <si>
    <t>8907279894:eng</t>
  </si>
  <si>
    <t>1631017</t>
  </si>
  <si>
    <t>991003846229702656</t>
  </si>
  <si>
    <t>2257178820002656</t>
  </si>
  <si>
    <t>32285001770501</t>
  </si>
  <si>
    <t>893775259</t>
  </si>
  <si>
    <t>NA3780 .D39 1976</t>
  </si>
  <si>
    <t>0                      NA 3780000D  39          1976</t>
  </si>
  <si>
    <t>Byzantine mosaic decoration : aspects of monumental art in Byzantium / Otto Demus.</t>
  </si>
  <si>
    <t>Demus, Otto.</t>
  </si>
  <si>
    <t>New Rochelle, N.Y. : Caratzas Bros., 1976.</t>
  </si>
  <si>
    <t>2008-04-23</t>
  </si>
  <si>
    <t>1990-08-03</t>
  </si>
  <si>
    <t>549300:eng</t>
  </si>
  <si>
    <t>2664844</t>
  </si>
  <si>
    <t>991004205539702656</t>
  </si>
  <si>
    <t>2260306200002656</t>
  </si>
  <si>
    <t>9780892410187</t>
  </si>
  <si>
    <t>32285000263797</t>
  </si>
  <si>
    <t>893253391</t>
  </si>
  <si>
    <t>NA3780 .U53</t>
  </si>
  <si>
    <t>0                      NA 3780000U  53</t>
  </si>
  <si>
    <t>Israel : ancient mosaics / Pref. [by] Meyer Schapiro. Introd. [by] Michael Avi-Yonah.</t>
  </si>
  <si>
    <t>[Greenwich, Conn.] New York Graphic Society [1960]</t>
  </si>
  <si>
    <t>Unesco world art series ; 14</t>
  </si>
  <si>
    <t>507619612:eng</t>
  </si>
  <si>
    <t>357998</t>
  </si>
  <si>
    <t>991002467629702656</t>
  </si>
  <si>
    <t>2265733870002656</t>
  </si>
  <si>
    <t>32285002696549</t>
  </si>
  <si>
    <t>893898784</t>
  </si>
  <si>
    <t>NA3788 .D45 1988</t>
  </si>
  <si>
    <t>0                      NA 3788000D  45          1988</t>
  </si>
  <si>
    <t>The mosaic decoration of San Marco, Venice / Otto Demus ; edited by Herbert L. Kessler.</t>
  </si>
  <si>
    <t>Chicago : University of Chicago Press, 1988.</t>
  </si>
  <si>
    <t>2006-11-20</t>
  </si>
  <si>
    <t>16757761:eng</t>
  </si>
  <si>
    <t>17732671</t>
  </si>
  <si>
    <t>991004986989702656</t>
  </si>
  <si>
    <t>2270923870002656</t>
  </si>
  <si>
    <t>9780226142913</t>
  </si>
  <si>
    <t>32285005260491</t>
  </si>
  <si>
    <t>893412163</t>
  </si>
  <si>
    <t>NA380 .H5 1964b</t>
  </si>
  <si>
    <t>0                      NA 0380000H  5           1964b</t>
  </si>
  <si>
    <t>Islamic architecture and its decoration, A.D. 800-1500 : a photographic survey / by Derek Hill. With an introductory text by Oleg Grabar.</t>
  </si>
  <si>
    <t>Hill, Derek.</t>
  </si>
  <si>
    <t>[Chicago] University of Chicago Press [c1964]</t>
  </si>
  <si>
    <t>2001-04-18</t>
  </si>
  <si>
    <t>1355194:eng</t>
  </si>
  <si>
    <t>1304107</t>
  </si>
  <si>
    <t>991003679579702656</t>
  </si>
  <si>
    <t>2268168280002656</t>
  </si>
  <si>
    <t>32285003170114</t>
  </si>
  <si>
    <t>893781268</t>
  </si>
  <si>
    <t>NA380 .M435 2001</t>
  </si>
  <si>
    <t>0                      NA 0380000M  435         2001</t>
  </si>
  <si>
    <t>A medieval Islamic city reconsidered : an interdisciplinary approach to Samarra / edited by Chase F. Robinson.</t>
  </si>
  <si>
    <t>Oxford : Oxford University Press, c2001.</t>
  </si>
  <si>
    <t>2001</t>
  </si>
  <si>
    <t>Oxford studies in Islamic art ; 14</t>
  </si>
  <si>
    <t>2008-01-20</t>
  </si>
  <si>
    <t>2002-09-11</t>
  </si>
  <si>
    <t>839223318:eng</t>
  </si>
  <si>
    <t>49413255</t>
  </si>
  <si>
    <t>991003865539702656</t>
  </si>
  <si>
    <t>2260077750002656</t>
  </si>
  <si>
    <t>9780197280249</t>
  </si>
  <si>
    <t>32285004646765</t>
  </si>
  <si>
    <t>893240688</t>
  </si>
  <si>
    <t>NA3850.R6 O15 1967b</t>
  </si>
  <si>
    <t>0                      NA 3850000R  6                  O  15          1967b</t>
  </si>
  <si>
    <t>The mosaics of Rome, from the third to the fourteenth centuries / [by] Walter Oakeshott.</t>
  </si>
  <si>
    <t>Oakeshott, Walter, 1903-1987.</t>
  </si>
  <si>
    <t>Greenwich, Conn. : New York Graphic Society, [1967]</t>
  </si>
  <si>
    <t>1992-11-16</t>
  </si>
  <si>
    <t>1412241:eng</t>
  </si>
  <si>
    <t>276137</t>
  </si>
  <si>
    <t>991002168499702656</t>
  </si>
  <si>
    <t>2261840530002656</t>
  </si>
  <si>
    <t>32285001405280</t>
  </si>
  <si>
    <t>893523273</t>
  </si>
  <si>
    <t>NA390 .B813 1960</t>
  </si>
  <si>
    <t>0                      NA 0390000B  813         1960</t>
  </si>
  <si>
    <t>Romanesque Europe / with an introd. by R.H.C. Davis. Edited by Harald Busch and Bernd Lohse. With commentaries on the illus. by Helmut Domke. [Translated by Peter Gorge.]</t>
  </si>
  <si>
    <t>Busch, Harald, 1904-1983 editor.</t>
  </si>
  <si>
    <t>New York : Macmillan, 1960, [c1959]</t>
  </si>
  <si>
    <t>Buildings of Europe</t>
  </si>
  <si>
    <t>2008-09-17</t>
  </si>
  <si>
    <t>1994-07-06</t>
  </si>
  <si>
    <t>10568088773:eng</t>
  </si>
  <si>
    <t>501201</t>
  </si>
  <si>
    <t>991002873489702656</t>
  </si>
  <si>
    <t>2256756260002656</t>
  </si>
  <si>
    <t>32285001936128</t>
  </si>
  <si>
    <t>893511298</t>
  </si>
  <si>
    <t>NA3950 .G74 1992</t>
  </si>
  <si>
    <t>0                      NA 3950000G  74          1992</t>
  </si>
  <si>
    <t>Treasury of ironwork designs : 469 examples from historical sources / selected and arranged by Carol Belanger Grafton.</t>
  </si>
  <si>
    <t>Grafton, Carol Belanger.</t>
  </si>
  <si>
    <t>New York : Dover Publications, c1992.</t>
  </si>
  <si>
    <t>Dover pictorial archive series</t>
  </si>
  <si>
    <t>2000-04-07</t>
  </si>
  <si>
    <t>1997-02-27</t>
  </si>
  <si>
    <t>836891901:eng</t>
  </si>
  <si>
    <t>25632713</t>
  </si>
  <si>
    <t>991002016859702656</t>
  </si>
  <si>
    <t>2268157130002656</t>
  </si>
  <si>
    <t>9780486271262</t>
  </si>
  <si>
    <t>32285002434032</t>
  </si>
  <si>
    <t>893322473</t>
  </si>
  <si>
    <t>NA423.B86 A2</t>
  </si>
  <si>
    <t>0                      NA 0423000B  86                 A  2</t>
  </si>
  <si>
    <t>The architecture of Michelangelo [by] James S. Ackerman. With a catalogue of Michelangelo's works by James S. Ackerman and John Newman.</t>
  </si>
  <si>
    <t>Ackerman, James S.</t>
  </si>
  <si>
    <t>[Harmondsworth, Eng., Baltimore, Penguin Books, c1971]</t>
  </si>
  <si>
    <t>Pelican books</t>
  </si>
  <si>
    <t>1999-03-11</t>
  </si>
  <si>
    <t>1998-03-06</t>
  </si>
  <si>
    <t>9593616231:eng</t>
  </si>
  <si>
    <t>7865300</t>
  </si>
  <si>
    <t>991005170709702656</t>
  </si>
  <si>
    <t>2270374330002656</t>
  </si>
  <si>
    <t>32285003261129</t>
  </si>
  <si>
    <t>893260662</t>
  </si>
  <si>
    <t>NA4412.N2 N4</t>
  </si>
  <si>
    <t>0                      NA 4412000N  2                  N  4</t>
  </si>
  <si>
    <t>Nebraska's memorial capitol / by Leonard R. Nelson.</t>
  </si>
  <si>
    <t>Nelson, Leonard Rowell.</t>
  </si>
  <si>
    <t>Lincoln, Neb. : [Printed by Woodruff printing company], 1931.</t>
  </si>
  <si>
    <t>1931</t>
  </si>
  <si>
    <t>2009-10-15</t>
  </si>
  <si>
    <t>1993-08-03</t>
  </si>
  <si>
    <t>9548371:eng</t>
  </si>
  <si>
    <t>3317187</t>
  </si>
  <si>
    <t>991004405019702656</t>
  </si>
  <si>
    <t>2266180860002656</t>
  </si>
  <si>
    <t>32285001748440</t>
  </si>
  <si>
    <t>893882440</t>
  </si>
  <si>
    <t>NA4413.L56 H37 1990</t>
  </si>
  <si>
    <t>0                      NA 4413000L  56                 H  37          1990</t>
  </si>
  <si>
    <t>A Harmony of the arts : the Nebraska state capitol / edited by Frederick C. Luebke.</t>
  </si>
  <si>
    <t>Lincoln : University of Nebraska Press, c1990.</t>
  </si>
  <si>
    <t>nbu</t>
  </si>
  <si>
    <t>1990-07-20</t>
  </si>
  <si>
    <t>836864433:eng</t>
  </si>
  <si>
    <t>19323830</t>
  </si>
  <si>
    <t>991001450059702656</t>
  </si>
  <si>
    <t>2268804800002656</t>
  </si>
  <si>
    <t>9780803228870</t>
  </si>
  <si>
    <t>32285000209915</t>
  </si>
  <si>
    <t>893439147</t>
  </si>
  <si>
    <t>NA4415.G3 B44 2000</t>
  </si>
  <si>
    <t>0                      NA 4415000G  3                  B  44          2000</t>
  </si>
  <si>
    <t>Rebuilding the Reichstag / Norman Foster.</t>
  </si>
  <si>
    <t>Foster, Norman, 1935-</t>
  </si>
  <si>
    <t>Woodstock, N.Y. : Overlook Press, 2000.</t>
  </si>
  <si>
    <t>2007-06-01</t>
  </si>
  <si>
    <t>2003-03-13</t>
  </si>
  <si>
    <t>26865041:eng</t>
  </si>
  <si>
    <t>41649612</t>
  </si>
  <si>
    <t>991004012449702656</t>
  </si>
  <si>
    <t>2260047590002656</t>
  </si>
  <si>
    <t>9780879517151</t>
  </si>
  <si>
    <t>32285004683933</t>
  </si>
  <si>
    <t>893599315</t>
  </si>
  <si>
    <t>NA4415.G3 B4713 2000</t>
  </si>
  <si>
    <t>0                      NA 4415000G  3                  B  4713        2000</t>
  </si>
  <si>
    <t>The Reichstag : the Parliament building by Norman Foster / Bernhard Schulz ; foreword, Wolfgang Thierse ; preface, Norman Foster.</t>
  </si>
  <si>
    <t>Schulz, Bernhard, 1953-</t>
  </si>
  <si>
    <t>Munich ; New York : Prestel, c2000.</t>
  </si>
  <si>
    <t>2004-11-08</t>
  </si>
  <si>
    <t>2003-04-09</t>
  </si>
  <si>
    <t>1102068738:eng</t>
  </si>
  <si>
    <t>45669102</t>
  </si>
  <si>
    <t>991004012329702656</t>
  </si>
  <si>
    <t>2272696520002656</t>
  </si>
  <si>
    <t>9783791321530</t>
  </si>
  <si>
    <t>32285004741483</t>
  </si>
  <si>
    <t>893531872</t>
  </si>
  <si>
    <t>NA4415.G72 L664</t>
  </si>
  <si>
    <t>0                      NA 4415000G  72                 L  664</t>
  </si>
  <si>
    <t>The Houses of Parliament / edited by M. H. Port.</t>
  </si>
  <si>
    <t>New Haven : Published for the Paul Mellon Centre for Studies in British Art (London) by Yale University Press, 1976.</t>
  </si>
  <si>
    <t>Studies in British art</t>
  </si>
  <si>
    <t>1998-02-27</t>
  </si>
  <si>
    <t>54140480:eng</t>
  </si>
  <si>
    <t>2572927</t>
  </si>
  <si>
    <t>991004168589702656</t>
  </si>
  <si>
    <t>2263866000002656</t>
  </si>
  <si>
    <t>9780300020229</t>
  </si>
  <si>
    <t>32285002862471</t>
  </si>
  <si>
    <t>893423468</t>
  </si>
  <si>
    <t>NA4443.W3 R9 1980</t>
  </si>
  <si>
    <t>0                      NA 4443000W  3                  R  9           1980</t>
  </si>
  <si>
    <t>The White House : an architectural history / by William Ryan and Desmond Guinness.</t>
  </si>
  <si>
    <t>Ryan, William, 1914-</t>
  </si>
  <si>
    <t>2009-03-04</t>
  </si>
  <si>
    <t>406334:eng</t>
  </si>
  <si>
    <t>5992351</t>
  </si>
  <si>
    <t>991004911409702656</t>
  </si>
  <si>
    <t>2261688820002656</t>
  </si>
  <si>
    <t>9780070543522</t>
  </si>
  <si>
    <t>32285001657963</t>
  </si>
  <si>
    <t>893801487</t>
  </si>
  <si>
    <t>NA4817 .W55 1990</t>
  </si>
  <si>
    <t>0                      NA 4817000W  55          1990</t>
  </si>
  <si>
    <t>Building God's house in the Roman world : architectural adaptation among pagans, Jews, and Christians / L. Michael White.</t>
  </si>
  <si>
    <t>White, L. Michael.</t>
  </si>
  <si>
    <t>Baltimore, Md. : Published for the American Schools of Oriental Research by Johns Hopkins University Press, c1990.</t>
  </si>
  <si>
    <t>ASOR library of biblical and Near Eastern archaeology</t>
  </si>
  <si>
    <t>2006-04-24</t>
  </si>
  <si>
    <t>1990-06-22</t>
  </si>
  <si>
    <t>808832668:eng</t>
  </si>
  <si>
    <t>19626119</t>
  </si>
  <si>
    <t>991001481369702656</t>
  </si>
  <si>
    <t>2264663330002656</t>
  </si>
  <si>
    <t>9780801839061</t>
  </si>
  <si>
    <t>32285000179407</t>
  </si>
  <si>
    <t>893420361</t>
  </si>
  <si>
    <t>NA4820 .A5</t>
  </si>
  <si>
    <t>0                      NA 4820000A  5</t>
  </si>
  <si>
    <t>Churches, their plan and furnishing / illus. by the author. Rev. and ed. by Thomas F. Croft-Fraser and H. A. Reinhold.</t>
  </si>
  <si>
    <t>Anson, Peter F. (Peter Frederick), 1889-1975.</t>
  </si>
  <si>
    <t>Milwaukee : Bruce Pub. Co., [1948]</t>
  </si>
  <si>
    <t>1948</t>
  </si>
  <si>
    <t>wiu</t>
  </si>
  <si>
    <t>1996-09-19</t>
  </si>
  <si>
    <t>2193594:eng</t>
  </si>
  <si>
    <t>1317632</t>
  </si>
  <si>
    <t>991003688519702656</t>
  </si>
  <si>
    <t>2269313750002656</t>
  </si>
  <si>
    <t>32285000597392</t>
  </si>
  <si>
    <t>893324346</t>
  </si>
  <si>
    <t>NA4820 .S4 1963</t>
  </si>
  <si>
    <t>0                      NA 4820000S  4           1963</t>
  </si>
  <si>
    <t>The house of God : sacred art and church architecture / R. Kevin Seasoltz.</t>
  </si>
  <si>
    <t>Seasoltz, R. Kevin.</t>
  </si>
  <si>
    <t>[New York] : Herder and Herder, [1963]</t>
  </si>
  <si>
    <t>1996-09-17</t>
  </si>
  <si>
    <t>1992-11-23</t>
  </si>
  <si>
    <t>366952267:eng</t>
  </si>
  <si>
    <t>772195</t>
  </si>
  <si>
    <t>991003247409702656</t>
  </si>
  <si>
    <t>2264308720002656</t>
  </si>
  <si>
    <t>32285001408094</t>
  </si>
  <si>
    <t>893774554</t>
  </si>
  <si>
    <t>NA4829.M67 A53 1978</t>
  </si>
  <si>
    <t>0                      NA 4829000M  67                 A  53          1978</t>
  </si>
  <si>
    <t>The early temples of the Mormons : the architecture of the Millennial Kingdom in the American West / Laurel B. Andrew.</t>
  </si>
  <si>
    <t>Andrew, Laurel B.</t>
  </si>
  <si>
    <t>Albany : State University of New York Press, 1978, c1977.</t>
  </si>
  <si>
    <t>2004-09-08</t>
  </si>
  <si>
    <t>521360:eng</t>
  </si>
  <si>
    <t>3167538</t>
  </si>
  <si>
    <t>991004361289702656</t>
  </si>
  <si>
    <t>2262149500002656</t>
  </si>
  <si>
    <t>9780873953580</t>
  </si>
  <si>
    <t>32285001658011</t>
  </si>
  <si>
    <t>893800889</t>
  </si>
  <si>
    <t>NA4830 .A52 1985b</t>
  </si>
  <si>
    <t>0                      NA 4830000A  52          1985b</t>
  </si>
  <si>
    <t>The rise of the Gothic / William Anderson ; photography by Clive Hicks.</t>
  </si>
  <si>
    <t>Anderson, William, 1935-</t>
  </si>
  <si>
    <t>Salem, N.H. : Salem House, 1985.</t>
  </si>
  <si>
    <t>nhu</t>
  </si>
  <si>
    <t>2006-10-18</t>
  </si>
  <si>
    <t>1992-05-12</t>
  </si>
  <si>
    <t>5584170:eng</t>
  </si>
  <si>
    <t>12727527</t>
  </si>
  <si>
    <t>991000731729702656</t>
  </si>
  <si>
    <t>2266268590002656</t>
  </si>
  <si>
    <t>9780881621099</t>
  </si>
  <si>
    <t>32285001108512</t>
  </si>
  <si>
    <t>893261586</t>
  </si>
  <si>
    <t>NA4830 .G5313 1984</t>
  </si>
  <si>
    <t>0                      NA 4830000G  5313        1984</t>
  </si>
  <si>
    <t>The cathedral builders / by Jean Gimpel ; translated by Teresa Waugh.</t>
  </si>
  <si>
    <t>Gimpel, Jean.</t>
  </si>
  <si>
    <t>New York : Harper &amp; Row, 1984, c1983.</t>
  </si>
  <si>
    <t>1st Harper colophon ed.</t>
  </si>
  <si>
    <t>Harper colophon books</t>
  </si>
  <si>
    <t>2008-05-14</t>
  </si>
  <si>
    <t>9593910867:eng</t>
  </si>
  <si>
    <t>10799301</t>
  </si>
  <si>
    <t>991005220849702656</t>
  </si>
  <si>
    <t>2269866590002656</t>
  </si>
  <si>
    <t>9780060911584</t>
  </si>
  <si>
    <t>32285005407795</t>
  </si>
  <si>
    <t>893254669</t>
  </si>
  <si>
    <t>NA4830 .H67 1968</t>
  </si>
  <si>
    <t>0                      NA 4830000H  67          1968</t>
  </si>
  <si>
    <t>The Horizon book of great cathedrals / by the editors of Horizon magazine. Editor in charge: Jay Jacobs. Introd. by Zoe Oldenbourg.</t>
  </si>
  <si>
    <t>New York : American Heritage Pub. Co. ; book distributed by Houghton Mifflin, Boston, [1968]</t>
  </si>
  <si>
    <t>1996-01-18</t>
  </si>
  <si>
    <t>1992-06-30</t>
  </si>
  <si>
    <t>302987527:eng</t>
  </si>
  <si>
    <t>449235</t>
  </si>
  <si>
    <t>991002805149702656</t>
  </si>
  <si>
    <t>2265195110002656</t>
  </si>
  <si>
    <t>32285001145951</t>
  </si>
  <si>
    <t>893227300</t>
  </si>
  <si>
    <t>NA497.E53 T48 1975b</t>
  </si>
  <si>
    <t>0                      NA 0497000E  53                 T  48          1975b</t>
  </si>
  <si>
    <t>Military architecture in medieval England / by A. Hamilton Thompson.</t>
  </si>
  <si>
    <t>Thompson, A. Hamilton (Alexander Hamilton), 1873-1952.</t>
  </si>
  <si>
    <t>East Ardsley, Eng. : EP Pub. ; Totowa, N.J. : Rowman &amp; Littlefield, 1975.</t>
  </si>
  <si>
    <t>2006-11-11</t>
  </si>
  <si>
    <t>1992-07-08</t>
  </si>
  <si>
    <t>3855350433:eng</t>
  </si>
  <si>
    <t>1176883</t>
  </si>
  <si>
    <t>991003599159702656</t>
  </si>
  <si>
    <t>2269482610002656</t>
  </si>
  <si>
    <t>9780874716849</t>
  </si>
  <si>
    <t>32285001187250</t>
  </si>
  <si>
    <t>893422736</t>
  </si>
  <si>
    <t>NA500 .F75</t>
  </si>
  <si>
    <t>0                      NA 0500000F  75</t>
  </si>
  <si>
    <t>Modern architecture : a critical history / Kenneth Frampton.</t>
  </si>
  <si>
    <t>Frampton, Kenneth.</t>
  </si>
  <si>
    <t>New York : Oxford University Press, 1980.</t>
  </si>
  <si>
    <t>World of art</t>
  </si>
  <si>
    <t>1999-04-23</t>
  </si>
  <si>
    <t>1993-08-05</t>
  </si>
  <si>
    <t>3291695:eng</t>
  </si>
  <si>
    <t>5497803</t>
  </si>
  <si>
    <t>991004840739702656</t>
  </si>
  <si>
    <t>2264871050002656</t>
  </si>
  <si>
    <t>9780195201789</t>
  </si>
  <si>
    <t>32285001750883</t>
  </si>
  <si>
    <t>893526578</t>
  </si>
  <si>
    <t>NA510 .J3 1975, v...</t>
  </si>
  <si>
    <t>0                      NA 0510000J  3           1975                                        v...</t>
  </si>
  <si>
    <t>The renaissance of Roman architecture / Sir Thomas Graham Jackson.</t>
  </si>
  <si>
    <t>V.3</t>
  </si>
  <si>
    <t>Jackson, Thomas Graham, Sir, 1835-1924.</t>
  </si>
  <si>
    <t>New York : Hacker Art Books, 1975-</t>
  </si>
  <si>
    <t>1996-03-13</t>
  </si>
  <si>
    <t>2733944:eng</t>
  </si>
  <si>
    <t>1928737</t>
  </si>
  <si>
    <t>991003940409702656</t>
  </si>
  <si>
    <t>2257197100002656</t>
  </si>
  <si>
    <t>9780878170913</t>
  </si>
  <si>
    <t>32285001654325</t>
  </si>
  <si>
    <t>893894379</t>
  </si>
  <si>
    <t>32285001654309</t>
  </si>
  <si>
    <t>893894380</t>
  </si>
  <si>
    <t>32285001654317</t>
  </si>
  <si>
    <t>893888130</t>
  </si>
  <si>
    <t>NA510 .L6</t>
  </si>
  <si>
    <t>0                      NA 0510000L  6</t>
  </si>
  <si>
    <t>Renaissance architecture.</t>
  </si>
  <si>
    <t>Lowry, Bates, 1923-2004.</t>
  </si>
  <si>
    <t>London, Prentice-Hall International; New York, G. Braziller [1962]</t>
  </si>
  <si>
    <t>The Great ages of world architecture.</t>
  </si>
  <si>
    <t>2000-09-08</t>
  </si>
  <si>
    <t>1479679:eng</t>
  </si>
  <si>
    <t>1362785</t>
  </si>
  <si>
    <t>991003716999702656</t>
  </si>
  <si>
    <t>2258942380002656</t>
  </si>
  <si>
    <t>32285002861192</t>
  </si>
  <si>
    <t>893416710</t>
  </si>
  <si>
    <t>NA5205 .W55 1997</t>
  </si>
  <si>
    <t>0                      NA 5205000W  55          1997</t>
  </si>
  <si>
    <t>Houses of God : region, religion, and architecture in the United States / Peter W. Williams.</t>
  </si>
  <si>
    <t>Williams, Peter W.</t>
  </si>
  <si>
    <t>Urbana : University of Illinois Press, c1997.</t>
  </si>
  <si>
    <t>Public expressions of religion in America</t>
  </si>
  <si>
    <t>1999-04-13</t>
  </si>
  <si>
    <t>43720:eng</t>
  </si>
  <si>
    <t>35121684</t>
  </si>
  <si>
    <t>991002688439702656</t>
  </si>
  <si>
    <t>2258567200002656</t>
  </si>
  <si>
    <t>9780252019067</t>
  </si>
  <si>
    <t>32285003492583</t>
  </si>
  <si>
    <t>893227157</t>
  </si>
  <si>
    <t>NA5207 .U68 1986</t>
  </si>
  <si>
    <t>0                      NA 5207000U  68          1986</t>
  </si>
  <si>
    <t>Holy things and profane : Anglican parish churches in colonial Virginia / Dell Upton.</t>
  </si>
  <si>
    <t>Upton, Dell.</t>
  </si>
  <si>
    <t>New York, N.Y. : Architectural History Foundation ; Cambridge, Mass. : MIT Press, c1986.</t>
  </si>
  <si>
    <t>Architectural History Foundation books ; 10</t>
  </si>
  <si>
    <t>1999-03-31</t>
  </si>
  <si>
    <t>1990-02-08</t>
  </si>
  <si>
    <t>836691333:eng</t>
  </si>
  <si>
    <t>12972939</t>
  </si>
  <si>
    <t>991000760599702656</t>
  </si>
  <si>
    <t>2263685100002656</t>
  </si>
  <si>
    <t>9780262210089</t>
  </si>
  <si>
    <t>32285000034008</t>
  </si>
  <si>
    <t>893521989</t>
  </si>
  <si>
    <t>NA5210 .S7</t>
  </si>
  <si>
    <t>0                      NA 5210000S  7</t>
  </si>
  <si>
    <t>The Gothic revival &amp; American church architecture; an episode in taste, 1840-1856 [by] Phoebe B. Stanton.</t>
  </si>
  <si>
    <t>Stanton, Phoebe B.</t>
  </si>
  <si>
    <t>Baltimore, Johns Hopkins Press [1968]</t>
  </si>
  <si>
    <t>The Johns Hopkins studies in nineteenth-century architecture</t>
  </si>
  <si>
    <t>1999-02-20</t>
  </si>
  <si>
    <t>837048865:eng</t>
  </si>
  <si>
    <t>385717</t>
  </si>
  <si>
    <t>991002645519702656</t>
  </si>
  <si>
    <t>2258842440002656</t>
  </si>
  <si>
    <t>32285002862588</t>
  </si>
  <si>
    <t>893691829</t>
  </si>
  <si>
    <t>NA5453 .C35 1998</t>
  </si>
  <si>
    <t>0                      NA 5453000C  35          1998</t>
  </si>
  <si>
    <t>Medieval architecture in Western Europe : from A.D. 300 to 1500 / Robert G. Calkins.</t>
  </si>
  <si>
    <t>Calkins, Robert G.</t>
  </si>
  <si>
    <t>New York : Oxford University Press, 1998.</t>
  </si>
  <si>
    <t>2010-02-13</t>
  </si>
  <si>
    <t>1999-03-23</t>
  </si>
  <si>
    <t>597148:eng</t>
  </si>
  <si>
    <t>36528313</t>
  </si>
  <si>
    <t>991004624769702656</t>
  </si>
  <si>
    <t>2262794970002656</t>
  </si>
  <si>
    <t>9780195112412</t>
  </si>
  <si>
    <t>32285003533196</t>
  </si>
  <si>
    <t>893247782</t>
  </si>
  <si>
    <t>NA5463 .M64 1979</t>
  </si>
  <si>
    <t>0                      NA 5463000M  64          1979</t>
  </si>
  <si>
    <t>Cathedrals and abbeys of England and Wales : the building church, 600-1540 / Richard Morris.</t>
  </si>
  <si>
    <t>Morris, Richard, 1947-</t>
  </si>
  <si>
    <t>New York : W. W. Norton, 1979.</t>
  </si>
  <si>
    <t>2001-03-15</t>
  </si>
  <si>
    <t>1990-09-07</t>
  </si>
  <si>
    <t>292309731:eng</t>
  </si>
  <si>
    <t>5765581</t>
  </si>
  <si>
    <t>991004872409702656</t>
  </si>
  <si>
    <t>2269540670002656</t>
  </si>
  <si>
    <t>9780393012811</t>
  </si>
  <si>
    <t>32285000295070</t>
  </si>
  <si>
    <t>893229956</t>
  </si>
  <si>
    <t>NA5463 .T37 1989</t>
  </si>
  <si>
    <t>0                      NA 5463000T  37          1989</t>
  </si>
  <si>
    <t>Great cathedrals of Britain / Tim Tatton-Brown.</t>
  </si>
  <si>
    <t>Tatton-Brown, T. W. T.</t>
  </si>
  <si>
    <t>London : B.B.C. Books, 1989.</t>
  </si>
  <si>
    <t>1999-11-04</t>
  </si>
  <si>
    <t>1989-11-29</t>
  </si>
  <si>
    <t>26382872:eng</t>
  </si>
  <si>
    <t>24710046</t>
  </si>
  <si>
    <t>991001579279702656</t>
  </si>
  <si>
    <t>2257338200002656</t>
  </si>
  <si>
    <t>9780563207306</t>
  </si>
  <si>
    <t>32285000016104</t>
  </si>
  <si>
    <t>893351922</t>
  </si>
  <si>
    <t>NA5541 .P4</t>
  </si>
  <si>
    <t>0                      NA 5541000P  4</t>
  </si>
  <si>
    <t>French cathedrals, monasteries and abbeys, and sacred sites of France, by Elizabeth Robins Pennell. Illustrated with one hundred and eighty-three pictures by Joseph Pennell, also with plans and diagrams.</t>
  </si>
  <si>
    <t>Pennell, Elizabeth Robins, 1855-1936.</t>
  </si>
  <si>
    <t>New York, The Century Co., 1909.</t>
  </si>
  <si>
    <t>1909</t>
  </si>
  <si>
    <t>1998-05-13</t>
  </si>
  <si>
    <t>1463901:eng</t>
  </si>
  <si>
    <t>375443</t>
  </si>
  <si>
    <t>991002589189702656</t>
  </si>
  <si>
    <t>2263991910002656</t>
  </si>
  <si>
    <t>32285002862703</t>
  </si>
  <si>
    <t>893227034</t>
  </si>
  <si>
    <t>NA5541 .R613</t>
  </si>
  <si>
    <t>0                      NA 5541000R  613</t>
  </si>
  <si>
    <t>Cathedrals of France. Translated by Elisabeth Chase Geissbuhler. With a pref. by Herbert Read.</t>
  </si>
  <si>
    <t>Rodin, Auguste, 1840-1917.</t>
  </si>
  <si>
    <t>Boston, Beacon Press [1965]</t>
  </si>
  <si>
    <t>2003-11-30</t>
  </si>
  <si>
    <t>3375:eng</t>
  </si>
  <si>
    <t>420357</t>
  </si>
  <si>
    <t>991005355339702656</t>
  </si>
  <si>
    <t>2270678050002656</t>
  </si>
  <si>
    <t>32285002862711</t>
  </si>
  <si>
    <t>893508030</t>
  </si>
  <si>
    <t>NA5543 .B7 1985</t>
  </si>
  <si>
    <t>0                      NA 5543000B  7           1985</t>
  </si>
  <si>
    <t>St. Louis and the court style in Gothic architecture / Robert Branner.</t>
  </si>
  <si>
    <t>Branner, Robert.</t>
  </si>
  <si>
    <t>London : A. Zwemmer : distributed by Sotheby's Publications, Harper and Row, 1985, c1965.</t>
  </si>
  <si>
    <t>Studies in architecture ; v. 7</t>
  </si>
  <si>
    <t>1990-12-19</t>
  </si>
  <si>
    <t>1667763:eng</t>
  </si>
  <si>
    <t>14696067</t>
  </si>
  <si>
    <t>991000953869702656</t>
  </si>
  <si>
    <t>2258598450002656</t>
  </si>
  <si>
    <t>9780302027530</t>
  </si>
  <si>
    <t>32285000405463</t>
  </si>
  <si>
    <t>893772158</t>
  </si>
  <si>
    <t>NA5544 .E8</t>
  </si>
  <si>
    <t>0                      NA 5544000E  8</t>
  </si>
  <si>
    <t>Monastic architecture in France, from the Renaissance to the Revolution.</t>
  </si>
  <si>
    <t>Evans, Joan, 1893-1977.</t>
  </si>
  <si>
    <t>Cambridge (Eng.) University Press, 1964.</t>
  </si>
  <si>
    <t>2006-04-17</t>
  </si>
  <si>
    <t>38501683:eng</t>
  </si>
  <si>
    <t>1467685</t>
  </si>
  <si>
    <t>991003769639702656</t>
  </si>
  <si>
    <t>2261440740002656</t>
  </si>
  <si>
    <t>32285002862737</t>
  </si>
  <si>
    <t>893787754</t>
  </si>
  <si>
    <t>NA5550.N7 T4 1962</t>
  </si>
  <si>
    <t>0                      NA 5550000N  7                  T  4           1962</t>
  </si>
  <si>
    <t>Notre-Dame of Paris.</t>
  </si>
  <si>
    <t>Temko, Allan.</t>
  </si>
  <si>
    <t>New York : Time Inc., [c1962]</t>
  </si>
  <si>
    <t>Time reading program special ed.</t>
  </si>
  <si>
    <t>2006-04-20</t>
  </si>
  <si>
    <t>1992-04-09</t>
  </si>
  <si>
    <t>1483737:eng</t>
  </si>
  <si>
    <t>444303</t>
  </si>
  <si>
    <t>991002793319702656</t>
  </si>
  <si>
    <t>2265167600002656</t>
  </si>
  <si>
    <t>32285001057123</t>
  </si>
  <si>
    <t>893899233</t>
  </si>
  <si>
    <t>NA5573 .H37 1983</t>
  </si>
  <si>
    <t>0                      NA 5573000H  37          1983</t>
  </si>
  <si>
    <t>The Bavarian rococo church : between faith and aestheticism / Karsten Harries.</t>
  </si>
  <si>
    <t>Harries, Karsten.</t>
  </si>
  <si>
    <t>New Haven [Conn.] : Yale University Press, c1983.</t>
  </si>
  <si>
    <t>2000-08-25</t>
  </si>
  <si>
    <t>1992-05-06</t>
  </si>
  <si>
    <t>792144385:eng</t>
  </si>
  <si>
    <t>8553086</t>
  </si>
  <si>
    <t>991005397509702656</t>
  </si>
  <si>
    <t>2258835710002656</t>
  </si>
  <si>
    <t>9780300027204</t>
  </si>
  <si>
    <t>32285001120947</t>
  </si>
  <si>
    <t>893811076</t>
  </si>
  <si>
    <t>NA5620.S9 M3 1939</t>
  </si>
  <si>
    <t>0                      NA 5620000S  9                  M  3           1939</t>
  </si>
  <si>
    <t>St. Peter's on the Vatican; the first complete account in our English tongue of its origins and reconstruction / by Augustin McNally ...</t>
  </si>
  <si>
    <t>McNally, Augustin, 1876-</t>
  </si>
  <si>
    <t>New York City : Strand Press, [1939]</t>
  </si>
  <si>
    <t>1939</t>
  </si>
  <si>
    <t>___</t>
  </si>
  <si>
    <t>2003-04-12</t>
  </si>
  <si>
    <t>951785774:eng</t>
  </si>
  <si>
    <t>385444</t>
  </si>
  <si>
    <t>991002644659702656</t>
  </si>
  <si>
    <t>2258936320002656</t>
  </si>
  <si>
    <t>32285001658078</t>
  </si>
  <si>
    <t>893792710</t>
  </si>
  <si>
    <t>NA5806 .S5 1971</t>
  </si>
  <si>
    <t>0                      NA 5806000S  5           1971</t>
  </si>
  <si>
    <t>Spanish baroque art : with buildings in Portugal, Mexico, and other colonies.</t>
  </si>
  <si>
    <t>Sitwell, Sacheverell, 1897-1988.</t>
  </si>
  <si>
    <t>New York : B. Blom, 1971.</t>
  </si>
  <si>
    <t>147732722:eng</t>
  </si>
  <si>
    <t>226415</t>
  </si>
  <si>
    <t>991001384889702656</t>
  </si>
  <si>
    <t>2263123890002656</t>
  </si>
  <si>
    <t>32285001108504</t>
  </si>
  <si>
    <t>893797533</t>
  </si>
  <si>
    <t>NA5811.S46 S26 1985</t>
  </si>
  <si>
    <t>0                      NA 5811000S  46                 S  26          1985</t>
  </si>
  <si>
    <t>Santiago de Compostela : 1000 ans de pèlerinage européen : [exposition à] Centrum voor Kunst en Cultuur, Abbaye Saint-Pierre, Gand.</t>
  </si>
  <si>
    <t>[Brussels?] : Crédit communal, 1985.</t>
  </si>
  <si>
    <t>fre</t>
  </si>
  <si>
    <t xml:space="preserve">be </t>
  </si>
  <si>
    <t>1998-06-12</t>
  </si>
  <si>
    <t>1992-07-14</t>
  </si>
  <si>
    <t>863766226:fre</t>
  </si>
  <si>
    <t>15128795</t>
  </si>
  <si>
    <t>991000994399702656</t>
  </si>
  <si>
    <t>2265331380002656</t>
  </si>
  <si>
    <t>32285001152429</t>
  </si>
  <si>
    <t>893897406</t>
  </si>
  <si>
    <t>NA590 .M5</t>
  </si>
  <si>
    <t>0                      NA 0590000M  5</t>
  </si>
  <si>
    <t>Baroque &amp; rococo architecture.</t>
  </si>
  <si>
    <t>Millon, Henry A.</t>
  </si>
  <si>
    <t>New York, G. Braziller, 1965.</t>
  </si>
  <si>
    <t>1997-11-04</t>
  </si>
  <si>
    <t>464400:eng</t>
  </si>
  <si>
    <t>12012348</t>
  </si>
  <si>
    <t>991000625239702656</t>
  </si>
  <si>
    <t>2271685540002656</t>
  </si>
  <si>
    <t>32285002861226</t>
  </si>
  <si>
    <t>893796836</t>
  </si>
  <si>
    <t>NA590 .N6</t>
  </si>
  <si>
    <t>0                      NA 0590000N  6</t>
  </si>
  <si>
    <t>Baroque architecture.</t>
  </si>
  <si>
    <t>New York, H. N. Abrams [1972, c1971]</t>
  </si>
  <si>
    <t>History of world architecture</t>
  </si>
  <si>
    <t>2006-05-01</t>
  </si>
  <si>
    <t>1992-10-02</t>
  </si>
  <si>
    <t>1881851912:eng</t>
  </si>
  <si>
    <t>410360</t>
  </si>
  <si>
    <t>991002712779702656</t>
  </si>
  <si>
    <t>2265620990002656</t>
  </si>
  <si>
    <t>9780810910027</t>
  </si>
  <si>
    <t>32285001338119</t>
  </si>
  <si>
    <t>893716826</t>
  </si>
  <si>
    <t>NA5977 .H66 1994</t>
  </si>
  <si>
    <t>0                      NA 5977000H  66          1994</t>
  </si>
  <si>
    <t>The synagogues and churches of ancient Palestine / Leslie J. Hoppe.</t>
  </si>
  <si>
    <t>Hoppe, Leslie J.</t>
  </si>
  <si>
    <t>Collegeville, Minn. : Liturgical Press, c1994.</t>
  </si>
  <si>
    <t>mnu</t>
  </si>
  <si>
    <t>2006-10-19</t>
  </si>
  <si>
    <t>1995-04-30</t>
  </si>
  <si>
    <t>30872672:eng</t>
  </si>
  <si>
    <t>28587295</t>
  </si>
  <si>
    <t>991005417419702656</t>
  </si>
  <si>
    <t>2263094770002656</t>
  </si>
  <si>
    <t>9780814657546</t>
  </si>
  <si>
    <t>32285002036589</t>
  </si>
  <si>
    <t>893242714</t>
  </si>
  <si>
    <t>NA6002 .S75 1998</t>
  </si>
  <si>
    <t>0                      NA 6002000S  75          1998</t>
  </si>
  <si>
    <t>Hindu India : from Khajuraho to the temple city of Madurai / Henri Stierlin ; photos, Anne and Henri Stierlin.</t>
  </si>
  <si>
    <t>Stierlin, Henri.</t>
  </si>
  <si>
    <t>Köln ; New York : Taschen, c1998.</t>
  </si>
  <si>
    <t>Taschen's world architecture</t>
  </si>
  <si>
    <t>2005-09-12</t>
  </si>
  <si>
    <t>2000-03-09</t>
  </si>
  <si>
    <t>13205356:eng</t>
  </si>
  <si>
    <t>40597961</t>
  </si>
  <si>
    <t>991002999119702656</t>
  </si>
  <si>
    <t>2261331140002656</t>
  </si>
  <si>
    <t>9783822876497</t>
  </si>
  <si>
    <t>32285003668166</t>
  </si>
  <si>
    <t>893692274</t>
  </si>
  <si>
    <t>NA6008.L4 G6 1969</t>
  </si>
  <si>
    <t>0                      NA 6008000L  4                  G  6           1969</t>
  </si>
  <si>
    <t>Lepakshi. Text by Amancharla Gopala Rao.</t>
  </si>
  <si>
    <t>Gopala Rao, Amancharla, 1907-1969.</t>
  </si>
  <si>
    <t>[Hyderabad, Andhra Pradesh Lalit Kala Akademi, 1969]</t>
  </si>
  <si>
    <t>2001-09-24</t>
  </si>
  <si>
    <t>149190365:eng</t>
  </si>
  <si>
    <t>137475</t>
  </si>
  <si>
    <t>991000796929702656</t>
  </si>
  <si>
    <t>2262267810002656</t>
  </si>
  <si>
    <t>32285002862919</t>
  </si>
  <si>
    <t>893696180</t>
  </si>
  <si>
    <t>NA603 .I47 2003</t>
  </si>
  <si>
    <t>0                      NA 0603000I  47          2003</t>
  </si>
  <si>
    <t>Imhotep today : Egyptianizing architecture / edited by Jean-Marcel Humbert and Clifford Price.</t>
  </si>
  <si>
    <t>London, U.K. : UCL Press, Institute of Archaeology ; Portland, Or. : Published in the United States by Cavendish Pub., 2003.</t>
  </si>
  <si>
    <t>2003</t>
  </si>
  <si>
    <t>Encounters with ancient Egypt</t>
  </si>
  <si>
    <t>2005-09-13</t>
  </si>
  <si>
    <t>896056785:eng</t>
  </si>
  <si>
    <t>52231787</t>
  </si>
  <si>
    <t>991004543819702656</t>
  </si>
  <si>
    <t>2267983740002656</t>
  </si>
  <si>
    <t>9781844720064</t>
  </si>
  <si>
    <t>32285005083869</t>
  </si>
  <si>
    <t>893532524</t>
  </si>
  <si>
    <t>NA6057.M8 K53 1958</t>
  </si>
  <si>
    <t>0                      NA 6057000M  8                  K  53          1958</t>
  </si>
  <si>
    <t>The Muro-ji : an eighth century Japanese temple, its art and history / photographs by Ken Domon ; English text by Roy Andrew Miller after the Japanese original of Momoo Kitagawa.</t>
  </si>
  <si>
    <t>Kitagawa, Momoo, 1899-1969.</t>
  </si>
  <si>
    <t>Tokyo : Bijutsu Shuppan-sha, [1958?]</t>
  </si>
  <si>
    <t>2007-02-05</t>
  </si>
  <si>
    <t>4915216810:eng</t>
  </si>
  <si>
    <t>974610</t>
  </si>
  <si>
    <t>991005008719702656</t>
  </si>
  <si>
    <t>2257661260002656</t>
  </si>
  <si>
    <t>32285005274799</t>
  </si>
  <si>
    <t>893344509</t>
  </si>
  <si>
    <t>NA610 .C5 1950</t>
  </si>
  <si>
    <t>0                      NA 0610000C  5           1950</t>
  </si>
  <si>
    <t>The Gothic revival : an essay in the history of taste / Kenneth Clark.</t>
  </si>
  <si>
    <t>Clark, Kenneth, 1903-1983.</t>
  </si>
  <si>
    <t>New York : Scribners, 1950.</t>
  </si>
  <si>
    <t>Rev. and enl. ed.</t>
  </si>
  <si>
    <t>49046896:eng</t>
  </si>
  <si>
    <t>29511836</t>
  </si>
  <si>
    <t>991002273049702656</t>
  </si>
  <si>
    <t>2269239410002656</t>
  </si>
  <si>
    <t>32285002861234</t>
  </si>
  <si>
    <t>893427417</t>
  </si>
  <si>
    <t>NA610 .G37</t>
  </si>
  <si>
    <t>0                      NA 0610000G  37</t>
  </si>
  <si>
    <t>Ruskin on architecture: his thought and influence.</t>
  </si>
  <si>
    <t>Garrigan, Kristine Ottesen, 1939-</t>
  </si>
  <si>
    <t>[Madison] University of Wisconsin Press [1973]</t>
  </si>
  <si>
    <t>1996-04-24</t>
  </si>
  <si>
    <t>1734461:eng</t>
  </si>
  <si>
    <t>677261</t>
  </si>
  <si>
    <t>991003135299702656</t>
  </si>
  <si>
    <t>2272454700002656</t>
  </si>
  <si>
    <t>9780299064600</t>
  </si>
  <si>
    <t>32285002153681</t>
  </si>
  <si>
    <t>893262641</t>
  </si>
  <si>
    <t>NA610 .G4713 1973</t>
  </si>
  <si>
    <t>0                      NA 0610000G  4713        1973</t>
  </si>
  <si>
    <t>Gothic revival in Europe and Britain: sources, influences, and ideas. Translated by Gerald Onn.</t>
  </si>
  <si>
    <t>Germann, Georg.</t>
  </si>
  <si>
    <t>Cambridge, Mass., MIT Press [1973, c1972]</t>
  </si>
  <si>
    <t>[1st American ed.]</t>
  </si>
  <si>
    <t>2007-11-20</t>
  </si>
  <si>
    <t>248363301:eng</t>
  </si>
  <si>
    <t>682603</t>
  </si>
  <si>
    <t>991003141109702656</t>
  </si>
  <si>
    <t>2262522170002656</t>
  </si>
  <si>
    <t>9780262070591</t>
  </si>
  <si>
    <t>32285002861242</t>
  </si>
  <si>
    <t>893787006</t>
  </si>
  <si>
    <t>NA6150 .M37 1994</t>
  </si>
  <si>
    <t>0                      NA 6150000M  37          1994</t>
  </si>
  <si>
    <t>The revival styles in American memorial art / Peggy McDowell and Richard E. Meyer.</t>
  </si>
  <si>
    <t>McDowell, Peggy.</t>
  </si>
  <si>
    <t>Bowling Green, OH : Bowling Green State University Popular Press, 1994.</t>
  </si>
  <si>
    <t>ohu</t>
  </si>
  <si>
    <t>2000-03-21</t>
  </si>
  <si>
    <t>1995-10-30</t>
  </si>
  <si>
    <t>32736599:eng</t>
  </si>
  <si>
    <t>30763931</t>
  </si>
  <si>
    <t>991002366409702656</t>
  </si>
  <si>
    <t>2267451890002656</t>
  </si>
  <si>
    <t>9780879726331</t>
  </si>
  <si>
    <t>32285002069804</t>
  </si>
  <si>
    <t>893779727</t>
  </si>
  <si>
    <t>NA6212 .L54 1995</t>
  </si>
  <si>
    <t>0                      NA 6212000L  54          1995</t>
  </si>
  <si>
    <t>Main street to Miracle Mile : American roadside architecture / Chester H. Liebs.</t>
  </si>
  <si>
    <t>Liebs, Chester H.</t>
  </si>
  <si>
    <t>Baltimore : Johns Hopkins University Press, 1995.</t>
  </si>
  <si>
    <t>John Hopkins Paperbacks ed.</t>
  </si>
  <si>
    <t>2005-04-10</t>
  </si>
  <si>
    <t>1996-01-16</t>
  </si>
  <si>
    <t>836903410:eng</t>
  </si>
  <si>
    <t>32312934</t>
  </si>
  <si>
    <t>991002482909702656</t>
  </si>
  <si>
    <t>2268722150002656</t>
  </si>
  <si>
    <t>9780801850950</t>
  </si>
  <si>
    <t>32285002116761</t>
  </si>
  <si>
    <t>893262307</t>
  </si>
  <si>
    <t>NA6230 .D87 1996</t>
  </si>
  <si>
    <t>0                      NA 6230000D  87          1996</t>
  </si>
  <si>
    <t>Skyscrapers / Judith Dupré ; introductory interview with Philip Johnson.</t>
  </si>
  <si>
    <t>Dupré, Judith, 1956-</t>
  </si>
  <si>
    <t>New York : Black Dog &amp; Leventhal : Distributed by Workman, c1996.</t>
  </si>
  <si>
    <t>1997-04-21</t>
  </si>
  <si>
    <t>1055951:eng</t>
  </si>
  <si>
    <t>34284683</t>
  </si>
  <si>
    <t>991002616279702656</t>
  </si>
  <si>
    <t>2261190000002656</t>
  </si>
  <si>
    <t>9781884822452</t>
  </si>
  <si>
    <t>32285002499183</t>
  </si>
  <si>
    <t>893239283</t>
  </si>
  <si>
    <t>NA6290 .M9513 1981</t>
  </si>
  <si>
    <t>0                      NA 6290000M  9513        1981</t>
  </si>
  <si>
    <t>The Architecture of transport in the Federal Republic of Germany / Karlhans Müller ; translation by Karen Roux-Nielsen.</t>
  </si>
  <si>
    <t>Müller, Karlhans, 1938-</t>
  </si>
  <si>
    <t>Bonn : Inter Nationes, c1981.</t>
  </si>
  <si>
    <t>1997-10-19</t>
  </si>
  <si>
    <t>24488806:eng</t>
  </si>
  <si>
    <t>8399540</t>
  </si>
  <si>
    <t>991005238799702656</t>
  </si>
  <si>
    <t>2261001900002656</t>
  </si>
  <si>
    <t>9783787901968</t>
  </si>
  <si>
    <t>32285001658110</t>
  </si>
  <si>
    <t>893443639</t>
  </si>
  <si>
    <t>NA642 .F7 1983</t>
  </si>
  <si>
    <t>0                      NA 0642000F  7           1983</t>
  </si>
  <si>
    <t>Modern architecture, 1851-1945 / Kenneth Frampton, Yukio Futagawa.</t>
  </si>
  <si>
    <t>New York, N.Y. : Rizzoli, 1983.</t>
  </si>
  <si>
    <t>2003-04-29</t>
  </si>
  <si>
    <t>2005-10-28</t>
  </si>
  <si>
    <t>1993-01-07</t>
  </si>
  <si>
    <t>3372449251:eng</t>
  </si>
  <si>
    <t>10535516</t>
  </si>
  <si>
    <t>991000389629702656</t>
  </si>
  <si>
    <t>2258880340002656</t>
  </si>
  <si>
    <t>9780847805082</t>
  </si>
  <si>
    <t>32285001474195</t>
  </si>
  <si>
    <t>893695791</t>
  </si>
  <si>
    <t>1990-04-17</t>
  </si>
  <si>
    <t>32285000121391</t>
  </si>
  <si>
    <t>893683360</t>
  </si>
  <si>
    <t>NA642 .H6413</t>
  </si>
  <si>
    <t>0                      NA 0642000H  6413</t>
  </si>
  <si>
    <t>Modern architecture in color / [by] Werner Hofmann and Udo Kultermann. [Translated from the German by Peter Usborne]</t>
  </si>
  <si>
    <t>Hofmann, Werner, 1928-2013.</t>
  </si>
  <si>
    <t>New York : Viking Press, [1970]</t>
  </si>
  <si>
    <t>1998-04-30</t>
  </si>
  <si>
    <t>1238129:eng</t>
  </si>
  <si>
    <t>118663</t>
  </si>
  <si>
    <t>991000667119702656</t>
  </si>
  <si>
    <t>2261651460002656</t>
  </si>
  <si>
    <t>9780670482658</t>
  </si>
  <si>
    <t>32285001091114</t>
  </si>
  <si>
    <t>893243465</t>
  </si>
  <si>
    <t>NA645 .G5 1967</t>
  </si>
  <si>
    <t>0                      NA 0645000G  5           1967</t>
  </si>
  <si>
    <t>Romanticism and the Gothic revival / by Agnes Addison.</t>
  </si>
  <si>
    <t>Gilchrist, Agnes Addison, 1907-1976.</t>
  </si>
  <si>
    <t>New York : Gordian Press, 1967, [c1938]</t>
  </si>
  <si>
    <t>1993-03-09</t>
  </si>
  <si>
    <t>536157:eng</t>
  </si>
  <si>
    <t>332781</t>
  </si>
  <si>
    <t>991002391709702656</t>
  </si>
  <si>
    <t>2257765550002656</t>
  </si>
  <si>
    <t>32285001571339</t>
  </si>
  <si>
    <t>893779754</t>
  </si>
  <si>
    <t>NA645 .S9</t>
  </si>
  <si>
    <t>0                      NA 0645000S  9</t>
  </si>
  <si>
    <t>Victorian architecture : four studies in evaluation / by John Summerson.</t>
  </si>
  <si>
    <t>Summerson, John, 1904-1992.</t>
  </si>
  <si>
    <t>New York : Columbia University Press, 1970.</t>
  </si>
  <si>
    <t>Bampton lectures in America ; no. 19</t>
  </si>
  <si>
    <t>1997-07-23</t>
  </si>
  <si>
    <t>1994-06-22</t>
  </si>
  <si>
    <t>808785414:eng</t>
  </si>
  <si>
    <t>61198</t>
  </si>
  <si>
    <t>991000159589702656</t>
  </si>
  <si>
    <t>2256699130002656</t>
  </si>
  <si>
    <t>9780231032612</t>
  </si>
  <si>
    <t>32285001929446</t>
  </si>
  <si>
    <t>893890467</t>
  </si>
  <si>
    <t>NA6700.A1 S4 1982</t>
  </si>
  <si>
    <t>0                      NA 6700000A  1                  S  4           1982</t>
  </si>
  <si>
    <t>New American art museums / Helen Searing.</t>
  </si>
  <si>
    <t>Searing, Helen.</t>
  </si>
  <si>
    <t>New York : Whitney Museum of American Art ; Berkeley : University of California Press, c1982.</t>
  </si>
  <si>
    <t>2003-04-02</t>
  </si>
  <si>
    <t>34826451:eng</t>
  </si>
  <si>
    <t>8727526</t>
  </si>
  <si>
    <t>991000059349702656</t>
  </si>
  <si>
    <t>2272632910002656</t>
  </si>
  <si>
    <t>9780520048959</t>
  </si>
  <si>
    <t>32285001658128</t>
  </si>
  <si>
    <t>893595232</t>
  </si>
  <si>
    <t>NA6750.L6 C73</t>
  </si>
  <si>
    <t>0                      NA 6750000L  6                  C  73</t>
  </si>
  <si>
    <t>The Crystal Palace, 1851-1936: a portrait of Victorian enterprise.</t>
  </si>
  <si>
    <t>Beaver, Patrick.</t>
  </si>
  <si>
    <t>London, Hugh Evelyn Ltd., 1970.</t>
  </si>
  <si>
    <t>2009-09-29</t>
  </si>
  <si>
    <t>1997-07-02</t>
  </si>
  <si>
    <t>291179912:eng</t>
  </si>
  <si>
    <t>119241</t>
  </si>
  <si>
    <t>991000672379702656</t>
  </si>
  <si>
    <t>2264204930002656</t>
  </si>
  <si>
    <t>9780238789618</t>
  </si>
  <si>
    <t>32285002862950</t>
  </si>
  <si>
    <t>893255629</t>
  </si>
  <si>
    <t>NA680 .B48 1975</t>
  </si>
  <si>
    <t>0                      NA 0680000B  48          1975</t>
  </si>
  <si>
    <t>Architecture and design, 1890-1939 : an international anthology of original articles / edited by Tim and Charlotte Benton, with Dennis Sharp.</t>
  </si>
  <si>
    <t>Benton, Tim, 1945-</t>
  </si>
  <si>
    <t>New York : Whitney Library of Design, 1975.</t>
  </si>
  <si>
    <t>1996-02-05</t>
  </si>
  <si>
    <t>25095536:eng</t>
  </si>
  <si>
    <t>1119698</t>
  </si>
  <si>
    <t>991003551559702656</t>
  </si>
  <si>
    <t>2255729660002656</t>
  </si>
  <si>
    <t>9780823070459</t>
  </si>
  <si>
    <t>32285001474179</t>
  </si>
  <si>
    <t>893868552</t>
  </si>
  <si>
    <t>NA680 .C6213 1975</t>
  </si>
  <si>
    <t>0                      NA 0680000C  6213        1975</t>
  </si>
  <si>
    <t>Programs and manifestoes on 20th-century architecture / Translated by Michael Bullock.</t>
  </si>
  <si>
    <t>Conrads, Ulrich compiler.</t>
  </si>
  <si>
    <t>Cambridge, Mass. : MIT Press, 1975, c1970, 1982 printing.</t>
  </si>
  <si>
    <t>1999-06-25</t>
  </si>
  <si>
    <t>4820874707:eng</t>
  </si>
  <si>
    <t>5046861</t>
  </si>
  <si>
    <t>991004768899702656</t>
  </si>
  <si>
    <t>2257382120002656</t>
  </si>
  <si>
    <t>9780262530309</t>
  </si>
  <si>
    <t>32285001654358</t>
  </si>
  <si>
    <t>893713011</t>
  </si>
  <si>
    <t>NA680 .D73</t>
  </si>
  <si>
    <t>0                      NA 0680000D  73</t>
  </si>
  <si>
    <t>Transformations in modern architecture / Arthur Drexler.</t>
  </si>
  <si>
    <t>Drexler, Arthur.</t>
  </si>
  <si>
    <t>New York : Museum of Modern Art ; Boston : Distributed by New York Graphic Society, c1979, 1980 printing.</t>
  </si>
  <si>
    <t>12800707:eng</t>
  </si>
  <si>
    <t>5858090</t>
  </si>
  <si>
    <t>991004889499702656</t>
  </si>
  <si>
    <t>2261292990002656</t>
  </si>
  <si>
    <t>9780870706080</t>
  </si>
  <si>
    <t>32285001474161</t>
  </si>
  <si>
    <t>893507338</t>
  </si>
  <si>
    <t>NA680 .H3</t>
  </si>
  <si>
    <t>0                      NA 0680000H  3</t>
  </si>
  <si>
    <t>Forms and functions of twentieth-century architecture. With an introd. by Leopold Arnaud.</t>
  </si>
  <si>
    <t>Hamlin, Talbot, 1889-1956.</t>
  </si>
  <si>
    <t>New York, Columbia University Press, 1952.</t>
  </si>
  <si>
    <t>1952</t>
  </si>
  <si>
    <t>5608672489:eng</t>
  </si>
  <si>
    <t>1024618</t>
  </si>
  <si>
    <t>991003478819702656</t>
  </si>
  <si>
    <t>2269737020002656</t>
  </si>
  <si>
    <t>32285001654382</t>
  </si>
  <si>
    <t>893787361</t>
  </si>
  <si>
    <t>32285001654374</t>
  </si>
  <si>
    <t>893805812</t>
  </si>
  <si>
    <t>32285001654366</t>
  </si>
  <si>
    <t>893787362</t>
  </si>
  <si>
    <t>V.4</t>
  </si>
  <si>
    <t>32285001654390</t>
  </si>
  <si>
    <t>893799761</t>
  </si>
  <si>
    <t>NA680 .J457 1987</t>
  </si>
  <si>
    <t>0                      NA 0680000J  457         1987</t>
  </si>
  <si>
    <t>The language of post-modern architecture / Charles A. Jencks.</t>
  </si>
  <si>
    <t>Jencks, Charles.</t>
  </si>
  <si>
    <t>New York : Rizzoli, c1987.</t>
  </si>
  <si>
    <t>5th rev. enl. ed.</t>
  </si>
  <si>
    <t>1991-01-30</t>
  </si>
  <si>
    <t>4154988:eng</t>
  </si>
  <si>
    <t>18373924</t>
  </si>
  <si>
    <t>991001337959702656</t>
  </si>
  <si>
    <t>2268992660002656</t>
  </si>
  <si>
    <t>9780847809004</t>
  </si>
  <si>
    <t>32285000298991</t>
  </si>
  <si>
    <t>893414174</t>
  </si>
  <si>
    <t>NA680 .J61</t>
  </si>
  <si>
    <t>0                      NA 0680000J  61</t>
  </si>
  <si>
    <t>A history of modern architecture / [translated from the German by James C. Palmes]</t>
  </si>
  <si>
    <t>Joedicke, Jürgen.</t>
  </si>
  <si>
    <t>New York, Praeger [1959]</t>
  </si>
  <si>
    <t>1959</t>
  </si>
  <si>
    <t>2002-04-30</t>
  </si>
  <si>
    <t>1805171:eng</t>
  </si>
  <si>
    <t>856149</t>
  </si>
  <si>
    <t>991003326499702656</t>
  </si>
  <si>
    <t>2268694200002656</t>
  </si>
  <si>
    <t>32285002696440</t>
  </si>
  <si>
    <t>893445612</t>
  </si>
  <si>
    <t>NA680 .P374 1958a</t>
  </si>
  <si>
    <t>0                      NA 0680000P  374         1958a</t>
  </si>
  <si>
    <t>Masters of modern architecture.</t>
  </si>
  <si>
    <t>Peter, John, 1917-1998.</t>
  </si>
  <si>
    <t>New York : Bonanza Bks., 1958.</t>
  </si>
  <si>
    <t>1990-03-20</t>
  </si>
  <si>
    <t>365647092:eng</t>
  </si>
  <si>
    <t>332448</t>
  </si>
  <si>
    <t>991002391059702656</t>
  </si>
  <si>
    <t>2257764360002656</t>
  </si>
  <si>
    <t>32285000091503</t>
  </si>
  <si>
    <t>893779751</t>
  </si>
  <si>
    <t>NA680 .S39</t>
  </si>
  <si>
    <t>0                      NA 0680000S  39</t>
  </si>
  <si>
    <t>Modern Architecture; the architecture of democracy.</t>
  </si>
  <si>
    <t>New York, G. Braziller [1965]</t>
  </si>
  <si>
    <t>2003-04-25</t>
  </si>
  <si>
    <t>366951287:eng</t>
  </si>
  <si>
    <t>4798818</t>
  </si>
  <si>
    <t>991004720029702656</t>
  </si>
  <si>
    <t>2260550810002656</t>
  </si>
  <si>
    <t>32285002861333</t>
  </si>
  <si>
    <t>893889185</t>
  </si>
  <si>
    <t>NA6820 .E5 1980</t>
  </si>
  <si>
    <t>0                      NA 6820000E  5           1980</t>
  </si>
  <si>
    <t>Theatre architecture &amp; stage machines : engravings from the Encyclopédie, ou Dictionnaire raisonné des sciences, des arts, et des métiers / edited by Denis Diderot and Jean le Rond d'Alembert.</t>
  </si>
  <si>
    <t>New York : Arno Press, 1980.</t>
  </si>
  <si>
    <t>2006-11-28</t>
  </si>
  <si>
    <t>474856997:fre</t>
  </si>
  <si>
    <t>13353971</t>
  </si>
  <si>
    <t>991000815159702656</t>
  </si>
  <si>
    <t>2265943850002656</t>
  </si>
  <si>
    <t>9780405091391</t>
  </si>
  <si>
    <t>32285003548327</t>
  </si>
  <si>
    <t>893784554</t>
  </si>
  <si>
    <t>NA6821 .A5</t>
  </si>
  <si>
    <t>0                      NA 6821000A  5</t>
  </si>
  <si>
    <t>The ideal theater : eight concepts ; an exhibition of designs and models resulting from the Ford Foundation Program for Theater Design / prepared and circulated by the American Federation of Arts.</t>
  </si>
  <si>
    <t>American Federation of Arts.</t>
  </si>
  <si>
    <t>New York: The Federation, [c1962]</t>
  </si>
  <si>
    <t>2005-12-05</t>
  </si>
  <si>
    <t>3754573620:eng</t>
  </si>
  <si>
    <t>1194245</t>
  </si>
  <si>
    <t>991003611359702656</t>
  </si>
  <si>
    <t>2258326400002656</t>
  </si>
  <si>
    <t>32285002862968</t>
  </si>
  <si>
    <t>893422749</t>
  </si>
  <si>
    <t>NA6821 .B8 1949</t>
  </si>
  <si>
    <t>0                      NA 6821000B  8           1949</t>
  </si>
  <si>
    <t>Theatres &amp; auditoriums [by] Harold Burris-Meyer &amp; Edward C. Cole.</t>
  </si>
  <si>
    <t>New York, Reinhold [c1949]</t>
  </si>
  <si>
    <t>1949</t>
  </si>
  <si>
    <t>Progressive architecture library</t>
  </si>
  <si>
    <t>2007-11-21</t>
  </si>
  <si>
    <t>1299579:eng</t>
  </si>
  <si>
    <t>614873</t>
  </si>
  <si>
    <t>991003056689702656</t>
  </si>
  <si>
    <t>2270169060002656</t>
  </si>
  <si>
    <t>32285002862976</t>
  </si>
  <si>
    <t>893511535</t>
  </si>
  <si>
    <t>NA6821 .M83</t>
  </si>
  <si>
    <t>0                      NA 6821000M  83</t>
  </si>
  <si>
    <t>The development of the playhouse : a survey of theatre architecture from the Renaissance to the present / [by] Donald C. Mullin.</t>
  </si>
  <si>
    <t>Mullin, Donald C.</t>
  </si>
  <si>
    <t>Berkeley : University of California Press, 1970.</t>
  </si>
  <si>
    <t>1990-05-22</t>
  </si>
  <si>
    <t>350940417:eng</t>
  </si>
  <si>
    <t>77772</t>
  </si>
  <si>
    <t>991000454909702656</t>
  </si>
  <si>
    <t>2256525050002656</t>
  </si>
  <si>
    <t>9780520013919</t>
  </si>
  <si>
    <t>32285000157320</t>
  </si>
  <si>
    <t>893314935</t>
  </si>
  <si>
    <t>NA6830 .A85 1984</t>
  </si>
  <si>
    <t>0                      NA 6830000A  85          1984</t>
  </si>
  <si>
    <t>Space for dance : an architectural design guide / by Leslie Armstrong and Roger Morgan ; edited by Mike Lipske.</t>
  </si>
  <si>
    <t>Armstrong, Leslie, 1940-</t>
  </si>
  <si>
    <t>New York : Pub. Center for Cultural Resources, 1984.</t>
  </si>
  <si>
    <t>1995-04-18</t>
  </si>
  <si>
    <t>312597474:eng</t>
  </si>
  <si>
    <t>11067149</t>
  </si>
  <si>
    <t>991000483169702656</t>
  </si>
  <si>
    <t>2260940690002656</t>
  </si>
  <si>
    <t>32285001658177</t>
  </si>
  <si>
    <t>893884425</t>
  </si>
  <si>
    <t>NA6830 .S63 1980</t>
  </si>
  <si>
    <t>0                      NA 6830000S  63          1980</t>
  </si>
  <si>
    <t>Movie palaces / by Lucinda Smith ; with an introd. by King Vidor ; photos. by Ave Pildas.</t>
  </si>
  <si>
    <t>Smith, Lucinda.</t>
  </si>
  <si>
    <t>New York : C. N. Potter : distributed by Crown Publishers, c1980.</t>
  </si>
  <si>
    <t>2000-10-30</t>
  </si>
  <si>
    <t>15077279:eng</t>
  </si>
  <si>
    <t>4883751</t>
  </si>
  <si>
    <t>991004741309702656</t>
  </si>
  <si>
    <t>2264039820002656</t>
  </si>
  <si>
    <t>9780517538579</t>
  </si>
  <si>
    <t>32285001658185</t>
  </si>
  <si>
    <t>893247923</t>
  </si>
  <si>
    <t>NA6840.G7 L4 1973</t>
  </si>
  <si>
    <t>0                      NA 6840000G  7                  L  4           1973</t>
  </si>
  <si>
    <t>The development of the English playhouse.</t>
  </si>
  <si>
    <t>Leacroft, Richard.</t>
  </si>
  <si>
    <t>London : E. Methuen, [1973]</t>
  </si>
  <si>
    <t>1992-11-02</t>
  </si>
  <si>
    <t>1448351:eng</t>
  </si>
  <si>
    <t>2736220</t>
  </si>
  <si>
    <t>991004227679702656</t>
  </si>
  <si>
    <t>2257672860002656</t>
  </si>
  <si>
    <t>9780413288202</t>
  </si>
  <si>
    <t>32285001380020</t>
  </si>
  <si>
    <t>893325096</t>
  </si>
  <si>
    <t>NA6840.G7 S5</t>
  </si>
  <si>
    <t>0                      NA 6840000G  7                  S  5</t>
  </si>
  <si>
    <t>Shakespeare's Globe Playhouse : a modern reconstruction in text and scale drawings / by Irwin Smith. Based upon the reconstruction of the Globe by John Cranford Adams. With an introd. by James G. McManaway.</t>
  </si>
  <si>
    <t>Smith, Irwin, 1892-1977.</t>
  </si>
  <si>
    <t>New York : Scribner, [1956]</t>
  </si>
  <si>
    <t>2008-08-26</t>
  </si>
  <si>
    <t>1083441491:eng</t>
  </si>
  <si>
    <t>232708</t>
  </si>
  <si>
    <t>991001563789702656</t>
  </si>
  <si>
    <t>2258597740002656</t>
  </si>
  <si>
    <t>32285000061613</t>
  </si>
  <si>
    <t>893608949</t>
  </si>
  <si>
    <t>NA702 .D3 1963</t>
  </si>
  <si>
    <t>0                      NA 0702000D  3           1963</t>
  </si>
  <si>
    <t>Art in Latin American architecture / Paul F. Damaz ; preface by Oscar Niemeyer.</t>
  </si>
  <si>
    <t>Damaz, Paul F.</t>
  </si>
  <si>
    <t>New York : Reinhold, ; [1963]</t>
  </si>
  <si>
    <t>1998-02-23</t>
  </si>
  <si>
    <t>1994-06-20</t>
  </si>
  <si>
    <t>3901265146:eng</t>
  </si>
  <si>
    <t>513283</t>
  </si>
  <si>
    <t>991002894449702656</t>
  </si>
  <si>
    <t>2260731070002656</t>
  </si>
  <si>
    <t>32285001916401</t>
  </si>
  <si>
    <t>893245784</t>
  </si>
  <si>
    <t>NA705 .A485 1986</t>
  </si>
  <si>
    <t>0                      NA 0705000A  485         1986</t>
  </si>
  <si>
    <t>America's architectural roots : ethnic groups that built America / edited by Dell Upton.</t>
  </si>
  <si>
    <t>Washington, D.C. : Preservation Press, c1986.</t>
  </si>
  <si>
    <t>Building watchers series</t>
  </si>
  <si>
    <t>2001-02-19</t>
  </si>
  <si>
    <t>836672114:eng</t>
  </si>
  <si>
    <t>14240611</t>
  </si>
  <si>
    <t>991000926519702656</t>
  </si>
  <si>
    <t>2258654870002656</t>
  </si>
  <si>
    <t>9780891331230</t>
  </si>
  <si>
    <t>32285001654572</t>
  </si>
  <si>
    <t>893407661</t>
  </si>
  <si>
    <t>NA705 .A5 1978</t>
  </si>
  <si>
    <t>0                      NA 0705000A  5           1978</t>
  </si>
  <si>
    <t>Architecture, ambition, and Americans : a social history of American architecture / Wayne Andrews.</t>
  </si>
  <si>
    <t>Andrews, Wayne.</t>
  </si>
  <si>
    <t>New York : Free Press, c1978.</t>
  </si>
  <si>
    <t>1992-04-03</t>
  </si>
  <si>
    <t>400341:eng</t>
  </si>
  <si>
    <t>3844402</t>
  </si>
  <si>
    <t>991004528639702656</t>
  </si>
  <si>
    <t>2264746960002656</t>
  </si>
  <si>
    <t>9780029007709</t>
  </si>
  <si>
    <t>32285001048312</t>
  </si>
  <si>
    <t>893801056</t>
  </si>
  <si>
    <t>NA705 .B76 1985</t>
  </si>
  <si>
    <t>0                      NA 0705000B  76          1985</t>
  </si>
  <si>
    <t>Built in the U.S.A. : American buildings from airports to zoos / edited by Diane Maddex (National Trust for Historic Preservation).</t>
  </si>
  <si>
    <t>Washington, D.C. : Preservation Press, c1985.</t>
  </si>
  <si>
    <t>1993-05-28</t>
  </si>
  <si>
    <t>195513244:eng</t>
  </si>
  <si>
    <t>11532310</t>
  </si>
  <si>
    <t>991000549529702656</t>
  </si>
  <si>
    <t>2261442550002656</t>
  </si>
  <si>
    <t>9780891331186</t>
  </si>
  <si>
    <t>32285001668960</t>
  </si>
  <si>
    <t>893432065</t>
  </si>
  <si>
    <t>NA705 .F512 1966</t>
  </si>
  <si>
    <t>0                      NA 0705000F  512         1966</t>
  </si>
  <si>
    <t>American building / by James Marston Fitch.</t>
  </si>
  <si>
    <t>Boston : Houghton Mifflin, 1966-1972.</t>
  </si>
  <si>
    <t>2d ed., rev. and enl.</t>
  </si>
  <si>
    <t>1993-04-15</t>
  </si>
  <si>
    <t>9622235141:eng</t>
  </si>
  <si>
    <t>269569</t>
  </si>
  <si>
    <t>991002128809702656</t>
  </si>
  <si>
    <t>2267472760002656</t>
  </si>
  <si>
    <t>32285001620276</t>
  </si>
  <si>
    <t>893721295</t>
  </si>
  <si>
    <t>32285001620268</t>
  </si>
  <si>
    <t>893721296</t>
  </si>
  <si>
    <t>NA705 .G57 1985</t>
  </si>
  <si>
    <t>0                      NA 0705000G  57          1985</t>
  </si>
  <si>
    <t>On the rise : architecture and design in a postmodern age / Paul Goldberger.</t>
  </si>
  <si>
    <t>Goldberger, Paul.</t>
  </si>
  <si>
    <t>New York, N.Y., U.S.A. : Penguin Books, 1985, c1983.</t>
  </si>
  <si>
    <t>3848399:eng</t>
  </si>
  <si>
    <t>11114151</t>
  </si>
  <si>
    <t>991000492959702656</t>
  </si>
  <si>
    <t>2258801780002656</t>
  </si>
  <si>
    <t>9780140076325</t>
  </si>
  <si>
    <t>32285001048320</t>
  </si>
  <si>
    <t>893327332</t>
  </si>
  <si>
    <t>NA705 .G6</t>
  </si>
  <si>
    <t>0                      NA 0705000G  6</t>
  </si>
  <si>
    <t>Images of American living : four centuries of architecture and furniture as cultural expression.</t>
  </si>
  <si>
    <t>Gowans, Alan.</t>
  </si>
  <si>
    <t>Philadelphia : Lippincott, [1964]</t>
  </si>
  <si>
    <t>1514803:eng</t>
  </si>
  <si>
    <t>387617</t>
  </si>
  <si>
    <t>991002653029702656</t>
  </si>
  <si>
    <t>2257600520002656</t>
  </si>
  <si>
    <t>32285001033645</t>
  </si>
  <si>
    <t>893698065</t>
  </si>
  <si>
    <t>NA705 .H86</t>
  </si>
  <si>
    <t>0                      NA 0705000H  86</t>
  </si>
  <si>
    <t>Encyclopedia of American architecture / William Dudley Hunt, Jr.</t>
  </si>
  <si>
    <t>Hunt, William Dudley.</t>
  </si>
  <si>
    <t>1995-12-18</t>
  </si>
  <si>
    <t>20992798:eng</t>
  </si>
  <si>
    <t>6085496</t>
  </si>
  <si>
    <t>991004925059702656</t>
  </si>
  <si>
    <t>2261089850002656</t>
  </si>
  <si>
    <t>9780070312999</t>
  </si>
  <si>
    <t>32285002089638</t>
  </si>
  <si>
    <t>893344410</t>
  </si>
  <si>
    <t>NA705 .K56 1985</t>
  </si>
  <si>
    <t>0                      NA 0705000K  56          1985</t>
  </si>
  <si>
    <t>Clues to American architecture / Marilyn W. Klein, David P. Fogle ; illustrated by Wolcott B. Etienne.</t>
  </si>
  <si>
    <t>Klein, Marilyn W., 1928-</t>
  </si>
  <si>
    <t>Washington, DC : Starrhill Press, c1985.</t>
  </si>
  <si>
    <t>1990-07-30</t>
  </si>
  <si>
    <t>5296471:eng</t>
  </si>
  <si>
    <t>12344528</t>
  </si>
  <si>
    <t>991000675229702656</t>
  </si>
  <si>
    <t>2265274090002656</t>
  </si>
  <si>
    <t>9780913515105</t>
  </si>
  <si>
    <t>32285000229442</t>
  </si>
  <si>
    <t>893720755</t>
  </si>
  <si>
    <t>NA705 .K64 1987</t>
  </si>
  <si>
    <t>0                      NA 0705000K  64          1987</t>
  </si>
  <si>
    <t>America by design / Spiro Kostof.</t>
  </si>
  <si>
    <t>Kostof, Spiro.</t>
  </si>
  <si>
    <t>New York : Oxford University Press, 1987.</t>
  </si>
  <si>
    <t>1998-01-09</t>
  </si>
  <si>
    <t>7920133:eng</t>
  </si>
  <si>
    <t>13794633</t>
  </si>
  <si>
    <t>991000873269702656</t>
  </si>
  <si>
    <t>2269901910002656</t>
  </si>
  <si>
    <t>9780195042832</t>
  </si>
  <si>
    <t>32285003302816</t>
  </si>
  <si>
    <t>893702518</t>
  </si>
  <si>
    <t>NA705 .L3 1983</t>
  </si>
  <si>
    <t>0                      NA 0705000L  3           1983</t>
  </si>
  <si>
    <t>The Japanese influence in America / by Clay Lancaster ; with an introduction by Alan Priest.</t>
  </si>
  <si>
    <t>Lancaster, Clay.</t>
  </si>
  <si>
    <t>New York : Abbeville Press, c1983.</t>
  </si>
  <si>
    <t>1995-10-05</t>
  </si>
  <si>
    <t>1359614:eng</t>
  </si>
  <si>
    <t>9043725</t>
  </si>
  <si>
    <t>991000117489702656</t>
  </si>
  <si>
    <t>2266507150002656</t>
  </si>
  <si>
    <t>9780896593428</t>
  </si>
  <si>
    <t>32285001654424</t>
  </si>
  <si>
    <t>893802510</t>
  </si>
  <si>
    <t>NA705 .P5 1976, v...</t>
  </si>
  <si>
    <t>0                      NA 0705000P  5           1976                                        v...</t>
  </si>
  <si>
    <t>American buildings and their architects / William H. Pierson, Jr.</t>
  </si>
  <si>
    <t>Pierson, William H. (William Harvey), 1911-2008.</t>
  </si>
  <si>
    <t>Garden City, N.Y. : Anchor Press, 1976- c1970-</t>
  </si>
  <si>
    <t>1999-04-27</t>
  </si>
  <si>
    <t>1999-05-24</t>
  </si>
  <si>
    <t>10141477885:eng</t>
  </si>
  <si>
    <t>2379072</t>
  </si>
  <si>
    <t>991004287639702656</t>
  </si>
  <si>
    <t>2262881960002656</t>
  </si>
  <si>
    <t>9780385061230</t>
  </si>
  <si>
    <t>32285003263455</t>
  </si>
  <si>
    <t>893894797</t>
  </si>
  <si>
    <t>32285001654457</t>
  </si>
  <si>
    <t>893869545</t>
  </si>
  <si>
    <t>32285001152452</t>
  </si>
  <si>
    <t>893894796</t>
  </si>
  <si>
    <t>V.2 PT.1</t>
  </si>
  <si>
    <t>1999-04-05</t>
  </si>
  <si>
    <t>32285003263737</t>
  </si>
  <si>
    <t>893882296</t>
  </si>
  <si>
    <t>NA705 .R53 1980b</t>
  </si>
  <si>
    <t>0                      NA 0705000R  53          1980b</t>
  </si>
  <si>
    <t>A field guide to American architecture / by Carole Rifkind.</t>
  </si>
  <si>
    <t>Rifkind, Carole.</t>
  </si>
  <si>
    <t>New York : New American Library, c1980.</t>
  </si>
  <si>
    <t>3788201:eng</t>
  </si>
  <si>
    <t>5889305</t>
  </si>
  <si>
    <t>991004893149702656</t>
  </si>
  <si>
    <t>2271399150002656</t>
  </si>
  <si>
    <t>9780452252240</t>
  </si>
  <si>
    <t>32285000298983</t>
  </si>
  <si>
    <t>893332151</t>
  </si>
  <si>
    <t>NA705 .S578</t>
  </si>
  <si>
    <t>0                      NA 0705000S  578</t>
  </si>
  <si>
    <t>The architecture of the United States / G.E. Kidder Smith ; in association with the Museum of Modern Art, New York ; introd. by Albert Bush-Brown.</t>
  </si>
  <si>
    <t>Smith, G. E. Kidder (George Everard Kidder), 1913-1997.</t>
  </si>
  <si>
    <t>Garden City, N.Y. : Anchor Press, 1981.</t>
  </si>
  <si>
    <t>1997-04-08</t>
  </si>
  <si>
    <t>2799091586:eng</t>
  </si>
  <si>
    <t>6915859</t>
  </si>
  <si>
    <t>991005058779702656</t>
  </si>
  <si>
    <t>2265701480002656</t>
  </si>
  <si>
    <t>9780385146722</t>
  </si>
  <si>
    <t>32285001654465</t>
  </si>
  <si>
    <t>893344576</t>
  </si>
  <si>
    <t>1992-02-24</t>
  </si>
  <si>
    <t>32285000974252</t>
  </si>
  <si>
    <t>893344575</t>
  </si>
  <si>
    <t>1991-09-26</t>
  </si>
  <si>
    <t>32285000763879</t>
  </si>
  <si>
    <t>893344574</t>
  </si>
  <si>
    <t>NA705 .S58 1981</t>
  </si>
  <si>
    <t>0                      NA 0705000S  58          1981</t>
  </si>
  <si>
    <t>A pictorial history of architecture in America / by G.E. Kidder Smith ; chapter introductions by Marshall B. Davidson, editor in charge.</t>
  </si>
  <si>
    <t>New York : Bonanza Books : Distributed by Crown, 1981, c1976.</t>
  </si>
  <si>
    <t>1981 ed.</t>
  </si>
  <si>
    <t>2005-04-05</t>
  </si>
  <si>
    <t>1990-06-15</t>
  </si>
  <si>
    <t>350222013:eng</t>
  </si>
  <si>
    <t>7837837</t>
  </si>
  <si>
    <t>991005169089702656</t>
  </si>
  <si>
    <t>2256752230002656</t>
  </si>
  <si>
    <t>9780517362372</t>
  </si>
  <si>
    <t>32285000197490</t>
  </si>
  <si>
    <t>893514164</t>
  </si>
  <si>
    <t>NA705 .S74 1986</t>
  </si>
  <si>
    <t>0                      NA 0705000S  74          1986</t>
  </si>
  <si>
    <t>Pride of place : building the American dream / Robert A.M. Stern.</t>
  </si>
  <si>
    <t>Stern, Robert A. M.</t>
  </si>
  <si>
    <t>Boston : Houghton Mifflin, 1986.</t>
  </si>
  <si>
    <t>1999-02-23</t>
  </si>
  <si>
    <t>906983558:eng</t>
  </si>
  <si>
    <t>12971572</t>
  </si>
  <si>
    <t>991000759589702656</t>
  </si>
  <si>
    <t>2268023460002656</t>
  </si>
  <si>
    <t>9780395366967</t>
  </si>
  <si>
    <t>32285001653756</t>
  </si>
  <si>
    <t>893884732</t>
  </si>
  <si>
    <t>NA705 .T3</t>
  </si>
  <si>
    <t>0                      NA 0705000T  3</t>
  </si>
  <si>
    <t>The story of architecture in America / by Thomas E. Tallmadge.</t>
  </si>
  <si>
    <t>Tallmadge, Thomas E. (Thomas Eddy), 1876-1940.</t>
  </si>
  <si>
    <t>New York, W. W. Norton &amp; company, inc. [c1927]</t>
  </si>
  <si>
    <t>1927</t>
  </si>
  <si>
    <t>1927672:eng</t>
  </si>
  <si>
    <t>970294</t>
  </si>
  <si>
    <t>991003435189702656</t>
  </si>
  <si>
    <t>2257094230002656</t>
  </si>
  <si>
    <t>32285003170171</t>
  </si>
  <si>
    <t>893692715</t>
  </si>
  <si>
    <t>NA705 .U78 1998</t>
  </si>
  <si>
    <t>0                      NA 0705000U  78          1998</t>
  </si>
  <si>
    <t>Architecture in the United States / Dell Upton.</t>
  </si>
  <si>
    <t>Oxford ; New York : Oxford University Press, 1998.</t>
  </si>
  <si>
    <t>Oxford history of art</t>
  </si>
  <si>
    <t>2009-08-25</t>
  </si>
  <si>
    <t>1999-05-10</t>
  </si>
  <si>
    <t>986142:eng</t>
  </si>
  <si>
    <t>39890647</t>
  </si>
  <si>
    <t>991002975249702656</t>
  </si>
  <si>
    <t>2261369670002656</t>
  </si>
  <si>
    <t>9780192842176</t>
  </si>
  <si>
    <t>32285003559761</t>
  </si>
  <si>
    <t>893524276</t>
  </si>
  <si>
    <t>NA705 .W47 1992</t>
  </si>
  <si>
    <t>0                      NA 0705000W  47          1992</t>
  </si>
  <si>
    <t>American architecture since 1780 : a guide to the styles / Marcus Whiffen.</t>
  </si>
  <si>
    <t>Whiffen, Marcus.</t>
  </si>
  <si>
    <t>Cambridge, Mass. : MIT Press, c1992.</t>
  </si>
  <si>
    <t>1993-11-30</t>
  </si>
  <si>
    <t>836915166:eng</t>
  </si>
  <si>
    <t>24550249</t>
  </si>
  <si>
    <t>991001944179702656</t>
  </si>
  <si>
    <t>2259688570002656</t>
  </si>
  <si>
    <t>9780262231640</t>
  </si>
  <si>
    <t>32285001813814</t>
  </si>
  <si>
    <t>893244573</t>
  </si>
  <si>
    <t>NA707 .K39 1993</t>
  </si>
  <si>
    <t>0                      NA 0707000K  39          1993</t>
  </si>
  <si>
    <t>Mission : the history and architecture of the missions of North America / Roger G. Kennedy ; edited and designed by David Larkin ; photography by Michael Freeman.</t>
  </si>
  <si>
    <t>Kennedy, Roger G.</t>
  </si>
  <si>
    <t>Boston : Houghton Mifflin, 1993.</t>
  </si>
  <si>
    <t>2005-04-26</t>
  </si>
  <si>
    <t>1995-11-06</t>
  </si>
  <si>
    <t>336102:eng</t>
  </si>
  <si>
    <t>27975652</t>
  </si>
  <si>
    <t>991002173709702656</t>
  </si>
  <si>
    <t>2262294240002656</t>
  </si>
  <si>
    <t>9780395634165</t>
  </si>
  <si>
    <t>32285002101060</t>
  </si>
  <si>
    <t>893244852</t>
  </si>
  <si>
    <t>NA707 .M63 1976</t>
  </si>
  <si>
    <t>0                      NA 0707000M  63          1976</t>
  </si>
  <si>
    <t>Early American architecture : from the first colonial settlements to the National Period.</t>
  </si>
  <si>
    <t>Morrison, Hugh.</t>
  </si>
  <si>
    <t>New York : Oxford University Press, 1976, c1952.</t>
  </si>
  <si>
    <t>367051499:eng</t>
  </si>
  <si>
    <t>294863</t>
  </si>
  <si>
    <t>991002233259702656</t>
  </si>
  <si>
    <t>2268433600002656</t>
  </si>
  <si>
    <t>32285000976489</t>
  </si>
  <si>
    <t>893517042</t>
  </si>
  <si>
    <t>NA710 .A5 1975</t>
  </si>
  <si>
    <t>0                      NA 0710000A  5           1975</t>
  </si>
  <si>
    <t>American Victorian architecture : a survey of the 70's and 80's in contemporary photographs / with a new introduction by Arnold Lewis, and notes on the plates by Keith Morgan.</t>
  </si>
  <si>
    <t>New York : Dover Publications, c1975.</t>
  </si>
  <si>
    <t>1996-11-25</t>
  </si>
  <si>
    <t>1993-09-21</t>
  </si>
  <si>
    <t>836642151:eng</t>
  </si>
  <si>
    <t>1957961</t>
  </si>
  <si>
    <t>991003950599702656</t>
  </si>
  <si>
    <t>2264652840002656</t>
  </si>
  <si>
    <t>9780486231778</t>
  </si>
  <si>
    <t>32285001759207</t>
  </si>
  <si>
    <t>893337176</t>
  </si>
  <si>
    <t>NA710 .E2</t>
  </si>
  <si>
    <t>0                      NA 0710000E  2</t>
  </si>
  <si>
    <t>Romanticism and American architecture.</t>
  </si>
  <si>
    <t>Early, James, 1923-2005.</t>
  </si>
  <si>
    <t>New York, A.S. Barnes [1965]</t>
  </si>
  <si>
    <t>1999-02-22</t>
  </si>
  <si>
    <t>118491057:eng</t>
  </si>
  <si>
    <t>926966</t>
  </si>
  <si>
    <t>991003389499702656</t>
  </si>
  <si>
    <t>2262867110002656</t>
  </si>
  <si>
    <t>32285002861374</t>
  </si>
  <si>
    <t>893330263</t>
  </si>
  <si>
    <t>NA710 .M3 1957a</t>
  </si>
  <si>
    <t>0                      NA 0710000M  3           1957a</t>
  </si>
  <si>
    <t>The gingerbread age : a view of Victorian America / by John Maass.</t>
  </si>
  <si>
    <t>Maass, John, 1918-</t>
  </si>
  <si>
    <t>New York : Bramhall House, [c1957]</t>
  </si>
  <si>
    <t>1998-01-14</t>
  </si>
  <si>
    <t>1993-07-06</t>
  </si>
  <si>
    <t>1616469:eng</t>
  </si>
  <si>
    <t>755737</t>
  </si>
  <si>
    <t>991003230829702656</t>
  </si>
  <si>
    <t>2267076450002656</t>
  </si>
  <si>
    <t>32285001700839</t>
  </si>
  <si>
    <t>893252170</t>
  </si>
  <si>
    <t>NA710 .N53 1995</t>
  </si>
  <si>
    <t>0                      NA 0710000N  53          1995</t>
  </si>
  <si>
    <t>The architecture of the Shakers / Julie Nicoletta ; photography by Bret Morgan ; foreword by Robert P. Emlen.</t>
  </si>
  <si>
    <t>Nicoletta, Julie.</t>
  </si>
  <si>
    <t>Woodstock, Vt. : Countryman Press, 1995.</t>
  </si>
  <si>
    <t>1997-03-04</t>
  </si>
  <si>
    <t>1995-11-02</t>
  </si>
  <si>
    <t>5612155190:eng</t>
  </si>
  <si>
    <t>31009824</t>
  </si>
  <si>
    <t>991002385639702656</t>
  </si>
  <si>
    <t>2259264330002656</t>
  </si>
  <si>
    <t>9780881503104</t>
  </si>
  <si>
    <t>32285002099629</t>
  </si>
  <si>
    <t>893622228</t>
  </si>
  <si>
    <t>NA710.5.E25 P42</t>
  </si>
  <si>
    <t>0                      NA 0710500E  25                 P  42</t>
  </si>
  <si>
    <t>America's gilded age : its architecture and decoration / Frederick Platt.</t>
  </si>
  <si>
    <t>Platt, Frederick, 1946-</t>
  </si>
  <si>
    <t>South Brunswick : A. S. Barnes, c1976.</t>
  </si>
  <si>
    <t>2004-04-21</t>
  </si>
  <si>
    <t>1991-10-07</t>
  </si>
  <si>
    <t>118222897:eng</t>
  </si>
  <si>
    <t>1175735</t>
  </si>
  <si>
    <t>991003596469702656</t>
  </si>
  <si>
    <t>2271915580002656</t>
  </si>
  <si>
    <t>9780498013225</t>
  </si>
  <si>
    <t>32285000763861</t>
  </si>
  <si>
    <t>893868603</t>
  </si>
  <si>
    <t>NA7110 .R68 1982</t>
  </si>
  <si>
    <t>0                      NA 7110000R  68          1982</t>
  </si>
  <si>
    <t>The mathematics of the ideal villa and other essays / Colin Rowe.</t>
  </si>
  <si>
    <t>Rowe, Colin.</t>
  </si>
  <si>
    <t>Cambridge, Mass. : MIT Press, 1982, c1976, 1984 printing.</t>
  </si>
  <si>
    <t>1st MIT Press paperback ed.</t>
  </si>
  <si>
    <t>2006-03-29</t>
  </si>
  <si>
    <t>1993-04-07</t>
  </si>
  <si>
    <t>430289:eng</t>
  </si>
  <si>
    <t>9911021</t>
  </si>
  <si>
    <t>991000279339702656</t>
  </si>
  <si>
    <t>2263237620002656</t>
  </si>
  <si>
    <t>9780262680370</t>
  </si>
  <si>
    <t>32285001604007</t>
  </si>
  <si>
    <t>893438140</t>
  </si>
  <si>
    <t>NA7115 .C87 1979</t>
  </si>
  <si>
    <t>0                      NA 7115000C  87          1979</t>
  </si>
  <si>
    <t>Drawing home plans : a simplified drafting system for planning and design / June Curran ; designs and ill. by the author.</t>
  </si>
  <si>
    <t>Curran, June, 1923-</t>
  </si>
  <si>
    <t>Bakersfield, Calif. : Brooks Pub. Co., c1979.</t>
  </si>
  <si>
    <t>[New ed.]</t>
  </si>
  <si>
    <t>1994-11-18</t>
  </si>
  <si>
    <t>1991-11-08</t>
  </si>
  <si>
    <t>563531:eng</t>
  </si>
  <si>
    <t>4956527</t>
  </si>
  <si>
    <t>991004753979702656</t>
  </si>
  <si>
    <t>2269030560002656</t>
  </si>
  <si>
    <t>9780932370013</t>
  </si>
  <si>
    <t>32285000820760</t>
  </si>
  <si>
    <t>893612737</t>
  </si>
  <si>
    <t>NA712 .R86 1989</t>
  </si>
  <si>
    <t>0                      NA 0712000R  86          1989</t>
  </si>
  <si>
    <t>Architecture and design, 1970-1990 : new ideas in America / Beverly Russell.</t>
  </si>
  <si>
    <t>Russell, Beverly.</t>
  </si>
  <si>
    <t>New York : Abrams, 1989.</t>
  </si>
  <si>
    <t>1997-04-28</t>
  </si>
  <si>
    <t>226114565:eng</t>
  </si>
  <si>
    <t>19270736</t>
  </si>
  <si>
    <t>991001445889702656</t>
  </si>
  <si>
    <t>2268881040002656</t>
  </si>
  <si>
    <t>9780810918900</t>
  </si>
  <si>
    <t>32285000299049</t>
  </si>
  <si>
    <t>893408141</t>
  </si>
  <si>
    <t>NA712 .S7 1969</t>
  </si>
  <si>
    <t>0                      NA 0712000S  7           1969</t>
  </si>
  <si>
    <t>New directions in American architecture / [by] Robert A. M. Stern.</t>
  </si>
  <si>
    <t>New York : G. Braziller, c1969.</t>
  </si>
  <si>
    <t>New directions in architecture</t>
  </si>
  <si>
    <t>1999-01-20</t>
  </si>
  <si>
    <t>464454:eng</t>
  </si>
  <si>
    <t>24311</t>
  </si>
  <si>
    <t>991000059579702656</t>
  </si>
  <si>
    <t>2266799130002656</t>
  </si>
  <si>
    <t>32285003514139</t>
  </si>
  <si>
    <t>893502186</t>
  </si>
  <si>
    <t>NA712 .W6</t>
  </si>
  <si>
    <t>0                      NA 0712000W  6</t>
  </si>
  <si>
    <t>From Bauhaus to our house / Tom Wolfe.</t>
  </si>
  <si>
    <t>Wolfe, Tom.</t>
  </si>
  <si>
    <t>New York : Farrar Straus Giroux, 1981.</t>
  </si>
  <si>
    <t>450320:eng</t>
  </si>
  <si>
    <t>7734777</t>
  </si>
  <si>
    <t>991005152829702656</t>
  </si>
  <si>
    <t>2255828950002656</t>
  </si>
  <si>
    <t>9780374158927</t>
  </si>
  <si>
    <t>32285001091106</t>
  </si>
  <si>
    <t>893789524</t>
  </si>
  <si>
    <t>NA7120 .R93 1990</t>
  </si>
  <si>
    <t>0                      NA 7120000R  93          1990</t>
  </si>
  <si>
    <t>The most beautiful house in the world / by Witold Rybczynski.</t>
  </si>
  <si>
    <t>Rybczynski, Witold.</t>
  </si>
  <si>
    <t>New York, N.Y., U.S.A. : Penguin Books, 1990.</t>
  </si>
  <si>
    <t>2010-02-08</t>
  </si>
  <si>
    <t>2010-01-26</t>
  </si>
  <si>
    <t>600162:eng</t>
  </si>
  <si>
    <t>20826674</t>
  </si>
  <si>
    <t>991005352269702656</t>
  </si>
  <si>
    <t>2261256100002656</t>
  </si>
  <si>
    <t>9780140105667</t>
  </si>
  <si>
    <t>32285005559231</t>
  </si>
  <si>
    <t>893890071</t>
  </si>
  <si>
    <t>NA7120 .V3 1864</t>
  </si>
  <si>
    <t>0                      NA 7120000V  3           1864</t>
  </si>
  <si>
    <t>Villas and cottages : a series of designs prepared for execution in the United States / by Calvert Vaux ; illustrated by 370 engravings.</t>
  </si>
  <si>
    <t>Vaux, Calvert, 1824-1895.</t>
  </si>
  <si>
    <t>New York : Harper &amp; Brothers, 1864.</t>
  </si>
  <si>
    <t>1864</t>
  </si>
  <si>
    <t>1998-02-04</t>
  </si>
  <si>
    <t>1993-08-30</t>
  </si>
  <si>
    <t>1170060:eng</t>
  </si>
  <si>
    <t>1495157</t>
  </si>
  <si>
    <t>991003781489702656</t>
  </si>
  <si>
    <t>2272622610002656</t>
  </si>
  <si>
    <t>32285001757854</t>
  </si>
  <si>
    <t>893693150</t>
  </si>
  <si>
    <t>NA7125 .G85 1989</t>
  </si>
  <si>
    <t>0                      NA 7125000G  85          1989</t>
  </si>
  <si>
    <t>The Victorian house book / Robin Guild ; with Vernon Gibberd and other contributors.</t>
  </si>
  <si>
    <t>Guild, Robin.</t>
  </si>
  <si>
    <t>New York : Rizzoli, 1989.</t>
  </si>
  <si>
    <t>2004-11-01</t>
  </si>
  <si>
    <t>1990-01-09</t>
  </si>
  <si>
    <t>21226568:eng</t>
  </si>
  <si>
    <t>19458230</t>
  </si>
  <si>
    <t>991001463299702656</t>
  </si>
  <si>
    <t>2267450180002656</t>
  </si>
  <si>
    <t>9780847810956</t>
  </si>
  <si>
    <t>32285000026970</t>
  </si>
  <si>
    <t>893797595</t>
  </si>
  <si>
    <t>NA7125 .R9 1987</t>
  </si>
  <si>
    <t>0                      NA 7125000R  9           1987</t>
  </si>
  <si>
    <t>Home : a short history of an idea / Witold Rybczynski.</t>
  </si>
  <si>
    <t>New York, NY : Penguin Books, 1987, c1986.</t>
  </si>
  <si>
    <t>2010-01-19</t>
  </si>
  <si>
    <t>1995-02-03</t>
  </si>
  <si>
    <t>44216659:eng</t>
  </si>
  <si>
    <t>14966304</t>
  </si>
  <si>
    <t>991000972649702656</t>
  </si>
  <si>
    <t>2264100470002656</t>
  </si>
  <si>
    <t>9780140102314</t>
  </si>
  <si>
    <t>32285001997179</t>
  </si>
  <si>
    <t>893419940</t>
  </si>
  <si>
    <t>NA7145 .H47 1984</t>
  </si>
  <si>
    <t>0                      NA 7145000H  47          1984</t>
  </si>
  <si>
    <t>The dream of the factory-made house : Walter Gropius and Konrad Wachsmann / Gilbert Herbert.</t>
  </si>
  <si>
    <t>Herbert, Gilbert.</t>
  </si>
  <si>
    <t>Cambridge, Mass. : MIT Press, c1984.</t>
  </si>
  <si>
    <t>3751208:eng</t>
  </si>
  <si>
    <t>10948755</t>
  </si>
  <si>
    <t>991000462859702656</t>
  </si>
  <si>
    <t>2272636030002656</t>
  </si>
  <si>
    <t>9780262081405</t>
  </si>
  <si>
    <t>32285001658219</t>
  </si>
  <si>
    <t>893784230</t>
  </si>
  <si>
    <t>NA715 .C63</t>
  </si>
  <si>
    <t>0                      NA 0715000C  63</t>
  </si>
  <si>
    <t>Colonial architecture in New England : from material originally published as the White pine series of architectural monographs, edited by Russell F. Whitehead and Frank Chouteau Brown / prepared for this series by the staff of the Early American Society, Robert G. Miner, editor ... [et al.].</t>
  </si>
  <si>
    <t>New York : Arno Press, c1977.</t>
  </si>
  <si>
    <t>An Early American Society book</t>
  </si>
  <si>
    <t>1998-02-25</t>
  </si>
  <si>
    <t>1992-02-10</t>
  </si>
  <si>
    <t>5578052008:eng</t>
  </si>
  <si>
    <t>3273943</t>
  </si>
  <si>
    <t>991004393719702656</t>
  </si>
  <si>
    <t>2263177890002656</t>
  </si>
  <si>
    <t>9780405100666</t>
  </si>
  <si>
    <t>32285000954619</t>
  </si>
  <si>
    <t>893605974</t>
  </si>
  <si>
    <t>NA7205 .D3</t>
  </si>
  <si>
    <t>0                      NA 7205000D  3</t>
  </si>
  <si>
    <t>The American Heritage history of notable American houses / author and editor in charge, Marshall B. Davidson. Biographical essays, Margot P. Brill.</t>
  </si>
  <si>
    <t>Davidson, Marshall B.</t>
  </si>
  <si>
    <t>New York : American Heritage Pub. Co., [1971]</t>
  </si>
  <si>
    <t>1998-02-28</t>
  </si>
  <si>
    <t>1990-11-30</t>
  </si>
  <si>
    <t>405098:eng</t>
  </si>
  <si>
    <t>179823</t>
  </si>
  <si>
    <t>991001084549702656</t>
  </si>
  <si>
    <t>2264862610002656</t>
  </si>
  <si>
    <t>9780070154674</t>
  </si>
  <si>
    <t>32285000411065</t>
  </si>
  <si>
    <t>893509368</t>
  </si>
  <si>
    <t>NA7205 .J66 1987</t>
  </si>
  <si>
    <t>0                      NA 7205000J  66          1987</t>
  </si>
  <si>
    <t>Authentic small houses of the twenties : illustrations and floor plans of 254 characteristic homes / edited by Robert T. Jones.</t>
  </si>
  <si>
    <t>Jones, Robert T. (Robert Taylor), 1884-</t>
  </si>
  <si>
    <t>New York : Dover Publications, 1987.</t>
  </si>
  <si>
    <t>Dover books on architecture</t>
  </si>
  <si>
    <t>1993-11-06</t>
  </si>
  <si>
    <t>1991-01-25</t>
  </si>
  <si>
    <t>8511108:eng</t>
  </si>
  <si>
    <t>14965475</t>
  </si>
  <si>
    <t>991000972199702656</t>
  </si>
  <si>
    <t>2268506510002656</t>
  </si>
  <si>
    <t>9780486254067</t>
  </si>
  <si>
    <t>32285000298942</t>
  </si>
  <si>
    <t>893413849</t>
  </si>
  <si>
    <t>NA7205 .L2 1879</t>
  </si>
  <si>
    <t>0                      NA 7205000L  2           1879</t>
  </si>
  <si>
    <t>The homes of America / with one hundred and three illustrations. Ed. by Mrs. Martha J. Lamb.</t>
  </si>
  <si>
    <t>Lamb, Martha J. (Martha Joanna), 1829-1893, editor.</t>
  </si>
  <si>
    <t>New York : D. Appleton and company, [c1879]</t>
  </si>
  <si>
    <t>1879</t>
  </si>
  <si>
    <t>2004-02-20</t>
  </si>
  <si>
    <t>1996-07-19</t>
  </si>
  <si>
    <t>1537630:eng</t>
  </si>
  <si>
    <t>528330</t>
  </si>
  <si>
    <t>991002924289702656</t>
  </si>
  <si>
    <t>2263451510002656</t>
  </si>
  <si>
    <t>32285002214103</t>
  </si>
  <si>
    <t>893329722</t>
  </si>
  <si>
    <t>NA7205 .P68</t>
  </si>
  <si>
    <t>0                      NA 7205000P  68</t>
  </si>
  <si>
    <t>A guide to early American homes, South / [by] Dorothy &amp; Richard Pratt.</t>
  </si>
  <si>
    <t>Pratt, Dorothy.</t>
  </si>
  <si>
    <t>New York : Bonanza Books, [c1956]</t>
  </si>
  <si>
    <t>9593767336:eng</t>
  </si>
  <si>
    <t>7922269</t>
  </si>
  <si>
    <t>991005175649702656</t>
  </si>
  <si>
    <t>2259183420002656</t>
  </si>
  <si>
    <t>32285000411073</t>
  </si>
  <si>
    <t>893870650</t>
  </si>
  <si>
    <t>NA7205 .P7</t>
  </si>
  <si>
    <t>0                      NA 7205000P  7</t>
  </si>
  <si>
    <t>A treasury of early American homes.</t>
  </si>
  <si>
    <t>Pratt, Richard, 1891-1973.</t>
  </si>
  <si>
    <t>New York, Whittlesey House [1949]</t>
  </si>
  <si>
    <t>2005-01-31</t>
  </si>
  <si>
    <t>1428021:eng</t>
  </si>
  <si>
    <t>330133</t>
  </si>
  <si>
    <t>991002386139702656</t>
  </si>
  <si>
    <t>2259079090002656</t>
  </si>
  <si>
    <t>32285002863057</t>
  </si>
  <si>
    <t>893415135</t>
  </si>
  <si>
    <t>NA7207 .O6 1987</t>
  </si>
  <si>
    <t>0                      NA 7207000O  6           1987</t>
  </si>
  <si>
    <t>The Opulent interiors of the Gilded Age : all 203 photographs from "Artistic houses" : with new text / by Arnold Lewis, James Turner, and Steven McQuillin.</t>
  </si>
  <si>
    <t>New York : Dover, c1987.</t>
  </si>
  <si>
    <t>2005-02-02</t>
  </si>
  <si>
    <t>1999-03-17</t>
  </si>
  <si>
    <t>836669640:eng</t>
  </si>
  <si>
    <t>14167164</t>
  </si>
  <si>
    <t>991000915059702656</t>
  </si>
  <si>
    <t>2267460220002656</t>
  </si>
  <si>
    <t>9780486252506</t>
  </si>
  <si>
    <t>32285003533725</t>
  </si>
  <si>
    <t>893715008</t>
  </si>
  <si>
    <t>NA7207 .S38</t>
  </si>
  <si>
    <t>0                      NA 7207000S  38</t>
  </si>
  <si>
    <t>The shingle style / architectural theory and design from Richardson to the origins of Wright.</t>
  </si>
  <si>
    <t>New Haven : Yale University Press, 1955.</t>
  </si>
  <si>
    <t>1955</t>
  </si>
  <si>
    <t>Yale historical publications. History of art ; 10</t>
  </si>
  <si>
    <t>2000-03-18</t>
  </si>
  <si>
    <t>8909492358:eng</t>
  </si>
  <si>
    <t>519360</t>
  </si>
  <si>
    <t>991002905819702656</t>
  </si>
  <si>
    <t>2256800510002656</t>
  </si>
  <si>
    <t>32285001603991</t>
  </si>
  <si>
    <t>893329700</t>
  </si>
  <si>
    <t>NA7208 .W68</t>
  </si>
  <si>
    <t>0                      NA 7208000W  68</t>
  </si>
  <si>
    <t>The natural house.</t>
  </si>
  <si>
    <t>Wright, Frank Lloyd, 1867-1959.</t>
  </si>
  <si>
    <t>New York, Horizon Press, 1954.</t>
  </si>
  <si>
    <t>1954</t>
  </si>
  <si>
    <t>339626:eng</t>
  </si>
  <si>
    <t>274424</t>
  </si>
  <si>
    <t>991002163369702656</t>
  </si>
  <si>
    <t>2260808450002656</t>
  </si>
  <si>
    <t>9780517020784</t>
  </si>
  <si>
    <t>32285002863099</t>
  </si>
  <si>
    <t>893322626</t>
  </si>
  <si>
    <t>NA7210 .E18</t>
  </si>
  <si>
    <t>0                      NA 7210000E  18</t>
  </si>
  <si>
    <t>Early homes of New England : from material originally published as the White pine series of architectural monographs, edited by Russell F. Whitehead and Frank Chouteau Brown / prepared for this series by the staff of the Early American Society, Robert G. Miner, editor ... [et al.].</t>
  </si>
  <si>
    <t>New York : Arno Press : distributed to the book trade by Crown Publishers, c1977.</t>
  </si>
  <si>
    <t>1992-02-28</t>
  </si>
  <si>
    <t>424249835:eng</t>
  </si>
  <si>
    <t>3273935</t>
  </si>
  <si>
    <t>991004393619702656</t>
  </si>
  <si>
    <t>2263161470002656</t>
  </si>
  <si>
    <t>9780405100680</t>
  </si>
  <si>
    <t>32285000978816</t>
  </si>
  <si>
    <t>893423740</t>
  </si>
  <si>
    <t>NA7211 .C7</t>
  </si>
  <si>
    <t>0                      NA 7211000C  7</t>
  </si>
  <si>
    <t>Colonial homes in the Southern States : from material originally published as the White pine series of architectural monographs, edited by Russell F. Whitehead and Frank Chouteau Brown / prepared for this series by the staff of the Early American Society, Robert G. Miner, editor ... [et al.].</t>
  </si>
  <si>
    <t>2000-03-20</t>
  </si>
  <si>
    <t>424249963:eng</t>
  </si>
  <si>
    <t>3273944</t>
  </si>
  <si>
    <t>991004393749702656</t>
  </si>
  <si>
    <t>2263178410002656</t>
  </si>
  <si>
    <t>9780405100703</t>
  </si>
  <si>
    <t>32285001033629</t>
  </si>
  <si>
    <t>893788650</t>
  </si>
  <si>
    <t>NA722 .P72</t>
  </si>
  <si>
    <t>0                      NA 0722000P  72</t>
  </si>
  <si>
    <t>Prairie School architecture : studies from "The Western architect" / edited and introduced by H. Allen Brooks.</t>
  </si>
  <si>
    <t>Toronto ; Buffalo : University of Toronto Press, [1975]</t>
  </si>
  <si>
    <t>onc</t>
  </si>
  <si>
    <t>2002-04-25</t>
  </si>
  <si>
    <t>2863585125:eng</t>
  </si>
  <si>
    <t>1530383</t>
  </si>
  <si>
    <t>991003804849702656</t>
  </si>
  <si>
    <t>2269642220002656</t>
  </si>
  <si>
    <t>9780802021380</t>
  </si>
  <si>
    <t>32285003170189</t>
  </si>
  <si>
    <t>893875213</t>
  </si>
  <si>
    <t>NA7235.M4 E18</t>
  </si>
  <si>
    <t>0                      NA 7235000M  4                  E  18</t>
  </si>
  <si>
    <t>Early homes of Massachusetts : from material originally published as the White pine series of architectural monographs, edited by Russell F. Whitehead and Frank Chouteau Brown / prepared for this series by the staff of the Early American Society, Robert G. Miner, editor ... [et al.].</t>
  </si>
  <si>
    <t>424271503:eng</t>
  </si>
  <si>
    <t>3275736</t>
  </si>
  <si>
    <t>991004395379702656</t>
  </si>
  <si>
    <t>2257131820002656</t>
  </si>
  <si>
    <t>9780405100642</t>
  </si>
  <si>
    <t>32285001033611</t>
  </si>
  <si>
    <t>893331542</t>
  </si>
  <si>
    <t>NA7235.N7 E18</t>
  </si>
  <si>
    <t>0                      NA 7235000N  7                  E  18</t>
  </si>
  <si>
    <t>Early homes of New York and the Mid-Atlantic States : from material originally published as the White pine series of architectural monographs, edited by Russell F. Whitehead and Frank Chouteau Brown / prepared for this series by the staff of the Early American Society, Robert G. Miner, editor ... [et al.].</t>
  </si>
  <si>
    <t>5612061527:eng</t>
  </si>
  <si>
    <t>3273940</t>
  </si>
  <si>
    <t>991004393689702656</t>
  </si>
  <si>
    <t>2263177270002656</t>
  </si>
  <si>
    <t>9780405100697</t>
  </si>
  <si>
    <t>32285001033603</t>
  </si>
  <si>
    <t>893337673</t>
  </si>
  <si>
    <t>NA7235.R4 E18</t>
  </si>
  <si>
    <t>0                      NA 7235000R  4                  E  18</t>
  </si>
  <si>
    <t>Early homes of Rhode Island : from material originally published as the White pine series of architectural monographs, edited by Russell F. Whitehead and Frank Chouteau Brown / prepared for this series by the staff of the Early American Society, Robert G. Miner, editor ... [et al.].</t>
  </si>
  <si>
    <t>982124693:eng</t>
  </si>
  <si>
    <t>3273932</t>
  </si>
  <si>
    <t>991004393589702656</t>
  </si>
  <si>
    <t>2263179400002656</t>
  </si>
  <si>
    <t>9780405100673</t>
  </si>
  <si>
    <t>32285000974245</t>
  </si>
  <si>
    <t>893436237</t>
  </si>
  <si>
    <t>NA7238.C4 W74</t>
  </si>
  <si>
    <t>0                      NA 7238000C  4                  W  74</t>
  </si>
  <si>
    <t>Moralism and the model home : domestic architecture and cultural conflict in Chicago, 1873-1913 / Gwendolyn Wright.</t>
  </si>
  <si>
    <t>Wright, Gwendolyn.</t>
  </si>
  <si>
    <t>Chicago : University of Chicago Press, c1980.</t>
  </si>
  <si>
    <t>1998-04-15</t>
  </si>
  <si>
    <t>1993-01-13</t>
  </si>
  <si>
    <t>419566:eng</t>
  </si>
  <si>
    <t>5830516</t>
  </si>
  <si>
    <t>991004883699702656</t>
  </si>
  <si>
    <t>2260687980002656</t>
  </si>
  <si>
    <t>9780226908359</t>
  </si>
  <si>
    <t>32285001488658</t>
  </si>
  <si>
    <t>893612873</t>
  </si>
  <si>
    <t>NA7238.L89 J42</t>
  </si>
  <si>
    <t>0                      NA 7238000L  89                 J  42</t>
  </si>
  <si>
    <t>Daydream houses of Los Angeles / Charles Jencks.</t>
  </si>
  <si>
    <t>New York : Rizzoli, 1978.</t>
  </si>
  <si>
    <t>1996-04-13</t>
  </si>
  <si>
    <t>14809883:eng</t>
  </si>
  <si>
    <t>4560059</t>
  </si>
  <si>
    <t>991004680059702656</t>
  </si>
  <si>
    <t>2261486560002656</t>
  </si>
  <si>
    <t>9780847801770</t>
  </si>
  <si>
    <t>32285001603975</t>
  </si>
  <si>
    <t>893776308</t>
  </si>
  <si>
    <t>NA730.M4 A72</t>
  </si>
  <si>
    <t>0                      NA 0730000M  4                  A  72</t>
  </si>
  <si>
    <t>Architecture in colonial Massachusetts : a conference held by the Colonial Society of Massachusetts, September 19 and 20, 1974.</t>
  </si>
  <si>
    <t>Boston : The Society ; [Charlottesville] : distributed by the University Press of Virginia, 1979.</t>
  </si>
  <si>
    <t>Publications of the Colonial Society of Massachusetts ; v. 51</t>
  </si>
  <si>
    <t>475513:eng</t>
  </si>
  <si>
    <t>5348616</t>
  </si>
  <si>
    <t>991004823889702656</t>
  </si>
  <si>
    <t>2262280790002656</t>
  </si>
  <si>
    <t>32285001654515</t>
  </si>
  <si>
    <t>893254142</t>
  </si>
  <si>
    <t>NA730.M4 C68</t>
  </si>
  <si>
    <t>0                      NA 0730000M  4                  C  68</t>
  </si>
  <si>
    <t>Colonial architecture in Massachusetts : from material originally published as the White pine series of architectural monographs, edited by Russell F. Whitehead and Frank Chouteau Brown / prepared for this series by the staff of the Early American Society, Robert G. Miner, editor ... [et al.].</t>
  </si>
  <si>
    <t>424249782:eng</t>
  </si>
  <si>
    <t>3273931</t>
  </si>
  <si>
    <t>991004393569702656</t>
  </si>
  <si>
    <t>2263160670002656</t>
  </si>
  <si>
    <t>9780405100659</t>
  </si>
  <si>
    <t>32285001033637</t>
  </si>
  <si>
    <t>893325331</t>
  </si>
  <si>
    <t>NA730.N42 L667 1980</t>
  </si>
  <si>
    <t>0                      NA 0730000N  42                 L  667         1980</t>
  </si>
  <si>
    <t>Beaux-arts estates : a guide to the architecture of Long Island / Liisa and Donald Sclare.</t>
  </si>
  <si>
    <t>Sclare, Liisa.</t>
  </si>
  <si>
    <t>New York : Viking Press, 1980, c1979.</t>
  </si>
  <si>
    <t>367160663:eng</t>
  </si>
  <si>
    <t>4515971</t>
  </si>
  <si>
    <t>991004671739702656</t>
  </si>
  <si>
    <t>2262939890002656</t>
  </si>
  <si>
    <t>9780670343836</t>
  </si>
  <si>
    <t>32285000212810</t>
  </si>
  <si>
    <t>893776292</t>
  </si>
  <si>
    <t>NA7328 .M88 1982</t>
  </si>
  <si>
    <t>0                      NA 7328000M  88          1982</t>
  </si>
  <si>
    <t>The English terraced house / Stefan Muthesius.</t>
  </si>
  <si>
    <t>Muthesius, Stefan.</t>
  </si>
  <si>
    <t>New Haven : Yale University Press, 1982.</t>
  </si>
  <si>
    <t>1992-07-26</t>
  </si>
  <si>
    <t>435977:eng</t>
  </si>
  <si>
    <t>8430498</t>
  </si>
  <si>
    <t>991005242269702656</t>
  </si>
  <si>
    <t>2261318380002656</t>
  </si>
  <si>
    <t>9780300028713</t>
  </si>
  <si>
    <t>32285000212828</t>
  </si>
  <si>
    <t>893320307</t>
  </si>
  <si>
    <t>NA7328 .W64 1981</t>
  </si>
  <si>
    <t>0                      NA 7328000W  64          1981</t>
  </si>
  <si>
    <t>The English mediaeval house / Margaret Wood.</t>
  </si>
  <si>
    <t>Wood, Margaret, 1908-</t>
  </si>
  <si>
    <t>London : Ferndale Editions, 1981, c1965.</t>
  </si>
  <si>
    <t>1483815:eng</t>
  </si>
  <si>
    <t>8680812</t>
  </si>
  <si>
    <t>991000049789702656</t>
  </si>
  <si>
    <t>2268190970002656</t>
  </si>
  <si>
    <t>9780905746234</t>
  </si>
  <si>
    <t>32285001658235</t>
  </si>
  <si>
    <t>893601407</t>
  </si>
  <si>
    <t>NA735.C4 B33</t>
  </si>
  <si>
    <t>0                      NA 0735000C  4                  B  33</t>
  </si>
  <si>
    <t>A guide to Chicago's historic suburbs on wheels and on foot (Lake, McHenry, Kane, DuPage, Will &amp; Cook Counties) / by Ira J. Bach assisted by Susan Wolfson.</t>
  </si>
  <si>
    <t>Bach, Ira J.</t>
  </si>
  <si>
    <t>Chicago : Swallow Press, c1981.</t>
  </si>
  <si>
    <t>1990-03-13</t>
  </si>
  <si>
    <t>457467:eng</t>
  </si>
  <si>
    <t>7553324</t>
  </si>
  <si>
    <t>991005125539702656</t>
  </si>
  <si>
    <t>2262651310002656</t>
  </si>
  <si>
    <t>9780804003742</t>
  </si>
  <si>
    <t>32285000085364</t>
  </si>
  <si>
    <t>893332431</t>
  </si>
  <si>
    <t>NA735.C4 C4 1980</t>
  </si>
  <si>
    <t>0                      NA 0735000C  4                  C  4           1980</t>
  </si>
  <si>
    <t>Chicago's famous buildings : a photographic guide to the city's architectural landmarks and other notable buildings / contributions by Carl W. Condit and Hugh Dalziel Duncan.</t>
  </si>
  <si>
    <t>Chicago : University of Chicago Press, 1980.</t>
  </si>
  <si>
    <t>3d ed., rev. and enl. / edited by Ira J. Bach with the assistance of Roy Forrey.</t>
  </si>
  <si>
    <t>2005-05-04</t>
  </si>
  <si>
    <t>4921992344:eng</t>
  </si>
  <si>
    <t>5674964</t>
  </si>
  <si>
    <t>991004855959702656</t>
  </si>
  <si>
    <t>2260328620002656</t>
  </si>
  <si>
    <t>9780226033952</t>
  </si>
  <si>
    <t>32285000085372</t>
  </si>
  <si>
    <t>893229925</t>
  </si>
  <si>
    <t>NA735.C4 L37 1993</t>
  </si>
  <si>
    <t>0                      NA 0735000C  4                  L  37          1993</t>
  </si>
  <si>
    <t>Chicago architecture and design / George A. Larson, Jay Pridmore ; with photography by Hedrich-Blessing.</t>
  </si>
  <si>
    <t>Larson, George A.</t>
  </si>
  <si>
    <t>New York : H.N. Abrams, 1993.</t>
  </si>
  <si>
    <t>1994-06-08</t>
  </si>
  <si>
    <t>905134:eng</t>
  </si>
  <si>
    <t>27431589</t>
  </si>
  <si>
    <t>991002140449702656</t>
  </si>
  <si>
    <t>2264402150002656</t>
  </si>
  <si>
    <t>9780810931923</t>
  </si>
  <si>
    <t>32285001922466</t>
  </si>
  <si>
    <t>893697399</t>
  </si>
  <si>
    <t>NA735.C4 L67 1979</t>
  </si>
  <si>
    <t>0                      NA 0735000C  4                  L  67          1979</t>
  </si>
  <si>
    <t>Chicago interiors : views of a splendid world / David Lowe.</t>
  </si>
  <si>
    <t>Lowe, David, 1933-</t>
  </si>
  <si>
    <t>Chicago : Contemporary Books, 1979.</t>
  </si>
  <si>
    <t>2006-02-23</t>
  </si>
  <si>
    <t>949197230:eng</t>
  </si>
  <si>
    <t>5451550</t>
  </si>
  <si>
    <t>991004836399702656</t>
  </si>
  <si>
    <t>2271293980002656</t>
  </si>
  <si>
    <t>9780809275786</t>
  </si>
  <si>
    <t>32285001023653</t>
  </si>
  <si>
    <t>893513722</t>
  </si>
  <si>
    <t>NA735.D4 F4 1980</t>
  </si>
  <si>
    <t>0                      NA 0735000D  4                  F  4           1980</t>
  </si>
  <si>
    <t>The buildings of Detroit : a history / by W. Hawkins Ferry.</t>
  </si>
  <si>
    <t>Ferry, W. Hawkins.</t>
  </si>
  <si>
    <t>Detroit : Wayne State University Press, 1980.</t>
  </si>
  <si>
    <t>miu</t>
  </si>
  <si>
    <t>2005-04-07</t>
  </si>
  <si>
    <t>476180:eng</t>
  </si>
  <si>
    <t>6331429</t>
  </si>
  <si>
    <t>991004965509702656</t>
  </si>
  <si>
    <t>2272331990002656</t>
  </si>
  <si>
    <t>9780814316658</t>
  </si>
  <si>
    <t>32285001654523</t>
  </si>
  <si>
    <t>893436967</t>
  </si>
  <si>
    <t>NA735.L3 V4 1977</t>
  </si>
  <si>
    <t>0                      NA 0735000L  3                  V  4           1977</t>
  </si>
  <si>
    <t>Learning from Las Vegas : the forgotten symbolism of architectural form / Robert Venturi, Denise Scott Brown, Steven Izenour.</t>
  </si>
  <si>
    <t>Venturi, Robert.</t>
  </si>
  <si>
    <t>Cambridge, Mass. : MIT Press, c1977</t>
  </si>
  <si>
    <t>2009-02-23</t>
  </si>
  <si>
    <t>4924279118:eng</t>
  </si>
  <si>
    <t>2797808</t>
  </si>
  <si>
    <t>991004244189702656</t>
  </si>
  <si>
    <t>2265601400002656</t>
  </si>
  <si>
    <t>9780262220200</t>
  </si>
  <si>
    <t>32285001750891</t>
  </si>
  <si>
    <t>893624505</t>
  </si>
  <si>
    <t>NA735.N5 S734 1995</t>
  </si>
  <si>
    <t>0                      NA 0735000N  5                  S  734         1995</t>
  </si>
  <si>
    <t>New York 1960 : architecture and urbanism between the Second World War and the Bicentennial / Robert A.M. Stern, Thomas Mellins, David Fishman.</t>
  </si>
  <si>
    <t>New York, NY : Monacelli Press, 1995.</t>
  </si>
  <si>
    <t>2001-09-12</t>
  </si>
  <si>
    <t>1995-05-22</t>
  </si>
  <si>
    <t>621575:eng</t>
  </si>
  <si>
    <t>32159240</t>
  </si>
  <si>
    <t>991002468289702656</t>
  </si>
  <si>
    <t>2258249030002656</t>
  </si>
  <si>
    <t>9781885254023</t>
  </si>
  <si>
    <t>32285002046414</t>
  </si>
  <si>
    <t>893322979</t>
  </si>
  <si>
    <t>NA735.W3 J3</t>
  </si>
  <si>
    <t>0                      NA 0735000W  3                  J  3</t>
  </si>
  <si>
    <t>A guide to the architecture of Washington, D.C. With an introd. by Francis Donald Lethbridge.</t>
  </si>
  <si>
    <t>Jacobsen, Hugh Newell editor.</t>
  </si>
  <si>
    <t>New York, Published for the Washington Metropolitan Chapter, American Institute of Architects by F. A. Praeger [1965]</t>
  </si>
  <si>
    <t>2006-04-30</t>
  </si>
  <si>
    <t>3855364667:eng</t>
  </si>
  <si>
    <t>1217170</t>
  </si>
  <si>
    <t>991003625879702656</t>
  </si>
  <si>
    <t>2272229920002656</t>
  </si>
  <si>
    <t>32285002861416</t>
  </si>
  <si>
    <t>893617537</t>
  </si>
  <si>
    <t>NA736 .K7 1989</t>
  </si>
  <si>
    <t>0                      NA 0736000K  7           1989</t>
  </si>
  <si>
    <t>American architects : a survey of award-winning contemporaries and their notable works / Les Krantz.</t>
  </si>
  <si>
    <t>Krantz, Les.</t>
  </si>
  <si>
    <t>New York : Facts on File, c1989.</t>
  </si>
  <si>
    <t>308755310:eng</t>
  </si>
  <si>
    <t>19515287</t>
  </si>
  <si>
    <t>991001467629702656</t>
  </si>
  <si>
    <t>2261343610002656</t>
  </si>
  <si>
    <t>9780816014200</t>
  </si>
  <si>
    <t>32285000298975</t>
  </si>
  <si>
    <t>893615149</t>
  </si>
  <si>
    <t>NA737.B8 P5 1968</t>
  </si>
  <si>
    <t>0                      NA 0737000B  8                  P  5           1968</t>
  </si>
  <si>
    <t>Charles Bulfinch, architect and citizen / by Charles A. Place.</t>
  </si>
  <si>
    <t>Place, Charles A. (Charles Alpheus), 1866-1940.</t>
  </si>
  <si>
    <t>New York : Da Capo Press, 1968 [c1925]</t>
  </si>
  <si>
    <t>A Da Capo Press reprint edition</t>
  </si>
  <si>
    <t>2005-02-22</t>
  </si>
  <si>
    <t>255250826:eng</t>
  </si>
  <si>
    <t>448684</t>
  </si>
  <si>
    <t>991002803549702656</t>
  </si>
  <si>
    <t>2266670770002656</t>
  </si>
  <si>
    <t>32285000978824</t>
  </si>
  <si>
    <t>893530489</t>
  </si>
  <si>
    <t>NA737.G34 A2 1973</t>
  </si>
  <si>
    <t>0                      NA 0737000G  34                 A  2           1973</t>
  </si>
  <si>
    <t>Autobiography of James Gallier, architect / with a new introd. by Samuel Wilson, Jr., and a supplement of illus.</t>
  </si>
  <si>
    <t>Gallier, James, 1798-</t>
  </si>
  <si>
    <t>New York : Da Capo Press, 1973.</t>
  </si>
  <si>
    <t>Da Capo Press series in architecture and decorative art ; v. 25</t>
  </si>
  <si>
    <t>1603479:eng</t>
  </si>
  <si>
    <t>553376</t>
  </si>
  <si>
    <t>991002978529702656</t>
  </si>
  <si>
    <t>2258967570002656</t>
  </si>
  <si>
    <t>9780306712470</t>
  </si>
  <si>
    <t>32285001571313</t>
  </si>
  <si>
    <t>893886989</t>
  </si>
  <si>
    <t>NA737.G6 O4 1983</t>
  </si>
  <si>
    <t>0                      NA 0737000G  6                  O  4           1983</t>
  </si>
  <si>
    <t>Bertram Grosvenor Goodhue / Richard Oliver.</t>
  </si>
  <si>
    <t>Oliver, Richard, 1942-</t>
  </si>
  <si>
    <t>New York : Architectural History Foundation ; Cambridge, Mass. : MIT Press, c1983.</t>
  </si>
  <si>
    <t>American monograph series</t>
  </si>
  <si>
    <t>2002-04-08</t>
  </si>
  <si>
    <t>31469065:eng</t>
  </si>
  <si>
    <t>8452638</t>
  </si>
  <si>
    <t>991005245959702656</t>
  </si>
  <si>
    <t>2262947390002656</t>
  </si>
  <si>
    <t>9780262150248</t>
  </si>
  <si>
    <t>32285001654556</t>
  </si>
  <si>
    <t>893431113</t>
  </si>
  <si>
    <t>NA737.J4 G84 1973</t>
  </si>
  <si>
    <t>0                      NA 0737000J  4                  G  84          1973</t>
  </si>
  <si>
    <t>Mr. Jefferson, architect / [by] Desmond Guinness &amp; Julius Trousdale Sadler, Jr.</t>
  </si>
  <si>
    <t>Guinness, Desmond.</t>
  </si>
  <si>
    <t>New York : Viking Press, [1973]</t>
  </si>
  <si>
    <t>1999-02-21</t>
  </si>
  <si>
    <t>1744060:eng</t>
  </si>
  <si>
    <t>631913</t>
  </si>
  <si>
    <t>991003079169702656</t>
  </si>
  <si>
    <t>2263099680002656</t>
  </si>
  <si>
    <t>9780670492619</t>
  </si>
  <si>
    <t>32285001571305</t>
  </si>
  <si>
    <t>893422143</t>
  </si>
  <si>
    <t>NA737.J4 M3 1984</t>
  </si>
  <si>
    <t>0                      NA 0737000J  4                  M  3           1984</t>
  </si>
  <si>
    <t>Thomas Jefferson's architectural drawings / compiled and with commentary and a check list by Frederick Doveton Nichols.</t>
  </si>
  <si>
    <t>Jefferson, Thomas, 1743-1826.</t>
  </si>
  <si>
    <t>Boston : Massachusetts Historical Society ; Charlottesville : Thomas Jefferson Memorial Foundation and The University Press of Virginia, 1984, c1961.</t>
  </si>
  <si>
    <t>5th ed., rev.</t>
  </si>
  <si>
    <t>1936917:eng</t>
  </si>
  <si>
    <t>12406353</t>
  </si>
  <si>
    <t>991000681809702656</t>
  </si>
  <si>
    <t>2256916250002656</t>
  </si>
  <si>
    <t>9780813903286</t>
  </si>
  <si>
    <t>32285001620243</t>
  </si>
  <si>
    <t>893897122</t>
  </si>
  <si>
    <t>NA737.L34 H3</t>
  </si>
  <si>
    <t>0                      NA 0737000L  34                 H  3</t>
  </si>
  <si>
    <t>Benjamin Henry Latrobe.</t>
  </si>
  <si>
    <t>New York : Oxford University Press, 1955.</t>
  </si>
  <si>
    <t>1992-03-06</t>
  </si>
  <si>
    <t>1613357:eng</t>
  </si>
  <si>
    <t>554973</t>
  </si>
  <si>
    <t>991002981119702656</t>
  </si>
  <si>
    <t>2256409100002656</t>
  </si>
  <si>
    <t>32285000992544</t>
  </si>
  <si>
    <t>893774254</t>
  </si>
  <si>
    <t>NA737.M435 C37</t>
  </si>
  <si>
    <t>0                      NA 0737000M  435                C  37</t>
  </si>
  <si>
    <t>Bernard Maybeck : artisan, architect, artist / Kenneth H. Cardwell.</t>
  </si>
  <si>
    <t>Cardwell, Kenneth H., 1920-</t>
  </si>
  <si>
    <t>Santa Barbara : Peregrine Smith, 1977.</t>
  </si>
  <si>
    <t>2002-08-06</t>
  </si>
  <si>
    <t>9421777:eng</t>
  </si>
  <si>
    <t>3310404</t>
  </si>
  <si>
    <t>991004402579702656</t>
  </si>
  <si>
    <t>2271687210002656</t>
  </si>
  <si>
    <t>9780879050221</t>
  </si>
  <si>
    <t>32285002861465</t>
  </si>
  <si>
    <t>893331548</t>
  </si>
  <si>
    <t>NA737.M5 G3 1966</t>
  </si>
  <si>
    <t>0                      NA 0737000M  5                  G  3           1966</t>
  </si>
  <si>
    <t>Robert Mills, architect of the Washington Monument, 1781-1855.</t>
  </si>
  <si>
    <t>Gallagher, H. M. Pierce (Helen Mar Pierce), -1942.</t>
  </si>
  <si>
    <t>New York : AMS Press, 1966 [c1935]</t>
  </si>
  <si>
    <t>1999-02-19</t>
  </si>
  <si>
    <t>1446115:eng</t>
  </si>
  <si>
    <t>334046</t>
  </si>
  <si>
    <t>991002394689702656</t>
  </si>
  <si>
    <t>2257591730002656</t>
  </si>
  <si>
    <t>32285001620235</t>
  </si>
  <si>
    <t>893415147</t>
  </si>
  <si>
    <t>NA737.M68 B68 1988</t>
  </si>
  <si>
    <t>0                      NA 0737000M  68                 B  68          1988</t>
  </si>
  <si>
    <t>Julia Morgan, architect / Sara Holmes Boutelle ; color photography by Richard Barnes.</t>
  </si>
  <si>
    <t>Boutelle, Sara Holmes.</t>
  </si>
  <si>
    <t>New York : Abbeville Press, c1988.</t>
  </si>
  <si>
    <t>13561248:eng</t>
  </si>
  <si>
    <t>16871079</t>
  </si>
  <si>
    <t>991001158329702656</t>
  </si>
  <si>
    <t>2263135670002656</t>
  </si>
  <si>
    <t>9780896597921</t>
  </si>
  <si>
    <t>32285000298918</t>
  </si>
  <si>
    <t>893808965</t>
  </si>
  <si>
    <t>NA737.O4 F4 1972</t>
  </si>
  <si>
    <t>0                      NA 0737000O  4                  F  4           1972</t>
  </si>
  <si>
    <t>Frederick Law Olmsted and the American environmental tradition.</t>
  </si>
  <si>
    <t>Fein, Albert.</t>
  </si>
  <si>
    <t>New York : G. Braziller, [1972]</t>
  </si>
  <si>
    <t>Planning and cities</t>
  </si>
  <si>
    <t>1992-05-22</t>
  </si>
  <si>
    <t>1992-05-19</t>
  </si>
  <si>
    <t>464514:eng</t>
  </si>
  <si>
    <t>395722</t>
  </si>
  <si>
    <t>991002672579702656</t>
  </si>
  <si>
    <t>2260542990002656</t>
  </si>
  <si>
    <t>9780807606506</t>
  </si>
  <si>
    <t>32285001111656</t>
  </si>
  <si>
    <t>893523907</t>
  </si>
  <si>
    <t>NA737.S28 S2 1968</t>
  </si>
  <si>
    <t>0                      NA 0737000S  28                 S  2           1968</t>
  </si>
  <si>
    <t>Eero Saarinen on his work; a selection of buildings dating from 1947 to 1964 with statements by the architect, edited by Aline B. Saarinen.</t>
  </si>
  <si>
    <t>Saarinen, Eero, 1910-1961.</t>
  </si>
  <si>
    <t>New Haven, Yale University Press, 1968.</t>
  </si>
  <si>
    <t>1998-04-20</t>
  </si>
  <si>
    <t>1997-07-28</t>
  </si>
  <si>
    <t>1430760:eng</t>
  </si>
  <si>
    <t>433358</t>
  </si>
  <si>
    <t>991002765599702656</t>
  </si>
  <si>
    <t>2270082580002656</t>
  </si>
  <si>
    <t>32285002967429</t>
  </si>
  <si>
    <t>893535183</t>
  </si>
  <si>
    <t>NA737.S28 T4</t>
  </si>
  <si>
    <t>0                      NA 0737000S  28                 T  4</t>
  </si>
  <si>
    <t>Eero Saarinen.</t>
  </si>
  <si>
    <t>Makers of contemporary architecture</t>
  </si>
  <si>
    <t>2453120896:eng</t>
  </si>
  <si>
    <t>823440</t>
  </si>
  <si>
    <t>991003300409702656</t>
  </si>
  <si>
    <t>2259473480002656</t>
  </si>
  <si>
    <t>32285002861499</t>
  </si>
  <si>
    <t>893805643</t>
  </si>
  <si>
    <t>NA737.S4 B3</t>
  </si>
  <si>
    <t>0                      NA 0737000S  4                  B  3</t>
  </si>
  <si>
    <t>José Luis Sert; architecture, city planning, urban design. Introd., S. Giedon.</t>
  </si>
  <si>
    <t>Bastlund, Knud.</t>
  </si>
  <si>
    <t>New York, Praeger [1967]</t>
  </si>
  <si>
    <t>2006-02-20</t>
  </si>
  <si>
    <t>1470071:eng</t>
  </si>
  <si>
    <t>376598</t>
  </si>
  <si>
    <t>991002594649702656</t>
  </si>
  <si>
    <t>2263616490002656</t>
  </si>
  <si>
    <t>32285002861507</t>
  </si>
  <si>
    <t>893245361</t>
  </si>
  <si>
    <t>NA737.S525 D68 1989</t>
  </si>
  <si>
    <t>0                      NA 0737000S  525                D  68          1989</t>
  </si>
  <si>
    <t>American classicist : the architecture of Philip Trammell Shutze / Elizabeth Meredith Dowling ; preface by Henry Hope Reed ; introduction by Vincent Scully ; photography by Timothy Hursley.</t>
  </si>
  <si>
    <t>Dowling, Elizabeth Meredith.</t>
  </si>
  <si>
    <t>New York, NY : Rizzoli, 1989.</t>
  </si>
  <si>
    <t>1996-03-19</t>
  </si>
  <si>
    <t>890265984:eng</t>
  </si>
  <si>
    <t>19223276</t>
  </si>
  <si>
    <t>991001440129702656</t>
  </si>
  <si>
    <t>2258792940002656</t>
  </si>
  <si>
    <t>9780847810369</t>
  </si>
  <si>
    <t>32285000299007</t>
  </si>
  <si>
    <t>893231999</t>
  </si>
  <si>
    <t>NA737.W5 B27 1989</t>
  </si>
  <si>
    <t>0                      NA 0737000W  5                  B  27          1989</t>
  </si>
  <si>
    <t>Stanny : the gilded life of Stanford White / Paul R. Baker.</t>
  </si>
  <si>
    <t>Baker, Paul R.</t>
  </si>
  <si>
    <t>New York : Free Press ; London : Collier Macmillan, c1989.</t>
  </si>
  <si>
    <t>2001-07-31</t>
  </si>
  <si>
    <t>291582736:eng</t>
  </si>
  <si>
    <t>19846586</t>
  </si>
  <si>
    <t>991001506769702656</t>
  </si>
  <si>
    <t>2265598600002656</t>
  </si>
  <si>
    <t>9780029017814</t>
  </si>
  <si>
    <t>32285000025766</t>
  </si>
  <si>
    <t>893803651</t>
  </si>
  <si>
    <t>NA737.W7 G54 1987</t>
  </si>
  <si>
    <t>0                      NA 0737000W  7                  G  54          1987</t>
  </si>
  <si>
    <t>Many masks : a life of Frank Lloyd Wright / Brendan Gill.</t>
  </si>
  <si>
    <t>Gill, Brendan, 1914-1997.</t>
  </si>
  <si>
    <t>New York : Putnam, c1987.</t>
  </si>
  <si>
    <t>196567014:eng</t>
  </si>
  <si>
    <t>15793181</t>
  </si>
  <si>
    <t>991001065389702656</t>
  </si>
  <si>
    <t>2261148430002656</t>
  </si>
  <si>
    <t>9780399132322</t>
  </si>
  <si>
    <t>32285001654622</t>
  </si>
  <si>
    <t>893334022</t>
  </si>
  <si>
    <t>NA737.W7 M87 1983</t>
  </si>
  <si>
    <t>0                      NA 0737000W  7                  M  87          1983</t>
  </si>
  <si>
    <t>Man about town : Frank Lloyd Wright in New York City / Herbert Muschamp.</t>
  </si>
  <si>
    <t>Muschamp, Herbert.</t>
  </si>
  <si>
    <t>Cambridge, Mass. : MIT Press, c1983.</t>
  </si>
  <si>
    <t>1993-11-02</t>
  </si>
  <si>
    <t>836618998:eng</t>
  </si>
  <si>
    <t>9533407</t>
  </si>
  <si>
    <t>991000209889702656</t>
  </si>
  <si>
    <t>2263107370002656</t>
  </si>
  <si>
    <t>9780262131926</t>
  </si>
  <si>
    <t>32285001654630</t>
  </si>
  <si>
    <t>893502344</t>
  </si>
  <si>
    <t>NA737.W7 S3 1960</t>
  </si>
  <si>
    <t>0                      NA 0737000W  7                  S  3           1960</t>
  </si>
  <si>
    <t>Frank Lloyd Wright / by Vincent Scully, Jr.</t>
  </si>
  <si>
    <t>New York : G. Braziller, 1960.</t>
  </si>
  <si>
    <t>1992-03-16</t>
  </si>
  <si>
    <t>1255793543:eng</t>
  </si>
  <si>
    <t>518770</t>
  </si>
  <si>
    <t>991002904349702656</t>
  </si>
  <si>
    <t>2255957990002656</t>
  </si>
  <si>
    <t>32285005054944</t>
  </si>
  <si>
    <t>893809720</t>
  </si>
  <si>
    <t>NA737.W7 T33</t>
  </si>
  <si>
    <t>0                      NA 0737000W  7                  T  33</t>
  </si>
  <si>
    <t>Apprentice to genius : years with Frank Lloyd Wright / Edgar Tafel.</t>
  </si>
  <si>
    <t>Tafel, Edgar.</t>
  </si>
  <si>
    <t>New York : McGraw-Hill, c1979.</t>
  </si>
  <si>
    <t>2008-10-16</t>
  </si>
  <si>
    <t>1992-05-04</t>
  </si>
  <si>
    <t>501177301:eng</t>
  </si>
  <si>
    <t>4004690</t>
  </si>
  <si>
    <t>991004566719702656</t>
  </si>
  <si>
    <t>2264875170002656</t>
  </si>
  <si>
    <t>9780070628151</t>
  </si>
  <si>
    <t>32285001091593</t>
  </si>
  <si>
    <t>893436430</t>
  </si>
  <si>
    <t>NA7451 .E5 1964</t>
  </si>
  <si>
    <t>0                      NA 7451000E  5           1964</t>
  </si>
  <si>
    <t>The Japanese house : a tradition for contemporary architecture / by Heinrich Engel.</t>
  </si>
  <si>
    <t>Engel, Heino.</t>
  </si>
  <si>
    <t>Rutland, Vt. : C. E. Tuttle Co., 1964.</t>
  </si>
  <si>
    <t>1994-10-13</t>
  </si>
  <si>
    <t>10792279540:eng</t>
  </si>
  <si>
    <t>377495</t>
  </si>
  <si>
    <t>991002608949702656</t>
  </si>
  <si>
    <t>2262989830002656</t>
  </si>
  <si>
    <t>32285001658243</t>
  </si>
  <si>
    <t>893233172</t>
  </si>
  <si>
    <t>NA7451 .F813 1983</t>
  </si>
  <si>
    <t>0                      NA 7451000F  813         1983</t>
  </si>
  <si>
    <t>Traditional Japanese houses / edited and photographed by Yukio Futagawa ; text by Teiji Itoh ; photographic assistance: Toshiharu Kitajima ; design: Gan Hosoya ; translation: Richard L. Gage.</t>
  </si>
  <si>
    <t>New York : Rizzoli, 1983.</t>
  </si>
  <si>
    <t>5481789617:eng</t>
  </si>
  <si>
    <t>9131772</t>
  </si>
  <si>
    <t>991000134709702656</t>
  </si>
  <si>
    <t>2269581790002656</t>
  </si>
  <si>
    <t>9780847804795</t>
  </si>
  <si>
    <t>32285001658250</t>
  </si>
  <si>
    <t>893871445</t>
  </si>
  <si>
    <t>NA7451 .I8</t>
  </si>
  <si>
    <t>0                      NA 7451000I  8</t>
  </si>
  <si>
    <t>The Japanese house : its interior and exterior / by Tatsuo and Kiyoko Ishimoto.</t>
  </si>
  <si>
    <t>Ishimoto, Tatsuo.</t>
  </si>
  <si>
    <t>New York : Crown, [1963]</t>
  </si>
  <si>
    <t>1994-11-30</t>
  </si>
  <si>
    <t>1993-07-23</t>
  </si>
  <si>
    <t>14904036:eng</t>
  </si>
  <si>
    <t>909171</t>
  </si>
  <si>
    <t>991003373039702656</t>
  </si>
  <si>
    <t>2261626670002656</t>
  </si>
  <si>
    <t>32285001724896</t>
  </si>
  <si>
    <t>893531131</t>
  </si>
  <si>
    <t>NA7451 .M6 1961</t>
  </si>
  <si>
    <t>0                      NA 7451000M  6           1961</t>
  </si>
  <si>
    <t>Japanese homes and their surroundings / with illus. by the author. With a new introd. by Clay Lancaster.</t>
  </si>
  <si>
    <t>Morse, Edward Sylvester, 1838-1925.</t>
  </si>
  <si>
    <t>New York : Dover Publications, [1961]</t>
  </si>
  <si>
    <t>2000-02-15</t>
  </si>
  <si>
    <t>460036:eng</t>
  </si>
  <si>
    <t>513722</t>
  </si>
  <si>
    <t>991002895029702656</t>
  </si>
  <si>
    <t>2262442690002656</t>
  </si>
  <si>
    <t>9780486207469</t>
  </si>
  <si>
    <t>32285001474476</t>
  </si>
  <si>
    <t>893227406</t>
  </si>
  <si>
    <t>NA7451 .S55813 1981</t>
  </si>
  <si>
    <t>0                      NA 7451000S  55813       1981</t>
  </si>
  <si>
    <t>Architecture in the shoin style : Japanese feudal residences / [edited by] Fumio Hashimoto ; translated and adapted by H. Mack Horton.</t>
  </si>
  <si>
    <t>Tokyo ; New York : Kodansha International ; New York : distributed in the United States through Harper &amp; Row, 1981, c1980.</t>
  </si>
  <si>
    <t>Japanese arts library ; v.10</t>
  </si>
  <si>
    <t>961365745:eng</t>
  </si>
  <si>
    <t>6862331</t>
  </si>
  <si>
    <t>991005048569702656</t>
  </si>
  <si>
    <t>2272702710002656</t>
  </si>
  <si>
    <t>9780870114144</t>
  </si>
  <si>
    <t>32285001658268</t>
  </si>
  <si>
    <t>893776744</t>
  </si>
  <si>
    <t>NA7540 .D38 1995</t>
  </si>
  <si>
    <t>0                      NA 7540000D  38          1995</t>
  </si>
  <si>
    <t>The architecture of affordable housing / Sam Davis.</t>
  </si>
  <si>
    <t>Davis, Sam.</t>
  </si>
  <si>
    <t>Berkeley, CA : University of California Press, c1995.</t>
  </si>
  <si>
    <t>2004-08-02</t>
  </si>
  <si>
    <t>1995-05-17</t>
  </si>
  <si>
    <t>44405472:eng</t>
  </si>
  <si>
    <t>30318144</t>
  </si>
  <si>
    <t>991002327109702656</t>
  </si>
  <si>
    <t>2265373820002656</t>
  </si>
  <si>
    <t>9780520087583</t>
  </si>
  <si>
    <t>32285002045580</t>
  </si>
  <si>
    <t>893597311</t>
  </si>
  <si>
    <t>NA7561 .V66 1982</t>
  </si>
  <si>
    <t>0                      NA 7561000V  66          1982</t>
  </si>
  <si>
    <t>Country and suburban homes of the Prairie School period : with 424 photographs and floor plans / by Hermann Valentin von Holst.</t>
  </si>
  <si>
    <t>Von Holst, H. V. (Hermann Valentin), 1874-1955.</t>
  </si>
  <si>
    <t>New York : Dover Publications, 1982.</t>
  </si>
  <si>
    <t>136193827:eng</t>
  </si>
  <si>
    <t>8493428</t>
  </si>
  <si>
    <t>991005251079702656</t>
  </si>
  <si>
    <t>2261543330002656</t>
  </si>
  <si>
    <t>9780486243733</t>
  </si>
  <si>
    <t>32285000298959</t>
  </si>
  <si>
    <t>893694984</t>
  </si>
  <si>
    <t>NA7562 .G5 1979</t>
  </si>
  <si>
    <t>0                      NA 7562000G  5           1979</t>
  </si>
  <si>
    <t>The Victorian country house / Mark Girouard.</t>
  </si>
  <si>
    <t>Girouard, Mark, 1931-</t>
  </si>
  <si>
    <t>New Haven : Yale University, 1979.</t>
  </si>
  <si>
    <t>1992-07-27</t>
  </si>
  <si>
    <t>118657291:eng</t>
  </si>
  <si>
    <t>5028996</t>
  </si>
  <si>
    <t>991004765239702656</t>
  </si>
  <si>
    <t>2272474010002656</t>
  </si>
  <si>
    <t>9780300023909</t>
  </si>
  <si>
    <t>32285001207033</t>
  </si>
  <si>
    <t>893500925</t>
  </si>
  <si>
    <t>NA759.B36 E35 2001</t>
  </si>
  <si>
    <t>0                      NA 0759000B  36                 E  35          2001</t>
  </si>
  <si>
    <t>Luis Barragán's gardens of El Pedregal / Keith Eggener ; foreword by Marc Treib.</t>
  </si>
  <si>
    <t>Eggener, Keith.</t>
  </si>
  <si>
    <t>New York : Princeton Architectural Press, c2001.</t>
  </si>
  <si>
    <t>2008-03-19</t>
  </si>
  <si>
    <t>10936549:eng</t>
  </si>
  <si>
    <t>45708095</t>
  </si>
  <si>
    <t>991005191859702656</t>
  </si>
  <si>
    <t>2259244210002656</t>
  </si>
  <si>
    <t>9781568982670</t>
  </si>
  <si>
    <t>32285005397905</t>
  </si>
  <si>
    <t>893514209</t>
  </si>
  <si>
    <t>NA7620 .J33 1989</t>
  </si>
  <si>
    <t>0                      NA 7620000J  33          1989</t>
  </si>
  <si>
    <t>The fashioning and functioning of the British country house / edited by Gervase Jackson-Stops ... [et al.]</t>
  </si>
  <si>
    <t>Washington, D.C. : National Gallery of Art ; Hanover, N.H. : Distributed by the University Press of New England, 1989.</t>
  </si>
  <si>
    <t>Studies in the history of art, 0091-7338 ; v. 25</t>
  </si>
  <si>
    <t>660480337:eng</t>
  </si>
  <si>
    <t>20860883</t>
  </si>
  <si>
    <t>991004425179702656</t>
  </si>
  <si>
    <t>2265234560002656</t>
  </si>
  <si>
    <t>9780894681288</t>
  </si>
  <si>
    <t>32285005011753</t>
  </si>
  <si>
    <t>893606018</t>
  </si>
  <si>
    <t>NA7710 .C6513 1979</t>
  </si>
  <si>
    <t>0                      NA 7710000C  6513        1979</t>
  </si>
  <si>
    <t>The world of pleasure / Flavio Conti ; translated by Patrick Creagh.</t>
  </si>
  <si>
    <t>Conti, Flavio, 1943-</t>
  </si>
  <si>
    <t>Boston : HBJ Press, c1979.</t>
  </si>
  <si>
    <t>United States. Congress. House. House Information Systems. The grand tour</t>
  </si>
  <si>
    <t>1993-11-29</t>
  </si>
  <si>
    <t>1993-05-17</t>
  </si>
  <si>
    <t>14756380:eng</t>
  </si>
  <si>
    <t>4491058</t>
  </si>
  <si>
    <t>991004645239702656</t>
  </si>
  <si>
    <t>2263994150002656</t>
  </si>
  <si>
    <t>9780150037347</t>
  </si>
  <si>
    <t>32285001658615</t>
  </si>
  <si>
    <t>893712849</t>
  </si>
  <si>
    <t>NA7710 .C6713 1978</t>
  </si>
  <si>
    <t>0                      NA 7710000C  6713        1978</t>
  </si>
  <si>
    <t>Shrines of power / Flavio Conti ; translated by Patrick Creagh.</t>
  </si>
  <si>
    <t>Boston : HBJ Press, c1978.</t>
  </si>
  <si>
    <t>253668495:eng</t>
  </si>
  <si>
    <t>3516154</t>
  </si>
  <si>
    <t>991004451499702656</t>
  </si>
  <si>
    <t>2272259730002656</t>
  </si>
  <si>
    <t>9780150037255</t>
  </si>
  <si>
    <t>32285001603942</t>
  </si>
  <si>
    <t>893446217</t>
  </si>
  <si>
    <t>NA7710 .S5 1970a</t>
  </si>
  <si>
    <t>0                      NA 7710000S  5           1970a</t>
  </si>
  <si>
    <t>Great houses of Europe / edited by Sacheverell Sitwell; photographs by Edwin Smith.</t>
  </si>
  <si>
    <t>London ; New York : Spring Books, 1970.</t>
  </si>
  <si>
    <t>1997-01-02</t>
  </si>
  <si>
    <t>1994-01-12</t>
  </si>
  <si>
    <t>48253033:eng</t>
  </si>
  <si>
    <t>251559</t>
  </si>
  <si>
    <t>991001949819702656</t>
  </si>
  <si>
    <t>2268779240002656</t>
  </si>
  <si>
    <t>9780600338437</t>
  </si>
  <si>
    <t>32285001829539</t>
  </si>
  <si>
    <t>893872923</t>
  </si>
  <si>
    <t>NA7745 .R4 1968</t>
  </si>
  <si>
    <t>0                      NA 7745000R  4           1968</t>
  </si>
  <si>
    <t>Norman castles in Britain [by] D. F. Renn.</t>
  </si>
  <si>
    <t>Renn, D. F. (Derek Frank)</t>
  </si>
  <si>
    <t>London, Baker; New York, Humanities P., 1968.</t>
  </si>
  <si>
    <t>2001-02-13</t>
  </si>
  <si>
    <t>1515170:eng</t>
  </si>
  <si>
    <t>464304</t>
  </si>
  <si>
    <t>991002818609702656</t>
  </si>
  <si>
    <t>2260480450002656</t>
  </si>
  <si>
    <t>32285002863123</t>
  </si>
  <si>
    <t>893685827</t>
  </si>
  <si>
    <t>NA7755 .H47</t>
  </si>
  <si>
    <t>0                      NA 7755000H  47</t>
  </si>
  <si>
    <t>Pythagorean palaces : magic and architecture in the Italian Renaissance / G. L. Hersey.</t>
  </si>
  <si>
    <t>Hersey, George L.</t>
  </si>
  <si>
    <t>Ithaca : Cornell University Press, c1976, 1980 printing.</t>
  </si>
  <si>
    <t>198370462:eng</t>
  </si>
  <si>
    <t>2331268</t>
  </si>
  <si>
    <t>991004083119702656</t>
  </si>
  <si>
    <t>2263568350002656</t>
  </si>
  <si>
    <t>9780801409981</t>
  </si>
  <si>
    <t>32285001658623</t>
  </si>
  <si>
    <t>893411101</t>
  </si>
  <si>
    <t>NA8240 .R5 1971</t>
  </si>
  <si>
    <t>0                      NA 8240000R  5           1971</t>
  </si>
  <si>
    <t>Roman granaries and store buildings / Geoffrey Rickman.</t>
  </si>
  <si>
    <t>Rickman, Geoffrey.</t>
  </si>
  <si>
    <t>Cambridge, [Eng.] : University Press, 1971.</t>
  </si>
  <si>
    <t>503010:eng</t>
  </si>
  <si>
    <t>135760</t>
  </si>
  <si>
    <t>991005297349702656</t>
  </si>
  <si>
    <t>2263340320002656</t>
  </si>
  <si>
    <t>9780521077248</t>
  </si>
  <si>
    <t>32285005513493</t>
  </si>
  <si>
    <t>893802085</t>
  </si>
  <si>
    <t>NA9031 .D2513</t>
  </si>
  <si>
    <t>0                      NA 9031000D  2513</t>
  </si>
  <si>
    <t>Urban structures for the future. Translated by Gerald Onn.</t>
  </si>
  <si>
    <t>Dahinden, Justus.</t>
  </si>
  <si>
    <t>New York, Praeger Publishers [1972]</t>
  </si>
  <si>
    <t>2008-03-24</t>
  </si>
  <si>
    <t>1827628:eng</t>
  </si>
  <si>
    <t>277663</t>
  </si>
  <si>
    <t>991002173589702656</t>
  </si>
  <si>
    <t>2260181100002656</t>
  </si>
  <si>
    <t>32285002863198</t>
  </si>
  <si>
    <t>893697439</t>
  </si>
  <si>
    <t>NA9031 .S65</t>
  </si>
  <si>
    <t>0                      NA 9031000S  65</t>
  </si>
  <si>
    <t>Urban design : the architecture of towns and cities / written and illustrated by Paul D. Spreiregen.</t>
  </si>
  <si>
    <t>Spreiregen, Paul D.</t>
  </si>
  <si>
    <t>New York, McGraw-Hill [1965]</t>
  </si>
  <si>
    <t>1439899:eng</t>
  </si>
  <si>
    <t>283110</t>
  </si>
  <si>
    <t>991002196509702656</t>
  </si>
  <si>
    <t>2265635480002656</t>
  </si>
  <si>
    <t>32285002696606</t>
  </si>
  <si>
    <t>893523307</t>
  </si>
  <si>
    <t>NA9050 .H85</t>
  </si>
  <si>
    <t>0                      NA 9050000H  85</t>
  </si>
  <si>
    <t>Will they ever finish Bruckner Boulevard? / by Ada Louise Huxtable. Pref. by Daniel P. Moynihan.</t>
  </si>
  <si>
    <t>Huxtable, Ada Louise.</t>
  </si>
  <si>
    <t>[New York] : Macmillan, c1970, 1971 printing.</t>
  </si>
  <si>
    <t>1248049:eng</t>
  </si>
  <si>
    <t>75307</t>
  </si>
  <si>
    <t>991000426649702656</t>
  </si>
  <si>
    <t>2256050200002656</t>
  </si>
  <si>
    <t>32285001653731</t>
  </si>
  <si>
    <t>893515267</t>
  </si>
  <si>
    <t>NA9053.S6 D48 1996</t>
  </si>
  <si>
    <t>0                      NA 9053000S  6                  D  48          1996</t>
  </si>
  <si>
    <t>Evictions : art and spatial politics / Rosalyn Deutsche.</t>
  </si>
  <si>
    <t>Deutsche, Rosalyn.</t>
  </si>
  <si>
    <t>Chicago, Ill. : Graham Foundation for Advanced Studies in the Fine Arts ; Cambridge, Mass. : MIT Press, c1996.</t>
  </si>
  <si>
    <t>Graham Foundation/MIT Press series in contemporary architectural discourse</t>
  </si>
  <si>
    <t>2007-11-17</t>
  </si>
  <si>
    <t>1997-10-03</t>
  </si>
  <si>
    <t>807325908:eng</t>
  </si>
  <si>
    <t>34651431</t>
  </si>
  <si>
    <t>991002648139702656</t>
  </si>
  <si>
    <t>2262401800002656</t>
  </si>
  <si>
    <t>9780262041584</t>
  </si>
  <si>
    <t>32285003252599</t>
  </si>
  <si>
    <t>893504639</t>
  </si>
  <si>
    <t>NA9053.S7 J23 1995</t>
  </si>
  <si>
    <t>0                      NA 9053000S  7                  J  23          1995</t>
  </si>
  <si>
    <t>Great streets / Allan B. Jacobs.</t>
  </si>
  <si>
    <t>Jacobs, Allan B.</t>
  </si>
  <si>
    <t>Cambridge, Mass. : MIT Press, 1995</t>
  </si>
  <si>
    <t>1st MIT Press pbk. ed.</t>
  </si>
  <si>
    <t>329301:eng</t>
  </si>
  <si>
    <t>37504417</t>
  </si>
  <si>
    <t>991005350759702656</t>
  </si>
  <si>
    <t>2266339120002656</t>
  </si>
  <si>
    <t>9780262600231</t>
  </si>
  <si>
    <t>32285005559421</t>
  </si>
  <si>
    <t>893870925</t>
  </si>
  <si>
    <t>NA9095 .E45 1996</t>
  </si>
  <si>
    <t>0                      NA 9095000E  45          1996</t>
  </si>
  <si>
    <t>Postmodern urbanism / Nan Ellin.</t>
  </si>
  <si>
    <t>Ellin, Nan.</t>
  </si>
  <si>
    <t>Cambridge, Mass. : Blackwell, 1996.</t>
  </si>
  <si>
    <t>2009-03-24</t>
  </si>
  <si>
    <t>1996-04-16</t>
  </si>
  <si>
    <t>4927806257:eng</t>
  </si>
  <si>
    <t>32166222</t>
  </si>
  <si>
    <t>991002468519702656</t>
  </si>
  <si>
    <t>2264307630002656</t>
  </si>
  <si>
    <t>9781557863621</t>
  </si>
  <si>
    <t>32285002153624</t>
  </si>
  <si>
    <t>893262303</t>
  </si>
  <si>
    <t>NA9105 .R45 1965</t>
  </si>
  <si>
    <t>0                      NA 9105000R  45          1965</t>
  </si>
  <si>
    <t>The making of urban America : a history of city planning in the United States / by John W. Reps.</t>
  </si>
  <si>
    <t>Reps, John William.</t>
  </si>
  <si>
    <t>Princeton, N.J. : Princeton University Press, 1965.</t>
  </si>
  <si>
    <t>2006-07-20</t>
  </si>
  <si>
    <t>1998-02-06</t>
  </si>
  <si>
    <t>364348975:eng</t>
  </si>
  <si>
    <t>1130801</t>
  </si>
  <si>
    <t>991003560849702656</t>
  </si>
  <si>
    <t>2262877730002656</t>
  </si>
  <si>
    <t>32285003312906</t>
  </si>
  <si>
    <t>893445725</t>
  </si>
  <si>
    <t>NA9127.W2 R4</t>
  </si>
  <si>
    <t>0                      NA 9127000W  2                  R  4</t>
  </si>
  <si>
    <t>Monumental Washington; the planning and development of the Capital center / by John W. Reps.</t>
  </si>
  <si>
    <t>Princeton, N.J. : Princeton University Press, 1967.</t>
  </si>
  <si>
    <t>2007-10-30</t>
  </si>
  <si>
    <t>198574688:eng</t>
  </si>
  <si>
    <t>513247</t>
  </si>
  <si>
    <t>991003433679702656</t>
  </si>
  <si>
    <t>2263767180002656</t>
  </si>
  <si>
    <t>32285001658698</t>
  </si>
  <si>
    <t>893805775</t>
  </si>
  <si>
    <t>NA9204.R7 K7 1985</t>
  </si>
  <si>
    <t>0                      NA 9204000R  7                  K  7           1985</t>
  </si>
  <si>
    <t>The Rome of Alexander VII, 1655-1667 / Richard Krautheimer.</t>
  </si>
  <si>
    <t>Krautheimer, Richard, 1897-1994.</t>
  </si>
  <si>
    <t>Princeton, N.J. : Princeton University Press, c1985.</t>
  </si>
  <si>
    <t>1992-04-01</t>
  </si>
  <si>
    <t>117973296:eng</t>
  </si>
  <si>
    <t>11573665</t>
  </si>
  <si>
    <t>991000558219702656</t>
  </si>
  <si>
    <t>2265558680002656</t>
  </si>
  <si>
    <t>9780691040325</t>
  </si>
  <si>
    <t>32285001047488</t>
  </si>
  <si>
    <t>893689807</t>
  </si>
  <si>
    <t>NA9350.W3 C7</t>
  </si>
  <si>
    <t>0                      NA 9350000W  3                  C  7</t>
  </si>
  <si>
    <t>The architecture of monuments; the Franklin Delano Roosevelt Memorial competition.</t>
  </si>
  <si>
    <t>Creighton, Thomas H. (Thomas Hawk), 1904-1984.</t>
  </si>
  <si>
    <t>New York, Reinhold Pub. Corp. [1962]</t>
  </si>
  <si>
    <t>429036155:eng</t>
  </si>
  <si>
    <t>274044</t>
  </si>
  <si>
    <t>991002161909702656</t>
  </si>
  <si>
    <t>2260750670002656</t>
  </si>
  <si>
    <t>32285002863313</t>
  </si>
  <si>
    <t>893244834</t>
  </si>
  <si>
    <t>NA950 .P4 1960</t>
  </si>
  <si>
    <t>0                      NA 0950000P  4           1960</t>
  </si>
  <si>
    <t>An outline of European architecture.</t>
  </si>
  <si>
    <t>Pevsner, Nikolaus, 1902-1983.</t>
  </si>
  <si>
    <t>Baltimore, Penguin Books [1960]</t>
  </si>
  <si>
    <t>[6th, Jubilee ed.]</t>
  </si>
  <si>
    <t>1997-07-25</t>
  </si>
  <si>
    <t>4918501297:eng</t>
  </si>
  <si>
    <t>906785</t>
  </si>
  <si>
    <t>991003370719702656</t>
  </si>
  <si>
    <t>2262208030002656</t>
  </si>
  <si>
    <t>32285002696473</t>
  </si>
  <si>
    <t>893416320</t>
  </si>
  <si>
    <t>NA954 .B34</t>
  </si>
  <si>
    <t>0                      NA 0954000B  34</t>
  </si>
  <si>
    <t>Architecture and interior design : Europe and America from the colonial era to today / Victoria Kloss Ball.</t>
  </si>
  <si>
    <t>New York : Wiley, 1980.</t>
  </si>
  <si>
    <t>5726617</t>
  </si>
  <si>
    <t>991004865359702656</t>
  </si>
  <si>
    <t>2263177300002656</t>
  </si>
  <si>
    <t>9780471051619</t>
  </si>
  <si>
    <t>32285001023646</t>
  </si>
  <si>
    <t>893443128</t>
  </si>
  <si>
    <t>NA961 .Y3</t>
  </si>
  <si>
    <t>0                      NA 0961000Y  3</t>
  </si>
  <si>
    <t>The architecture of England : from prehistoric times to the present day.</t>
  </si>
  <si>
    <t>Yarwood, Doreen.</t>
  </si>
  <si>
    <t>London : B.T. Batsford ; New York : Putnam, [1963]</t>
  </si>
  <si>
    <t>2009-10-28</t>
  </si>
  <si>
    <t>1990-09-20</t>
  </si>
  <si>
    <t>352707375:eng</t>
  </si>
  <si>
    <t>227623</t>
  </si>
  <si>
    <t>991001387569702656</t>
  </si>
  <si>
    <t>2255785730002656</t>
  </si>
  <si>
    <t>32285000306174</t>
  </si>
  <si>
    <t>893509593</t>
  </si>
  <si>
    <t>NA966.5.G66 M33 1987</t>
  </si>
  <si>
    <t>0                      NA 0966500G  66                 M  33          1987</t>
  </si>
  <si>
    <t>The origins of the Gothic revival / Michael McCarthy.</t>
  </si>
  <si>
    <t>McCarthy, Michael J., 1939-</t>
  </si>
  <si>
    <t>New Haven : Published for the Paul Mellon Centre for Studies in British Art by Yale University Press, 1987.</t>
  </si>
  <si>
    <t>118151112:eng</t>
  </si>
  <si>
    <t>14692838</t>
  </si>
  <si>
    <t>991000952989702656</t>
  </si>
  <si>
    <t>2258125670002656</t>
  </si>
  <si>
    <t>9780300037234</t>
  </si>
  <si>
    <t>32285001654663</t>
  </si>
  <si>
    <t>893321518</t>
  </si>
  <si>
    <t>NA967 .D59</t>
  </si>
  <si>
    <t>0                      NA 0967000D  59</t>
  </si>
  <si>
    <t>Victorian architecture / Roger Dixon, Stefan Muthesius.</t>
  </si>
  <si>
    <t>Dixon, Roger, 1935-</t>
  </si>
  <si>
    <t>New York : Oxford University Press, 1978.</t>
  </si>
  <si>
    <t>[The World of art]</t>
  </si>
  <si>
    <t>115343299:eng</t>
  </si>
  <si>
    <t>4500034</t>
  </si>
  <si>
    <t>991004664649702656</t>
  </si>
  <si>
    <t>2266656520002656</t>
  </si>
  <si>
    <t>9780195200485</t>
  </si>
  <si>
    <t>32285001152445</t>
  </si>
  <si>
    <t>893776277</t>
  </si>
  <si>
    <t>NA967 .F4 1964</t>
  </si>
  <si>
    <t>0                      NA 0967000F  4           1964</t>
  </si>
  <si>
    <t>Victorian architecture / with an introd. by John Betjeman and contributions by Nikolaus Pevsner [and others]</t>
  </si>
  <si>
    <t>Ferriday, Peter, editor.</t>
  </si>
  <si>
    <t>Philadelphia : Lippincott, 1964 [c1963]</t>
  </si>
  <si>
    <t>1993-09-10</t>
  </si>
  <si>
    <t>346678186:eng</t>
  </si>
  <si>
    <t>270335</t>
  </si>
  <si>
    <t>991002137889702656</t>
  </si>
  <si>
    <t>2263836640002656</t>
  </si>
  <si>
    <t>32285001152437</t>
  </si>
  <si>
    <t>893792068</t>
  </si>
  <si>
    <t>NA967 .H55</t>
  </si>
  <si>
    <t>0                      NA 0967000H  55</t>
  </si>
  <si>
    <t>Early Victorian architecture in Britain.</t>
  </si>
  <si>
    <t>New Haven, Yale University Press, 1954.</t>
  </si>
  <si>
    <t>Yale historical publications. History of art ; 9</t>
  </si>
  <si>
    <t>4241269352:eng</t>
  </si>
  <si>
    <t>911246</t>
  </si>
  <si>
    <t>991003374519702656</t>
  </si>
  <si>
    <t>2266528690002656</t>
  </si>
  <si>
    <t>32285002861622</t>
  </si>
  <si>
    <t>893899929</t>
  </si>
  <si>
    <t>32285002861614</t>
  </si>
  <si>
    <t>893868369</t>
  </si>
  <si>
    <t>NA967 .M83</t>
  </si>
  <si>
    <t>0                      NA 0967000M  83</t>
  </si>
  <si>
    <t>The High Victorian movement in architecture, 1850-1870.</t>
  </si>
  <si>
    <t>London, Boston, Routledge &amp; K. Paul, 1972.</t>
  </si>
  <si>
    <t>2008-10-17</t>
  </si>
  <si>
    <t>1570891:eng</t>
  </si>
  <si>
    <t>486175</t>
  </si>
  <si>
    <t>991002849909702656</t>
  </si>
  <si>
    <t>2256663320002656</t>
  </si>
  <si>
    <t>9780710070715</t>
  </si>
  <si>
    <t>32285002861630</t>
  </si>
  <si>
    <t>893323460</t>
  </si>
  <si>
    <t>NA970 .J6 1992</t>
  </si>
  <si>
    <t>0                      NA 0970000J  6           1992</t>
  </si>
  <si>
    <t>A guide to the architecture of London / Edward Jones &amp; Christopher Woodward.</t>
  </si>
  <si>
    <t>Jones, Edward, 1939-</t>
  </si>
  <si>
    <t>New York : Thames and Hudson, 1992.</t>
  </si>
  <si>
    <t>New ed., 2nd ed.</t>
  </si>
  <si>
    <t>2010-07-20</t>
  </si>
  <si>
    <t>2004-12-14</t>
  </si>
  <si>
    <t>481809:eng</t>
  </si>
  <si>
    <t>25322074</t>
  </si>
  <si>
    <t>991004437909702656</t>
  </si>
  <si>
    <t>2271522600002656</t>
  </si>
  <si>
    <t>9780500276433</t>
  </si>
  <si>
    <t>32285005011969</t>
  </si>
  <si>
    <t>893869717</t>
  </si>
  <si>
    <t>NA970 .M47 1972</t>
  </si>
  <si>
    <t>0                      NA 0970000M  47          1972</t>
  </si>
  <si>
    <t>Victorian London.</t>
  </si>
  <si>
    <t>Metcalf, Priscilla.</t>
  </si>
  <si>
    <t>London, Cassell, 1972.</t>
  </si>
  <si>
    <t>1997-07-07</t>
  </si>
  <si>
    <t>1582967:eng</t>
  </si>
  <si>
    <t>737355</t>
  </si>
  <si>
    <t>991003211629702656</t>
  </si>
  <si>
    <t>2256626020002656</t>
  </si>
  <si>
    <t>9780304290499</t>
  </si>
  <si>
    <t>32285002861648</t>
  </si>
  <si>
    <t>893323873</t>
  </si>
  <si>
    <t>NA970 .O47 1986</t>
  </si>
  <si>
    <t>0                      NA 0970000O  47          1986</t>
  </si>
  <si>
    <t>The city as a work of art : London, Paris, Vienna / Donald J. Olsen.</t>
  </si>
  <si>
    <t>Olsen, Donald J.</t>
  </si>
  <si>
    <t>New Haven : Yale University Press, c1986.</t>
  </si>
  <si>
    <t>1990-08-08</t>
  </si>
  <si>
    <t>7313081:eng</t>
  </si>
  <si>
    <t>12808804</t>
  </si>
  <si>
    <t>991005405919702656</t>
  </si>
  <si>
    <t>2259370770002656</t>
  </si>
  <si>
    <t>9780300028706</t>
  </si>
  <si>
    <t>32285000270966</t>
  </si>
  <si>
    <t>893501976</t>
  </si>
  <si>
    <t>NA988 .E17 1978</t>
  </si>
  <si>
    <t>0                      NA 0988000E  17          1978</t>
  </si>
  <si>
    <t>A history of the Gothic revival / [by] Charles L. Eastlake ; edited with an introduction by J. Mordaunt Crook.</t>
  </si>
  <si>
    <t>Eastlake, Charles L. (Charles Locke), 1836-1906.</t>
  </si>
  <si>
    <t>Leicester : Leicester University Press ; New York : Humanities Press, 1978.</t>
  </si>
  <si>
    <t xml:space="preserve">en </t>
  </si>
  <si>
    <t>The Victorian library.</t>
  </si>
  <si>
    <t>1166630:eng</t>
  </si>
  <si>
    <t>4731021</t>
  </si>
  <si>
    <t>991004707779702656</t>
  </si>
  <si>
    <t>2263199040002656</t>
  </si>
  <si>
    <t>9780718550332</t>
  </si>
  <si>
    <t>32285001654705</t>
  </si>
  <si>
    <t>893247882</t>
  </si>
  <si>
    <t>NA997.H3 D6 1980</t>
  </si>
  <si>
    <t>0                      NA 0997000H  3                  D  6           1980</t>
  </si>
  <si>
    <t>Hawksmoor / Kerry Downes.</t>
  </si>
  <si>
    <t>Cambridge, Mass. : MIT Press, 1980, c1979.</t>
  </si>
  <si>
    <t>2d ed., 1st MIT Press ed.</t>
  </si>
  <si>
    <t>2008-06-30</t>
  </si>
  <si>
    <t>9477125516:eng</t>
  </si>
  <si>
    <t>6772665</t>
  </si>
  <si>
    <t>991005239519702656</t>
  </si>
  <si>
    <t>2263317230002656</t>
  </si>
  <si>
    <t>9780262040600</t>
  </si>
  <si>
    <t>32285005447320</t>
  </si>
  <si>
    <t>893883567</t>
  </si>
  <si>
    <t>NA997.S42 K6</t>
  </si>
  <si>
    <t>0                      NA 0997000S  42                 K  6</t>
  </si>
  <si>
    <t>M. H. Baillie Scott and the arts and crafts movement : pioneers of modern design / [by] James D. Kornwolf.</t>
  </si>
  <si>
    <t>Kornwolf, James D.</t>
  </si>
  <si>
    <t>Baltimore : Johns Hopkins Press, [1972]</t>
  </si>
  <si>
    <t>2003-10-31</t>
  </si>
  <si>
    <t>346414229:eng</t>
  </si>
  <si>
    <t>319838</t>
  </si>
  <si>
    <t>991002312529702656</t>
  </si>
  <si>
    <t>2268437180002656</t>
  </si>
  <si>
    <t>9780801811128</t>
  </si>
  <si>
    <t>32285001654721</t>
  </si>
  <si>
    <t>893328927</t>
  </si>
  <si>
    <t>NA997.W8 B7</t>
  </si>
  <si>
    <t>0                      NA 0997000W  8                  B  7</t>
  </si>
  <si>
    <t>Wren, the incomparable.</t>
  </si>
  <si>
    <t>Briggs, Martin S. (Martin Shaw), 1882-1977.</t>
  </si>
  <si>
    <t>London, Allen &amp; Unwin [1953]</t>
  </si>
  <si>
    <t>1953</t>
  </si>
  <si>
    <t>133047289:eng</t>
  </si>
  <si>
    <t>1474449</t>
  </si>
  <si>
    <t>991003772489702656</t>
  </si>
  <si>
    <t>2254865280002656</t>
  </si>
  <si>
    <t>32285002861713</t>
  </si>
  <si>
    <t>893781392</t>
  </si>
  <si>
    <t>NA997.W8 J37 2002</t>
  </si>
  <si>
    <t>0                      NA 0997000W  8                  J  37          2002</t>
  </si>
  <si>
    <t>On a grander scale : the outstanding life of Sir Christopher Wren / Lisa Jardine.</t>
  </si>
  <si>
    <t>Jardine, Lisa.</t>
  </si>
  <si>
    <t>New York : HarperCollins, c2002.</t>
  </si>
  <si>
    <t>2002</t>
  </si>
  <si>
    <t>2003-03-05</t>
  </si>
  <si>
    <t>890964193:eng</t>
  </si>
  <si>
    <t>50494846</t>
  </si>
  <si>
    <t>991004002029702656</t>
  </si>
  <si>
    <t>2269618950002656</t>
  </si>
  <si>
    <t>9780060199746</t>
  </si>
  <si>
    <t>32285004682398</t>
  </si>
  <si>
    <t>893618098</t>
  </si>
  <si>
    <t>NA997.W8 M6</t>
  </si>
  <si>
    <t>0                      NA 0997000W  8                  M  6</t>
  </si>
  <si>
    <t>Sir Christopher Wren, by Lena Milman.</t>
  </si>
  <si>
    <t>Milman, Lena.</t>
  </si>
  <si>
    <t>London, Duckworth and co.; New York, C. Scribner's sons, 1908.</t>
  </si>
  <si>
    <t>1908</t>
  </si>
  <si>
    <t>The library of art</t>
  </si>
  <si>
    <t>2003-05-14</t>
  </si>
  <si>
    <t>1517721:eng</t>
  </si>
  <si>
    <t>425449</t>
  </si>
  <si>
    <t>991002752959702656</t>
  </si>
  <si>
    <t>2267887950002656</t>
  </si>
  <si>
    <t>32285004676093</t>
  </si>
  <si>
    <t>893591726</t>
  </si>
  <si>
    <t>NA997.W8 S8</t>
  </si>
  <si>
    <t>0                      NA 0997000W  8                  S  8</t>
  </si>
  <si>
    <t>Sir Christopher Wren, by John Summerson.</t>
  </si>
  <si>
    <t>Hamden, Conn., Archon Books, 1965.</t>
  </si>
  <si>
    <t>Makers of history</t>
  </si>
  <si>
    <t>5534327587:eng</t>
  </si>
  <si>
    <t>512739</t>
  </si>
  <si>
    <t>991002893579702656</t>
  </si>
  <si>
    <t>2263280420002656</t>
  </si>
  <si>
    <t>32285002861739</t>
  </si>
  <si>
    <t>893530608</t>
  </si>
  <si>
    <t>NA997.W8 T56 2001</t>
  </si>
  <si>
    <t>0                      NA 0997000W  8                  T  56          2001</t>
  </si>
  <si>
    <t>His invention so fertile : a life of Christopher Wren / Adrian Tinniswood.</t>
  </si>
  <si>
    <t>Tinniswood, Adrian.</t>
  </si>
  <si>
    <t>Oxford ; New York : Oxford University Press, c2001.</t>
  </si>
  <si>
    <t>2008-03-31</t>
  </si>
  <si>
    <t>2002-01-08</t>
  </si>
  <si>
    <t>793951973:eng</t>
  </si>
  <si>
    <t>47746392</t>
  </si>
  <si>
    <t>991003679059702656</t>
  </si>
  <si>
    <t>2268065230002656</t>
  </si>
  <si>
    <t>9780195149890</t>
  </si>
  <si>
    <t>32285004446323</t>
  </si>
  <si>
    <t>893875032</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</si>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</sst>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A4C8-6998-4D56-8D2D-89CC2D2B1177}">
  <dimension ref="A1:BD352"/>
  <sheetViews>
    <sheetView tabSelected="1" workbookViewId="0">
      <selection activeCell="D1" sqref="D1"/>
    </sheetView>
  </sheetViews>
  <sheetFormatPr defaultRowHeight="34.5" customHeight="1" x14ac:dyDescent="0.25"/>
  <cols>
    <col min="1" max="1" width="11.5703125" customWidth="1"/>
    <col min="2" max="2" width="20.7109375" customWidth="1"/>
    <col min="3" max="3" width="0" hidden="1" customWidth="1"/>
    <col min="4" max="4" width="50" customWidth="1"/>
    <col min="6" max="10" width="0" hidden="1" customWidth="1"/>
    <col min="11" max="11" width="17.28515625" customWidth="1"/>
    <col min="12" max="12" width="19.140625" customWidth="1"/>
    <col min="14" max="17" width="0" hidden="1" customWidth="1"/>
    <col min="20" max="26" width="0" hidden="1" customWidth="1"/>
    <col min="28" max="28" width="0" hidden="1" customWidth="1"/>
    <col min="30" max="30" width="0" hidden="1" customWidth="1"/>
    <col min="31" max="31" width="15.28515625" customWidth="1"/>
    <col min="32" max="41" width="0" hidden="1" customWidth="1"/>
    <col min="42" max="44" width="11.140625" customWidth="1"/>
    <col min="47" max="56" width="0" hidden="1" customWidth="1"/>
  </cols>
  <sheetData>
    <row r="1" spans="1:56" ht="46.5" customHeight="1" x14ac:dyDescent="0.25">
      <c r="A1" s="8" t="s">
        <v>4552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4.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2</v>
      </c>
      <c r="T2" s="4">
        <v>2</v>
      </c>
      <c r="U2" s="5" t="s">
        <v>67</v>
      </c>
      <c r="V2" s="5" t="s">
        <v>67</v>
      </c>
      <c r="W2" s="5" t="s">
        <v>68</v>
      </c>
      <c r="X2" s="5" t="s">
        <v>68</v>
      </c>
      <c r="Y2" s="4">
        <v>190</v>
      </c>
      <c r="Z2" s="4">
        <v>172</v>
      </c>
      <c r="AA2" s="4">
        <v>307</v>
      </c>
      <c r="AB2" s="4">
        <v>4</v>
      </c>
      <c r="AC2" s="4">
        <v>4</v>
      </c>
      <c r="AD2" s="4">
        <v>7</v>
      </c>
      <c r="AE2" s="4">
        <v>13</v>
      </c>
      <c r="AF2" s="4">
        <v>1</v>
      </c>
      <c r="AG2" s="4">
        <v>3</v>
      </c>
      <c r="AH2" s="4">
        <v>2</v>
      </c>
      <c r="AI2" s="4">
        <v>3</v>
      </c>
      <c r="AJ2" s="4">
        <v>2</v>
      </c>
      <c r="AK2" s="4">
        <v>6</v>
      </c>
      <c r="AL2" s="4">
        <v>3</v>
      </c>
      <c r="AM2" s="4">
        <v>3</v>
      </c>
      <c r="AN2" s="4">
        <v>0</v>
      </c>
      <c r="AO2" s="4">
        <v>0</v>
      </c>
      <c r="AP2" s="3" t="s">
        <v>58</v>
      </c>
      <c r="AQ2" s="3" t="s">
        <v>69</v>
      </c>
      <c r="AR2" s="6" t="str">
        <f>HYPERLINK("http://catalog.hathitrust.org/Record/004502114","HathiTrust Record")</f>
        <v>HathiTrust Record</v>
      </c>
      <c r="AS2" s="6" t="str">
        <f>HYPERLINK("https://creighton-primo.hosted.exlibrisgroup.com/primo-explore/search?tab=default_tab&amp;search_scope=EVERYTHING&amp;vid=01CRU&amp;lang=en_US&amp;offset=0&amp;query=any,contains,991000528379702656","Catalog Record")</f>
        <v>Catalog Record</v>
      </c>
      <c r="AT2" s="6" t="str">
        <f>HYPERLINK("http://www.worldcat.org/oclc/89293","WorldCat Record")</f>
        <v>WorldCat Record</v>
      </c>
      <c r="AU2" s="3" t="s">
        <v>70</v>
      </c>
      <c r="AV2" s="3" t="s">
        <v>71</v>
      </c>
      <c r="AW2" s="3" t="s">
        <v>72</v>
      </c>
      <c r="AX2" s="3" t="s">
        <v>72</v>
      </c>
      <c r="AY2" s="3" t="s">
        <v>73</v>
      </c>
      <c r="AZ2" s="3" t="s">
        <v>74</v>
      </c>
      <c r="BB2" s="3" t="s">
        <v>75</v>
      </c>
      <c r="BC2" s="3" t="s">
        <v>76</v>
      </c>
      <c r="BD2" s="3" t="s">
        <v>77</v>
      </c>
    </row>
    <row r="3" spans="1:56" ht="34.5" customHeight="1" x14ac:dyDescent="0.25">
      <c r="A3" s="7" t="s">
        <v>58</v>
      </c>
      <c r="B3" s="2" t="s">
        <v>78</v>
      </c>
      <c r="C3" s="2" t="s">
        <v>79</v>
      </c>
      <c r="D3" s="2" t="s">
        <v>80</v>
      </c>
      <c r="F3" s="3" t="s">
        <v>58</v>
      </c>
      <c r="G3" s="3" t="s">
        <v>59</v>
      </c>
      <c r="H3" s="3" t="s">
        <v>58</v>
      </c>
      <c r="I3" s="3" t="s">
        <v>58</v>
      </c>
      <c r="J3" s="3" t="s">
        <v>60</v>
      </c>
      <c r="K3" s="2" t="s">
        <v>81</v>
      </c>
      <c r="L3" s="2" t="s">
        <v>82</v>
      </c>
      <c r="M3" s="3" t="s">
        <v>83</v>
      </c>
      <c r="O3" s="3" t="s">
        <v>64</v>
      </c>
      <c r="P3" s="3" t="s">
        <v>84</v>
      </c>
      <c r="R3" s="3" t="s">
        <v>66</v>
      </c>
      <c r="S3" s="4">
        <v>7</v>
      </c>
      <c r="T3" s="4">
        <v>7</v>
      </c>
      <c r="U3" s="5" t="s">
        <v>85</v>
      </c>
      <c r="V3" s="5" t="s">
        <v>85</v>
      </c>
      <c r="W3" s="5" t="s">
        <v>86</v>
      </c>
      <c r="X3" s="5" t="s">
        <v>86</v>
      </c>
      <c r="Y3" s="4">
        <v>531</v>
      </c>
      <c r="Z3" s="4">
        <v>400</v>
      </c>
      <c r="AA3" s="4">
        <v>401</v>
      </c>
      <c r="AB3" s="4">
        <v>3</v>
      </c>
      <c r="AC3" s="4">
        <v>3</v>
      </c>
      <c r="AD3" s="4">
        <v>23</v>
      </c>
      <c r="AE3" s="4">
        <v>23</v>
      </c>
      <c r="AF3" s="4">
        <v>8</v>
      </c>
      <c r="AG3" s="4">
        <v>8</v>
      </c>
      <c r="AH3" s="4">
        <v>6</v>
      </c>
      <c r="AI3" s="4">
        <v>6</v>
      </c>
      <c r="AJ3" s="4">
        <v>11</v>
      </c>
      <c r="AK3" s="4">
        <v>11</v>
      </c>
      <c r="AL3" s="4">
        <v>2</v>
      </c>
      <c r="AM3" s="4">
        <v>2</v>
      </c>
      <c r="AN3" s="4">
        <v>0</v>
      </c>
      <c r="AO3" s="4">
        <v>0</v>
      </c>
      <c r="AP3" s="3" t="s">
        <v>58</v>
      </c>
      <c r="AQ3" s="3" t="s">
        <v>58</v>
      </c>
      <c r="AS3" s="6" t="str">
        <f>HYPERLINK("https://creighton-primo.hosted.exlibrisgroup.com/primo-explore/search?tab=default_tab&amp;search_scope=EVERYTHING&amp;vid=01CRU&amp;lang=en_US&amp;offset=0&amp;query=any,contains,991002167459702656","Catalog Record")</f>
        <v>Catalog Record</v>
      </c>
      <c r="AT3" s="6" t="str">
        <f>HYPERLINK("http://www.worldcat.org/oclc/27897074","WorldCat Record")</f>
        <v>WorldCat Record</v>
      </c>
      <c r="AU3" s="3" t="s">
        <v>87</v>
      </c>
      <c r="AV3" s="3" t="s">
        <v>88</v>
      </c>
      <c r="AW3" s="3" t="s">
        <v>89</v>
      </c>
      <c r="AX3" s="3" t="s">
        <v>89</v>
      </c>
      <c r="AY3" s="3" t="s">
        <v>90</v>
      </c>
      <c r="AZ3" s="3" t="s">
        <v>74</v>
      </c>
      <c r="BB3" s="3" t="s">
        <v>91</v>
      </c>
      <c r="BC3" s="3" t="s">
        <v>92</v>
      </c>
      <c r="BD3" s="3" t="s">
        <v>93</v>
      </c>
    </row>
    <row r="4" spans="1:56" ht="34.5" customHeight="1" x14ac:dyDescent="0.25">
      <c r="A4" s="7" t="s">
        <v>58</v>
      </c>
      <c r="B4" s="2" t="s">
        <v>94</v>
      </c>
      <c r="C4" s="2" t="s">
        <v>95</v>
      </c>
      <c r="D4" s="2" t="s">
        <v>96</v>
      </c>
      <c r="F4" s="3" t="s">
        <v>58</v>
      </c>
      <c r="G4" s="3" t="s">
        <v>59</v>
      </c>
      <c r="H4" s="3" t="s">
        <v>58</v>
      </c>
      <c r="I4" s="3" t="s">
        <v>58</v>
      </c>
      <c r="J4" s="3" t="s">
        <v>60</v>
      </c>
      <c r="K4" s="2" t="s">
        <v>97</v>
      </c>
      <c r="L4" s="2" t="s">
        <v>98</v>
      </c>
      <c r="M4" s="3" t="s">
        <v>99</v>
      </c>
      <c r="O4" s="3" t="s">
        <v>64</v>
      </c>
      <c r="P4" s="3" t="s">
        <v>100</v>
      </c>
      <c r="R4" s="3" t="s">
        <v>66</v>
      </c>
      <c r="S4" s="4">
        <v>5</v>
      </c>
      <c r="T4" s="4">
        <v>5</v>
      </c>
      <c r="U4" s="5" t="s">
        <v>101</v>
      </c>
      <c r="V4" s="5" t="s">
        <v>101</v>
      </c>
      <c r="W4" s="5" t="s">
        <v>102</v>
      </c>
      <c r="X4" s="5" t="s">
        <v>102</v>
      </c>
      <c r="Y4" s="4">
        <v>524</v>
      </c>
      <c r="Z4" s="4">
        <v>448</v>
      </c>
      <c r="AA4" s="4">
        <v>500</v>
      </c>
      <c r="AB4" s="4">
        <v>2</v>
      </c>
      <c r="AC4" s="4">
        <v>3</v>
      </c>
      <c r="AD4" s="4">
        <v>23</v>
      </c>
      <c r="AE4" s="4">
        <v>24</v>
      </c>
      <c r="AF4" s="4">
        <v>8</v>
      </c>
      <c r="AG4" s="4">
        <v>8</v>
      </c>
      <c r="AH4" s="4">
        <v>6</v>
      </c>
      <c r="AI4" s="4">
        <v>6</v>
      </c>
      <c r="AJ4" s="4">
        <v>14</v>
      </c>
      <c r="AK4" s="4">
        <v>14</v>
      </c>
      <c r="AL4" s="4">
        <v>1</v>
      </c>
      <c r="AM4" s="4">
        <v>2</v>
      </c>
      <c r="AN4" s="4">
        <v>0</v>
      </c>
      <c r="AO4" s="4">
        <v>0</v>
      </c>
      <c r="AP4" s="3" t="s">
        <v>58</v>
      </c>
      <c r="AQ4" s="3" t="s">
        <v>58</v>
      </c>
      <c r="AS4" s="6" t="str">
        <f>HYPERLINK("https://creighton-primo.hosted.exlibrisgroup.com/primo-explore/search?tab=default_tab&amp;search_scope=EVERYTHING&amp;vid=01CRU&amp;lang=en_US&amp;offset=0&amp;query=any,contains,991004914519702656","Catalog Record")</f>
        <v>Catalog Record</v>
      </c>
      <c r="AT4" s="6" t="str">
        <f>HYPERLINK("http://www.worldcat.org/oclc/6014957","WorldCat Record")</f>
        <v>WorldCat Record</v>
      </c>
      <c r="AU4" s="3" t="s">
        <v>103</v>
      </c>
      <c r="AV4" s="3" t="s">
        <v>104</v>
      </c>
      <c r="AW4" s="3" t="s">
        <v>105</v>
      </c>
      <c r="AX4" s="3" t="s">
        <v>105</v>
      </c>
      <c r="AY4" s="3" t="s">
        <v>106</v>
      </c>
      <c r="AZ4" s="3" t="s">
        <v>74</v>
      </c>
      <c r="BB4" s="3" t="s">
        <v>107</v>
      </c>
      <c r="BC4" s="3" t="s">
        <v>108</v>
      </c>
      <c r="BD4" s="3" t="s">
        <v>109</v>
      </c>
    </row>
    <row r="5" spans="1:56" ht="34.5" customHeight="1" x14ac:dyDescent="0.25">
      <c r="A5" s="7" t="s">
        <v>58</v>
      </c>
      <c r="B5" s="2" t="s">
        <v>110</v>
      </c>
      <c r="C5" s="2" t="s">
        <v>111</v>
      </c>
      <c r="D5" s="2" t="s">
        <v>112</v>
      </c>
      <c r="F5" s="3" t="s">
        <v>58</v>
      </c>
      <c r="G5" s="3" t="s">
        <v>59</v>
      </c>
      <c r="H5" s="3" t="s">
        <v>58</v>
      </c>
      <c r="I5" s="3" t="s">
        <v>58</v>
      </c>
      <c r="J5" s="3" t="s">
        <v>60</v>
      </c>
      <c r="K5" s="2" t="s">
        <v>113</v>
      </c>
      <c r="L5" s="2" t="s">
        <v>114</v>
      </c>
      <c r="M5" s="3" t="s">
        <v>115</v>
      </c>
      <c r="O5" s="3" t="s">
        <v>64</v>
      </c>
      <c r="P5" s="3" t="s">
        <v>65</v>
      </c>
      <c r="R5" s="3" t="s">
        <v>66</v>
      </c>
      <c r="S5" s="4">
        <v>1</v>
      </c>
      <c r="T5" s="4">
        <v>1</v>
      </c>
      <c r="U5" s="5" t="s">
        <v>116</v>
      </c>
      <c r="V5" s="5" t="s">
        <v>116</v>
      </c>
      <c r="W5" s="5" t="s">
        <v>117</v>
      </c>
      <c r="X5" s="5" t="s">
        <v>117</v>
      </c>
      <c r="Y5" s="4">
        <v>492</v>
      </c>
      <c r="Z5" s="4">
        <v>401</v>
      </c>
      <c r="AA5" s="4">
        <v>590</v>
      </c>
      <c r="AB5" s="4">
        <v>3</v>
      </c>
      <c r="AC5" s="4">
        <v>4</v>
      </c>
      <c r="AD5" s="4">
        <v>15</v>
      </c>
      <c r="AE5" s="4">
        <v>19</v>
      </c>
      <c r="AF5" s="4">
        <v>4</v>
      </c>
      <c r="AG5" s="4">
        <v>5</v>
      </c>
      <c r="AH5" s="4">
        <v>4</v>
      </c>
      <c r="AI5" s="4">
        <v>5</v>
      </c>
      <c r="AJ5" s="4">
        <v>8</v>
      </c>
      <c r="AK5" s="4">
        <v>10</v>
      </c>
      <c r="AL5" s="4">
        <v>2</v>
      </c>
      <c r="AM5" s="4">
        <v>3</v>
      </c>
      <c r="AN5" s="4">
        <v>0</v>
      </c>
      <c r="AO5" s="4">
        <v>0</v>
      </c>
      <c r="AP5" s="3" t="s">
        <v>58</v>
      </c>
      <c r="AQ5" s="3" t="s">
        <v>69</v>
      </c>
      <c r="AR5" s="6" t="str">
        <f>HYPERLINK("http://catalog.hathitrust.org/Record/000101074","HathiTrust Record")</f>
        <v>HathiTrust Record</v>
      </c>
      <c r="AS5" s="6" t="str">
        <f>HYPERLINK("https://creighton-primo.hosted.exlibrisgroup.com/primo-explore/search?tab=default_tab&amp;search_scope=EVERYTHING&amp;vid=01CRU&amp;lang=en_US&amp;offset=0&amp;query=any,contains,991005049309702656","Catalog Record")</f>
        <v>Catalog Record</v>
      </c>
      <c r="AT5" s="6" t="str">
        <f>HYPERLINK("http://www.worldcat.org/oclc/6863245","WorldCat Record")</f>
        <v>WorldCat Record</v>
      </c>
      <c r="AU5" s="3" t="s">
        <v>118</v>
      </c>
      <c r="AV5" s="3" t="s">
        <v>119</v>
      </c>
      <c r="AW5" s="3" t="s">
        <v>120</v>
      </c>
      <c r="AX5" s="3" t="s">
        <v>120</v>
      </c>
      <c r="AY5" s="3" t="s">
        <v>121</v>
      </c>
      <c r="AZ5" s="3" t="s">
        <v>74</v>
      </c>
      <c r="BB5" s="3" t="s">
        <v>122</v>
      </c>
      <c r="BC5" s="3" t="s">
        <v>123</v>
      </c>
      <c r="BD5" s="3" t="s">
        <v>124</v>
      </c>
    </row>
    <row r="6" spans="1:56" ht="34.5" customHeight="1" x14ac:dyDescent="0.25">
      <c r="A6" s="7" t="s">
        <v>58</v>
      </c>
      <c r="B6" s="2" t="s">
        <v>125</v>
      </c>
      <c r="C6" s="2" t="s">
        <v>126</v>
      </c>
      <c r="D6" s="2" t="s">
        <v>127</v>
      </c>
      <c r="F6" s="3" t="s">
        <v>58</v>
      </c>
      <c r="G6" s="3" t="s">
        <v>59</v>
      </c>
      <c r="H6" s="3" t="s">
        <v>58</v>
      </c>
      <c r="I6" s="3" t="s">
        <v>58</v>
      </c>
      <c r="J6" s="3" t="s">
        <v>60</v>
      </c>
      <c r="K6" s="2" t="s">
        <v>128</v>
      </c>
      <c r="L6" s="2" t="s">
        <v>129</v>
      </c>
      <c r="M6" s="3" t="s">
        <v>130</v>
      </c>
      <c r="O6" s="3" t="s">
        <v>64</v>
      </c>
      <c r="P6" s="3" t="s">
        <v>131</v>
      </c>
      <c r="R6" s="3" t="s">
        <v>66</v>
      </c>
      <c r="S6" s="4">
        <v>5</v>
      </c>
      <c r="T6" s="4">
        <v>5</v>
      </c>
      <c r="U6" s="5" t="s">
        <v>132</v>
      </c>
      <c r="V6" s="5" t="s">
        <v>132</v>
      </c>
      <c r="W6" s="5" t="s">
        <v>133</v>
      </c>
      <c r="X6" s="5" t="s">
        <v>133</v>
      </c>
      <c r="Y6" s="4">
        <v>308</v>
      </c>
      <c r="Z6" s="4">
        <v>191</v>
      </c>
      <c r="AA6" s="4">
        <v>197</v>
      </c>
      <c r="AB6" s="4">
        <v>3</v>
      </c>
      <c r="AC6" s="4">
        <v>3</v>
      </c>
      <c r="AD6" s="4">
        <v>7</v>
      </c>
      <c r="AE6" s="4">
        <v>7</v>
      </c>
      <c r="AF6" s="4">
        <v>2</v>
      </c>
      <c r="AG6" s="4">
        <v>2</v>
      </c>
      <c r="AH6" s="4">
        <v>1</v>
      </c>
      <c r="AI6" s="4">
        <v>1</v>
      </c>
      <c r="AJ6" s="4">
        <v>2</v>
      </c>
      <c r="AK6" s="4">
        <v>2</v>
      </c>
      <c r="AL6" s="4">
        <v>2</v>
      </c>
      <c r="AM6" s="4">
        <v>2</v>
      </c>
      <c r="AN6" s="4">
        <v>0</v>
      </c>
      <c r="AO6" s="4">
        <v>0</v>
      </c>
      <c r="AP6" s="3" t="s">
        <v>58</v>
      </c>
      <c r="AQ6" s="3" t="s">
        <v>69</v>
      </c>
      <c r="AR6" s="6" t="str">
        <f>HYPERLINK("http://catalog.hathitrust.org/Record/004058364","HathiTrust Record")</f>
        <v>HathiTrust Record</v>
      </c>
      <c r="AS6" s="6" t="str">
        <f>HYPERLINK("https://creighton-primo.hosted.exlibrisgroup.com/primo-explore/search?tab=default_tab&amp;search_scope=EVERYTHING&amp;vid=01CRU&amp;lang=en_US&amp;offset=0&amp;query=any,contains,991002790139702656","Catalog Record")</f>
        <v>Catalog Record</v>
      </c>
      <c r="AT6" s="6" t="str">
        <f>HYPERLINK("http://www.worldcat.org/oclc/36648520","WorldCat Record")</f>
        <v>WorldCat Record</v>
      </c>
      <c r="AU6" s="3" t="s">
        <v>134</v>
      </c>
      <c r="AV6" s="3" t="s">
        <v>135</v>
      </c>
      <c r="AW6" s="3" t="s">
        <v>136</v>
      </c>
      <c r="AX6" s="3" t="s">
        <v>136</v>
      </c>
      <c r="AY6" s="3" t="s">
        <v>137</v>
      </c>
      <c r="AZ6" s="3" t="s">
        <v>74</v>
      </c>
      <c r="BB6" s="3" t="s">
        <v>138</v>
      </c>
      <c r="BC6" s="3" t="s">
        <v>139</v>
      </c>
      <c r="BD6" s="3" t="s">
        <v>140</v>
      </c>
    </row>
    <row r="7" spans="1:56" ht="34.5" customHeight="1" x14ac:dyDescent="0.25">
      <c r="A7" s="7" t="s">
        <v>58</v>
      </c>
      <c r="B7" s="2" t="s">
        <v>141</v>
      </c>
      <c r="C7" s="2" t="s">
        <v>142</v>
      </c>
      <c r="D7" s="2" t="s">
        <v>143</v>
      </c>
      <c r="F7" s="3" t="s">
        <v>58</v>
      </c>
      <c r="G7" s="3" t="s">
        <v>59</v>
      </c>
      <c r="H7" s="3" t="s">
        <v>58</v>
      </c>
      <c r="I7" s="3" t="s">
        <v>58</v>
      </c>
      <c r="J7" s="3" t="s">
        <v>60</v>
      </c>
      <c r="K7" s="2" t="s">
        <v>144</v>
      </c>
      <c r="L7" s="2" t="s">
        <v>145</v>
      </c>
      <c r="M7" s="3" t="s">
        <v>146</v>
      </c>
      <c r="O7" s="3" t="s">
        <v>64</v>
      </c>
      <c r="P7" s="3" t="s">
        <v>147</v>
      </c>
      <c r="R7" s="3" t="s">
        <v>66</v>
      </c>
      <c r="S7" s="4">
        <v>17</v>
      </c>
      <c r="T7" s="4">
        <v>17</v>
      </c>
      <c r="U7" s="5" t="s">
        <v>148</v>
      </c>
      <c r="V7" s="5" t="s">
        <v>148</v>
      </c>
      <c r="W7" s="5" t="s">
        <v>149</v>
      </c>
      <c r="X7" s="5" t="s">
        <v>149</v>
      </c>
      <c r="Y7" s="4">
        <v>963</v>
      </c>
      <c r="Z7" s="4">
        <v>760</v>
      </c>
      <c r="AA7" s="4">
        <v>785</v>
      </c>
      <c r="AB7" s="4">
        <v>5</v>
      </c>
      <c r="AC7" s="4">
        <v>5</v>
      </c>
      <c r="AD7" s="4">
        <v>34</v>
      </c>
      <c r="AE7" s="4">
        <v>36</v>
      </c>
      <c r="AF7" s="4">
        <v>16</v>
      </c>
      <c r="AG7" s="4">
        <v>16</v>
      </c>
      <c r="AH7" s="4">
        <v>7</v>
      </c>
      <c r="AI7" s="4">
        <v>8</v>
      </c>
      <c r="AJ7" s="4">
        <v>16</v>
      </c>
      <c r="AK7" s="4">
        <v>18</v>
      </c>
      <c r="AL7" s="4">
        <v>4</v>
      </c>
      <c r="AM7" s="4">
        <v>4</v>
      </c>
      <c r="AN7" s="4">
        <v>0</v>
      </c>
      <c r="AO7" s="4">
        <v>0</v>
      </c>
      <c r="AP7" s="3" t="s">
        <v>58</v>
      </c>
      <c r="AQ7" s="3" t="s">
        <v>58</v>
      </c>
      <c r="AS7" s="6" t="str">
        <f>HYPERLINK("https://creighton-primo.hosted.exlibrisgroup.com/primo-explore/search?tab=default_tab&amp;search_scope=EVERYTHING&amp;vid=01CRU&amp;lang=en_US&amp;offset=0&amp;query=any,contains,991005416309702656","Catalog Record")</f>
        <v>Catalog Record</v>
      </c>
      <c r="AT7" s="6" t="str">
        <f>HYPERLINK("http://www.worldcat.org/oclc/27265991","WorldCat Record")</f>
        <v>WorldCat Record</v>
      </c>
      <c r="AU7" s="3" t="s">
        <v>150</v>
      </c>
      <c r="AV7" s="3" t="s">
        <v>151</v>
      </c>
      <c r="AW7" s="3" t="s">
        <v>152</v>
      </c>
      <c r="AX7" s="3" t="s">
        <v>152</v>
      </c>
      <c r="AY7" s="3" t="s">
        <v>153</v>
      </c>
      <c r="AZ7" s="3" t="s">
        <v>74</v>
      </c>
      <c r="BB7" s="3" t="s">
        <v>154</v>
      </c>
      <c r="BC7" s="3" t="s">
        <v>155</v>
      </c>
      <c r="BD7" s="3" t="s">
        <v>156</v>
      </c>
    </row>
    <row r="8" spans="1:56" ht="34.5" customHeight="1" x14ac:dyDescent="0.25">
      <c r="A8" s="7" t="s">
        <v>58</v>
      </c>
      <c r="B8" s="2" t="s">
        <v>157</v>
      </c>
      <c r="C8" s="2" t="s">
        <v>158</v>
      </c>
      <c r="D8" s="2" t="s">
        <v>159</v>
      </c>
      <c r="F8" s="3" t="s">
        <v>58</v>
      </c>
      <c r="G8" s="3" t="s">
        <v>59</v>
      </c>
      <c r="H8" s="3" t="s">
        <v>58</v>
      </c>
      <c r="I8" s="3" t="s">
        <v>58</v>
      </c>
      <c r="J8" s="3" t="s">
        <v>60</v>
      </c>
      <c r="K8" s="2" t="s">
        <v>160</v>
      </c>
      <c r="L8" s="2" t="s">
        <v>161</v>
      </c>
      <c r="M8" s="3" t="s">
        <v>162</v>
      </c>
      <c r="O8" s="3" t="s">
        <v>64</v>
      </c>
      <c r="P8" s="3" t="s">
        <v>100</v>
      </c>
      <c r="R8" s="3" t="s">
        <v>66</v>
      </c>
      <c r="S8" s="4">
        <v>1</v>
      </c>
      <c r="T8" s="4">
        <v>1</v>
      </c>
      <c r="U8" s="5" t="s">
        <v>163</v>
      </c>
      <c r="V8" s="5" t="s">
        <v>163</v>
      </c>
      <c r="W8" s="5" t="s">
        <v>163</v>
      </c>
      <c r="X8" s="5" t="s">
        <v>163</v>
      </c>
      <c r="Y8" s="4">
        <v>529</v>
      </c>
      <c r="Z8" s="4">
        <v>456</v>
      </c>
      <c r="AA8" s="4">
        <v>860</v>
      </c>
      <c r="AB8" s="4">
        <v>2</v>
      </c>
      <c r="AC8" s="4">
        <v>4</v>
      </c>
      <c r="AD8" s="4">
        <v>19</v>
      </c>
      <c r="AE8" s="4">
        <v>28</v>
      </c>
      <c r="AF8" s="4">
        <v>8</v>
      </c>
      <c r="AG8" s="4">
        <v>12</v>
      </c>
      <c r="AH8" s="4">
        <v>6</v>
      </c>
      <c r="AI8" s="4">
        <v>9</v>
      </c>
      <c r="AJ8" s="4">
        <v>10</v>
      </c>
      <c r="AK8" s="4">
        <v>12</v>
      </c>
      <c r="AL8" s="4">
        <v>1</v>
      </c>
      <c r="AM8" s="4">
        <v>3</v>
      </c>
      <c r="AN8" s="4">
        <v>0</v>
      </c>
      <c r="AO8" s="4">
        <v>0</v>
      </c>
      <c r="AP8" s="3" t="s">
        <v>58</v>
      </c>
      <c r="AQ8" s="3" t="s">
        <v>69</v>
      </c>
      <c r="AR8" s="6" t="str">
        <f>HYPERLINK("http://catalog.hathitrust.org/Record/000451969","HathiTrust Record")</f>
        <v>HathiTrust Record</v>
      </c>
      <c r="AS8" s="6" t="str">
        <f>HYPERLINK("https://creighton-primo.hosted.exlibrisgroup.com/primo-explore/search?tab=default_tab&amp;search_scope=EVERYTHING&amp;vid=01CRU&amp;lang=en_US&amp;offset=0&amp;query=any,contains,991005316429702656","Catalog Record")</f>
        <v>Catalog Record</v>
      </c>
      <c r="AT8" s="6" t="str">
        <f>HYPERLINK("http://www.worldcat.org/oclc/10753593","WorldCat Record")</f>
        <v>WorldCat Record</v>
      </c>
      <c r="AU8" s="3" t="s">
        <v>164</v>
      </c>
      <c r="AV8" s="3" t="s">
        <v>165</v>
      </c>
      <c r="AW8" s="3" t="s">
        <v>166</v>
      </c>
      <c r="AX8" s="3" t="s">
        <v>166</v>
      </c>
      <c r="AY8" s="3" t="s">
        <v>167</v>
      </c>
      <c r="AZ8" s="3" t="s">
        <v>74</v>
      </c>
      <c r="BB8" s="3" t="s">
        <v>168</v>
      </c>
      <c r="BC8" s="3" t="s">
        <v>169</v>
      </c>
      <c r="BD8" s="3" t="s">
        <v>170</v>
      </c>
    </row>
    <row r="9" spans="1:56" ht="34.5" customHeight="1" x14ac:dyDescent="0.25">
      <c r="A9" s="7" t="s">
        <v>58</v>
      </c>
      <c r="B9" s="2" t="s">
        <v>171</v>
      </c>
      <c r="C9" s="2" t="s">
        <v>172</v>
      </c>
      <c r="D9" s="2" t="s">
        <v>173</v>
      </c>
      <c r="F9" s="3" t="s">
        <v>58</v>
      </c>
      <c r="G9" s="3" t="s">
        <v>59</v>
      </c>
      <c r="H9" s="3" t="s">
        <v>58</v>
      </c>
      <c r="I9" s="3" t="s">
        <v>58</v>
      </c>
      <c r="J9" s="3" t="s">
        <v>60</v>
      </c>
      <c r="K9" s="2" t="s">
        <v>174</v>
      </c>
      <c r="L9" s="2" t="s">
        <v>175</v>
      </c>
      <c r="M9" s="3" t="s">
        <v>176</v>
      </c>
      <c r="O9" s="3" t="s">
        <v>64</v>
      </c>
      <c r="P9" s="3" t="s">
        <v>177</v>
      </c>
      <c r="R9" s="3" t="s">
        <v>66</v>
      </c>
      <c r="S9" s="4">
        <v>1</v>
      </c>
      <c r="T9" s="4">
        <v>1</v>
      </c>
      <c r="U9" s="5" t="s">
        <v>178</v>
      </c>
      <c r="V9" s="5" t="s">
        <v>178</v>
      </c>
      <c r="W9" s="5" t="s">
        <v>179</v>
      </c>
      <c r="X9" s="5" t="s">
        <v>179</v>
      </c>
      <c r="Y9" s="4">
        <v>401</v>
      </c>
      <c r="Z9" s="4">
        <v>305</v>
      </c>
      <c r="AA9" s="4">
        <v>305</v>
      </c>
      <c r="AB9" s="4">
        <v>2</v>
      </c>
      <c r="AC9" s="4">
        <v>2</v>
      </c>
      <c r="AD9" s="4">
        <v>11</v>
      </c>
      <c r="AE9" s="4">
        <v>11</v>
      </c>
      <c r="AF9" s="4">
        <v>3</v>
      </c>
      <c r="AG9" s="4">
        <v>3</v>
      </c>
      <c r="AH9" s="4">
        <v>3</v>
      </c>
      <c r="AI9" s="4">
        <v>3</v>
      </c>
      <c r="AJ9" s="4">
        <v>6</v>
      </c>
      <c r="AK9" s="4">
        <v>6</v>
      </c>
      <c r="AL9" s="4">
        <v>1</v>
      </c>
      <c r="AM9" s="4">
        <v>1</v>
      </c>
      <c r="AN9" s="4">
        <v>0</v>
      </c>
      <c r="AO9" s="4">
        <v>0</v>
      </c>
      <c r="AP9" s="3" t="s">
        <v>58</v>
      </c>
      <c r="AQ9" s="3" t="s">
        <v>58</v>
      </c>
      <c r="AS9" s="6" t="str">
        <f>HYPERLINK("https://creighton-primo.hosted.exlibrisgroup.com/primo-explore/search?tab=default_tab&amp;search_scope=EVERYTHING&amp;vid=01CRU&amp;lang=en_US&amp;offset=0&amp;query=any,contains,991001052099702656","Catalog Record")</f>
        <v>Catalog Record</v>
      </c>
      <c r="AT9" s="6" t="str">
        <f>HYPERLINK("http://www.worldcat.org/oclc/15657055","WorldCat Record")</f>
        <v>WorldCat Record</v>
      </c>
      <c r="AU9" s="3" t="s">
        <v>180</v>
      </c>
      <c r="AV9" s="3" t="s">
        <v>181</v>
      </c>
      <c r="AW9" s="3" t="s">
        <v>182</v>
      </c>
      <c r="AX9" s="3" t="s">
        <v>182</v>
      </c>
      <c r="AY9" s="3" t="s">
        <v>183</v>
      </c>
      <c r="AZ9" s="3" t="s">
        <v>74</v>
      </c>
      <c r="BB9" s="3" t="s">
        <v>184</v>
      </c>
      <c r="BC9" s="3" t="s">
        <v>185</v>
      </c>
      <c r="BD9" s="3" t="s">
        <v>186</v>
      </c>
    </row>
    <row r="10" spans="1:56" ht="34.5" customHeight="1" x14ac:dyDescent="0.25">
      <c r="A10" s="7" t="s">
        <v>58</v>
      </c>
      <c r="B10" s="2" t="s">
        <v>187</v>
      </c>
      <c r="C10" s="2" t="s">
        <v>188</v>
      </c>
      <c r="D10" s="2" t="s">
        <v>189</v>
      </c>
      <c r="E10" s="3" t="s">
        <v>190</v>
      </c>
      <c r="F10" s="3" t="s">
        <v>69</v>
      </c>
      <c r="G10" s="3" t="s">
        <v>59</v>
      </c>
      <c r="H10" s="3" t="s">
        <v>58</v>
      </c>
      <c r="I10" s="3" t="s">
        <v>58</v>
      </c>
      <c r="J10" s="3" t="s">
        <v>60</v>
      </c>
      <c r="K10" s="2" t="s">
        <v>97</v>
      </c>
      <c r="L10" s="2" t="s">
        <v>191</v>
      </c>
      <c r="M10" s="3" t="s">
        <v>192</v>
      </c>
      <c r="O10" s="3" t="s">
        <v>64</v>
      </c>
      <c r="P10" s="3" t="s">
        <v>84</v>
      </c>
      <c r="Q10" s="2" t="s">
        <v>193</v>
      </c>
      <c r="R10" s="3" t="s">
        <v>66</v>
      </c>
      <c r="S10" s="4">
        <v>0</v>
      </c>
      <c r="T10" s="4">
        <v>0</v>
      </c>
      <c r="U10" s="5" t="s">
        <v>194</v>
      </c>
      <c r="V10" s="5" t="s">
        <v>194</v>
      </c>
      <c r="W10" s="5" t="s">
        <v>68</v>
      </c>
      <c r="X10" s="5" t="s">
        <v>68</v>
      </c>
      <c r="Y10" s="4">
        <v>358</v>
      </c>
      <c r="Z10" s="4">
        <v>259</v>
      </c>
      <c r="AA10" s="4">
        <v>262</v>
      </c>
      <c r="AB10" s="4">
        <v>2</v>
      </c>
      <c r="AC10" s="4">
        <v>2</v>
      </c>
      <c r="AD10" s="4">
        <v>9</v>
      </c>
      <c r="AE10" s="4">
        <v>9</v>
      </c>
      <c r="AF10" s="4">
        <v>3</v>
      </c>
      <c r="AG10" s="4">
        <v>3</v>
      </c>
      <c r="AH10" s="4">
        <v>1</v>
      </c>
      <c r="AI10" s="4">
        <v>1</v>
      </c>
      <c r="AJ10" s="4">
        <v>5</v>
      </c>
      <c r="AK10" s="4">
        <v>5</v>
      </c>
      <c r="AL10" s="4">
        <v>1</v>
      </c>
      <c r="AM10" s="4">
        <v>1</v>
      </c>
      <c r="AN10" s="4">
        <v>0</v>
      </c>
      <c r="AO10" s="4">
        <v>0</v>
      </c>
      <c r="AP10" s="3" t="s">
        <v>58</v>
      </c>
      <c r="AQ10" s="3" t="s">
        <v>69</v>
      </c>
      <c r="AR10" s="6" t="str">
        <f>HYPERLINK("http://catalog.hathitrust.org/Record/000453836","HathiTrust Record")</f>
        <v>HathiTrust Record</v>
      </c>
      <c r="AS10" s="6" t="str">
        <f>HYPERLINK("https://creighton-primo.hosted.exlibrisgroup.com/primo-explore/search?tab=default_tab&amp;search_scope=EVERYTHING&amp;vid=01CRU&amp;lang=en_US&amp;offset=0&amp;query=any,contains,991003372839702656","Catalog Record")</f>
        <v>Catalog Record</v>
      </c>
      <c r="AT10" s="6" t="str">
        <f>HYPERLINK("http://www.worldcat.org/oclc/908920","WorldCat Record")</f>
        <v>WorldCat Record</v>
      </c>
      <c r="AU10" s="3" t="s">
        <v>195</v>
      </c>
      <c r="AV10" s="3" t="s">
        <v>196</v>
      </c>
      <c r="AW10" s="3" t="s">
        <v>197</v>
      </c>
      <c r="AX10" s="3" t="s">
        <v>197</v>
      </c>
      <c r="AY10" s="3" t="s">
        <v>198</v>
      </c>
      <c r="AZ10" s="3" t="s">
        <v>74</v>
      </c>
      <c r="BB10" s="3" t="s">
        <v>199</v>
      </c>
      <c r="BC10" s="3" t="s">
        <v>200</v>
      </c>
      <c r="BD10" s="3" t="s">
        <v>201</v>
      </c>
    </row>
    <row r="11" spans="1:56" ht="34.5" customHeight="1" x14ac:dyDescent="0.25">
      <c r="A11" s="7" t="s">
        <v>58</v>
      </c>
      <c r="B11" s="2" t="s">
        <v>187</v>
      </c>
      <c r="C11" s="2" t="s">
        <v>188</v>
      </c>
      <c r="D11" s="2" t="s">
        <v>189</v>
      </c>
      <c r="E11" s="3" t="s">
        <v>202</v>
      </c>
      <c r="F11" s="3" t="s">
        <v>69</v>
      </c>
      <c r="G11" s="3" t="s">
        <v>59</v>
      </c>
      <c r="H11" s="3" t="s">
        <v>58</v>
      </c>
      <c r="I11" s="3" t="s">
        <v>58</v>
      </c>
      <c r="J11" s="3" t="s">
        <v>60</v>
      </c>
      <c r="K11" s="2" t="s">
        <v>97</v>
      </c>
      <c r="L11" s="2" t="s">
        <v>191</v>
      </c>
      <c r="M11" s="3" t="s">
        <v>192</v>
      </c>
      <c r="O11" s="3" t="s">
        <v>64</v>
      </c>
      <c r="P11" s="3" t="s">
        <v>84</v>
      </c>
      <c r="Q11" s="2" t="s">
        <v>193</v>
      </c>
      <c r="R11" s="3" t="s">
        <v>66</v>
      </c>
      <c r="S11" s="4">
        <v>0</v>
      </c>
      <c r="T11" s="4">
        <v>0</v>
      </c>
      <c r="U11" s="5" t="s">
        <v>194</v>
      </c>
      <c r="V11" s="5" t="s">
        <v>194</v>
      </c>
      <c r="W11" s="5" t="s">
        <v>68</v>
      </c>
      <c r="X11" s="5" t="s">
        <v>68</v>
      </c>
      <c r="Y11" s="4">
        <v>358</v>
      </c>
      <c r="Z11" s="4">
        <v>259</v>
      </c>
      <c r="AA11" s="4">
        <v>262</v>
      </c>
      <c r="AB11" s="4">
        <v>2</v>
      </c>
      <c r="AC11" s="4">
        <v>2</v>
      </c>
      <c r="AD11" s="4">
        <v>9</v>
      </c>
      <c r="AE11" s="4">
        <v>9</v>
      </c>
      <c r="AF11" s="4">
        <v>3</v>
      </c>
      <c r="AG11" s="4">
        <v>3</v>
      </c>
      <c r="AH11" s="4">
        <v>1</v>
      </c>
      <c r="AI11" s="4">
        <v>1</v>
      </c>
      <c r="AJ11" s="4">
        <v>5</v>
      </c>
      <c r="AK11" s="4">
        <v>5</v>
      </c>
      <c r="AL11" s="4">
        <v>1</v>
      </c>
      <c r="AM11" s="4">
        <v>1</v>
      </c>
      <c r="AN11" s="4">
        <v>0</v>
      </c>
      <c r="AO11" s="4">
        <v>0</v>
      </c>
      <c r="AP11" s="3" t="s">
        <v>58</v>
      </c>
      <c r="AQ11" s="3" t="s">
        <v>69</v>
      </c>
      <c r="AR11" s="6" t="str">
        <f>HYPERLINK("http://catalog.hathitrust.org/Record/000453836","HathiTrust Record")</f>
        <v>HathiTrust Record</v>
      </c>
      <c r="AS11" s="6" t="str">
        <f>HYPERLINK("https://creighton-primo.hosted.exlibrisgroup.com/primo-explore/search?tab=default_tab&amp;search_scope=EVERYTHING&amp;vid=01CRU&amp;lang=en_US&amp;offset=0&amp;query=any,contains,991003372839702656","Catalog Record")</f>
        <v>Catalog Record</v>
      </c>
      <c r="AT11" s="6" t="str">
        <f>HYPERLINK("http://www.worldcat.org/oclc/908920","WorldCat Record")</f>
        <v>WorldCat Record</v>
      </c>
      <c r="AU11" s="3" t="s">
        <v>195</v>
      </c>
      <c r="AV11" s="3" t="s">
        <v>196</v>
      </c>
      <c r="AW11" s="3" t="s">
        <v>197</v>
      </c>
      <c r="AX11" s="3" t="s">
        <v>197</v>
      </c>
      <c r="AY11" s="3" t="s">
        <v>198</v>
      </c>
      <c r="AZ11" s="3" t="s">
        <v>74</v>
      </c>
      <c r="BB11" s="3" t="s">
        <v>199</v>
      </c>
      <c r="BC11" s="3" t="s">
        <v>203</v>
      </c>
      <c r="BD11" s="3" t="s">
        <v>204</v>
      </c>
    </row>
    <row r="12" spans="1:56" ht="34.5" customHeight="1" x14ac:dyDescent="0.25">
      <c r="A12" s="7" t="s">
        <v>58</v>
      </c>
      <c r="B12" s="2" t="s">
        <v>205</v>
      </c>
      <c r="C12" s="2" t="s">
        <v>206</v>
      </c>
      <c r="D12" s="2" t="s">
        <v>207</v>
      </c>
      <c r="F12" s="3" t="s">
        <v>58</v>
      </c>
      <c r="G12" s="3" t="s">
        <v>59</v>
      </c>
      <c r="H12" s="3" t="s">
        <v>58</v>
      </c>
      <c r="I12" s="3" t="s">
        <v>58</v>
      </c>
      <c r="J12" s="3" t="s">
        <v>60</v>
      </c>
      <c r="L12" s="2" t="s">
        <v>208</v>
      </c>
      <c r="M12" s="3" t="s">
        <v>209</v>
      </c>
      <c r="O12" s="3" t="s">
        <v>64</v>
      </c>
      <c r="P12" s="3" t="s">
        <v>210</v>
      </c>
      <c r="R12" s="3" t="s">
        <v>66</v>
      </c>
      <c r="S12" s="4">
        <v>4</v>
      </c>
      <c r="T12" s="4">
        <v>4</v>
      </c>
      <c r="U12" s="5" t="s">
        <v>211</v>
      </c>
      <c r="V12" s="5" t="s">
        <v>211</v>
      </c>
      <c r="W12" s="5" t="s">
        <v>117</v>
      </c>
      <c r="X12" s="5" t="s">
        <v>117</v>
      </c>
      <c r="Y12" s="4">
        <v>893</v>
      </c>
      <c r="Z12" s="4">
        <v>823</v>
      </c>
      <c r="AA12" s="4">
        <v>830</v>
      </c>
      <c r="AB12" s="4">
        <v>6</v>
      </c>
      <c r="AC12" s="4">
        <v>6</v>
      </c>
      <c r="AD12" s="4">
        <v>10</v>
      </c>
      <c r="AE12" s="4">
        <v>10</v>
      </c>
      <c r="AF12" s="4">
        <v>4</v>
      </c>
      <c r="AG12" s="4">
        <v>4</v>
      </c>
      <c r="AH12" s="4">
        <v>2</v>
      </c>
      <c r="AI12" s="4">
        <v>2</v>
      </c>
      <c r="AJ12" s="4">
        <v>5</v>
      </c>
      <c r="AK12" s="4">
        <v>5</v>
      </c>
      <c r="AL12" s="4">
        <v>2</v>
      </c>
      <c r="AM12" s="4">
        <v>2</v>
      </c>
      <c r="AN12" s="4">
        <v>0</v>
      </c>
      <c r="AO12" s="4">
        <v>0</v>
      </c>
      <c r="AP12" s="3" t="s">
        <v>58</v>
      </c>
      <c r="AQ12" s="3" t="s">
        <v>69</v>
      </c>
      <c r="AR12" s="6" t="str">
        <f>HYPERLINK("http://catalog.hathitrust.org/Record/000418042","HathiTrust Record")</f>
        <v>HathiTrust Record</v>
      </c>
      <c r="AS12" s="6" t="str">
        <f>HYPERLINK("https://creighton-primo.hosted.exlibrisgroup.com/primo-explore/search?tab=default_tab&amp;search_scope=EVERYTHING&amp;vid=01CRU&amp;lang=en_US&amp;offset=0&amp;query=any,contains,991000578679702656","Catalog Record")</f>
        <v>Catalog Record</v>
      </c>
      <c r="AT12" s="6" t="str">
        <f>HYPERLINK("http://www.worldcat.org/oclc/11721531","WorldCat Record")</f>
        <v>WorldCat Record</v>
      </c>
      <c r="AU12" s="3" t="s">
        <v>212</v>
      </c>
      <c r="AV12" s="3" t="s">
        <v>213</v>
      </c>
      <c r="AW12" s="3" t="s">
        <v>214</v>
      </c>
      <c r="AX12" s="3" t="s">
        <v>214</v>
      </c>
      <c r="AY12" s="3" t="s">
        <v>215</v>
      </c>
      <c r="AZ12" s="3" t="s">
        <v>74</v>
      </c>
      <c r="BB12" s="3" t="s">
        <v>216</v>
      </c>
      <c r="BC12" s="3" t="s">
        <v>217</v>
      </c>
      <c r="BD12" s="3" t="s">
        <v>218</v>
      </c>
    </row>
    <row r="13" spans="1:56" ht="34.5" customHeight="1" x14ac:dyDescent="0.25">
      <c r="A13" s="7" t="s">
        <v>58</v>
      </c>
      <c r="B13" s="2" t="s">
        <v>219</v>
      </c>
      <c r="C13" s="2" t="s">
        <v>220</v>
      </c>
      <c r="D13" s="2" t="s">
        <v>221</v>
      </c>
      <c r="F13" s="3" t="s">
        <v>58</v>
      </c>
      <c r="G13" s="3" t="s">
        <v>59</v>
      </c>
      <c r="H13" s="3" t="s">
        <v>58</v>
      </c>
      <c r="I13" s="3" t="s">
        <v>58</v>
      </c>
      <c r="J13" s="3" t="s">
        <v>60</v>
      </c>
      <c r="K13" s="2" t="s">
        <v>222</v>
      </c>
      <c r="L13" s="2" t="s">
        <v>223</v>
      </c>
      <c r="M13" s="3" t="s">
        <v>224</v>
      </c>
      <c r="O13" s="3" t="s">
        <v>64</v>
      </c>
      <c r="P13" s="3" t="s">
        <v>65</v>
      </c>
      <c r="R13" s="3" t="s">
        <v>66</v>
      </c>
      <c r="S13" s="4">
        <v>1</v>
      </c>
      <c r="T13" s="4">
        <v>1</v>
      </c>
      <c r="U13" s="5" t="s">
        <v>116</v>
      </c>
      <c r="V13" s="5" t="s">
        <v>116</v>
      </c>
      <c r="W13" s="5" t="s">
        <v>117</v>
      </c>
      <c r="X13" s="5" t="s">
        <v>117</v>
      </c>
      <c r="Y13" s="4">
        <v>212</v>
      </c>
      <c r="Z13" s="4">
        <v>181</v>
      </c>
      <c r="AA13" s="4">
        <v>694</v>
      </c>
      <c r="AB13" s="4">
        <v>2</v>
      </c>
      <c r="AC13" s="4">
        <v>5</v>
      </c>
      <c r="AD13" s="4">
        <v>0</v>
      </c>
      <c r="AE13" s="4">
        <v>9</v>
      </c>
      <c r="AF13" s="4">
        <v>0</v>
      </c>
      <c r="AG13" s="4">
        <v>4</v>
      </c>
      <c r="AH13" s="4">
        <v>0</v>
      </c>
      <c r="AI13" s="4">
        <v>2</v>
      </c>
      <c r="AJ13" s="4">
        <v>0</v>
      </c>
      <c r="AK13" s="4">
        <v>2</v>
      </c>
      <c r="AL13" s="4">
        <v>0</v>
      </c>
      <c r="AM13" s="4">
        <v>2</v>
      </c>
      <c r="AN13" s="4">
        <v>0</v>
      </c>
      <c r="AO13" s="4">
        <v>0</v>
      </c>
      <c r="AP13" s="3" t="s">
        <v>58</v>
      </c>
      <c r="AQ13" s="3" t="s">
        <v>69</v>
      </c>
      <c r="AR13" s="6" t="str">
        <f>HYPERLINK("http://catalog.hathitrust.org/Record/007559580","HathiTrust Record")</f>
        <v>HathiTrust Record</v>
      </c>
      <c r="AS13" s="6" t="str">
        <f>HYPERLINK("https://creighton-primo.hosted.exlibrisgroup.com/primo-explore/search?tab=default_tab&amp;search_scope=EVERYTHING&amp;vid=01CRU&amp;lang=en_US&amp;offset=0&amp;query=any,contains,991000125469702656","Catalog Record")</f>
        <v>Catalog Record</v>
      </c>
      <c r="AT13" s="6" t="str">
        <f>HYPERLINK("http://www.worldcat.org/oclc/9082803","WorldCat Record")</f>
        <v>WorldCat Record</v>
      </c>
      <c r="AU13" s="3" t="s">
        <v>225</v>
      </c>
      <c r="AV13" s="3" t="s">
        <v>226</v>
      </c>
      <c r="AW13" s="3" t="s">
        <v>227</v>
      </c>
      <c r="AX13" s="3" t="s">
        <v>227</v>
      </c>
      <c r="AY13" s="3" t="s">
        <v>228</v>
      </c>
      <c r="AZ13" s="3" t="s">
        <v>74</v>
      </c>
      <c r="BB13" s="3" t="s">
        <v>229</v>
      </c>
      <c r="BC13" s="3" t="s">
        <v>230</v>
      </c>
      <c r="BD13" s="3" t="s">
        <v>231</v>
      </c>
    </row>
    <row r="14" spans="1:56" ht="34.5" customHeight="1" x14ac:dyDescent="0.25">
      <c r="A14" s="7" t="s">
        <v>58</v>
      </c>
      <c r="B14" s="2" t="s">
        <v>232</v>
      </c>
      <c r="C14" s="2" t="s">
        <v>233</v>
      </c>
      <c r="D14" s="2" t="s">
        <v>234</v>
      </c>
      <c r="F14" s="3" t="s">
        <v>58</v>
      </c>
      <c r="G14" s="3" t="s">
        <v>59</v>
      </c>
      <c r="H14" s="3" t="s">
        <v>58</v>
      </c>
      <c r="I14" s="3" t="s">
        <v>58</v>
      </c>
      <c r="J14" s="3" t="s">
        <v>60</v>
      </c>
      <c r="K14" s="2" t="s">
        <v>235</v>
      </c>
      <c r="L14" s="2" t="s">
        <v>236</v>
      </c>
      <c r="M14" s="3" t="s">
        <v>237</v>
      </c>
      <c r="O14" s="3" t="s">
        <v>64</v>
      </c>
      <c r="P14" s="3" t="s">
        <v>238</v>
      </c>
      <c r="R14" s="3" t="s">
        <v>66</v>
      </c>
      <c r="S14" s="4">
        <v>2</v>
      </c>
      <c r="T14" s="4">
        <v>2</v>
      </c>
      <c r="U14" s="5" t="s">
        <v>239</v>
      </c>
      <c r="V14" s="5" t="s">
        <v>239</v>
      </c>
      <c r="W14" s="5" t="s">
        <v>102</v>
      </c>
      <c r="X14" s="5" t="s">
        <v>102</v>
      </c>
      <c r="Y14" s="4">
        <v>611</v>
      </c>
      <c r="Z14" s="4">
        <v>462</v>
      </c>
      <c r="AA14" s="4">
        <v>466</v>
      </c>
      <c r="AB14" s="4">
        <v>2</v>
      </c>
      <c r="AC14" s="4">
        <v>2</v>
      </c>
      <c r="AD14" s="4">
        <v>15</v>
      </c>
      <c r="AE14" s="4">
        <v>15</v>
      </c>
      <c r="AF14" s="4">
        <v>5</v>
      </c>
      <c r="AG14" s="4">
        <v>5</v>
      </c>
      <c r="AH14" s="4">
        <v>3</v>
      </c>
      <c r="AI14" s="4">
        <v>3</v>
      </c>
      <c r="AJ14" s="4">
        <v>11</v>
      </c>
      <c r="AK14" s="4">
        <v>11</v>
      </c>
      <c r="AL14" s="4">
        <v>1</v>
      </c>
      <c r="AM14" s="4">
        <v>1</v>
      </c>
      <c r="AN14" s="4">
        <v>0</v>
      </c>
      <c r="AO14" s="4">
        <v>0</v>
      </c>
      <c r="AP14" s="3" t="s">
        <v>58</v>
      </c>
      <c r="AQ14" s="3" t="s">
        <v>58</v>
      </c>
      <c r="AS14" s="6" t="str">
        <f>HYPERLINK("https://creighton-primo.hosted.exlibrisgroup.com/primo-explore/search?tab=default_tab&amp;search_scope=EVERYTHING&amp;vid=01CRU&amp;lang=en_US&amp;offset=0&amp;query=any,contains,991004961099702656","Catalog Record")</f>
        <v>Catalog Record</v>
      </c>
      <c r="AT14" s="6" t="str">
        <f>HYPERLINK("http://www.worldcat.org/oclc/6305102","WorldCat Record")</f>
        <v>WorldCat Record</v>
      </c>
      <c r="AU14" s="3" t="s">
        <v>240</v>
      </c>
      <c r="AV14" s="3" t="s">
        <v>241</v>
      </c>
      <c r="AW14" s="3" t="s">
        <v>242</v>
      </c>
      <c r="AX14" s="3" t="s">
        <v>242</v>
      </c>
      <c r="AY14" s="3" t="s">
        <v>243</v>
      </c>
      <c r="AZ14" s="3" t="s">
        <v>74</v>
      </c>
      <c r="BB14" s="3" t="s">
        <v>244</v>
      </c>
      <c r="BC14" s="3" t="s">
        <v>245</v>
      </c>
      <c r="BD14" s="3" t="s">
        <v>246</v>
      </c>
    </row>
    <row r="15" spans="1:56" ht="34.5" customHeight="1" x14ac:dyDescent="0.25">
      <c r="A15" s="7" t="s">
        <v>58</v>
      </c>
      <c r="B15" s="2" t="s">
        <v>247</v>
      </c>
      <c r="C15" s="2" t="s">
        <v>248</v>
      </c>
      <c r="D15" s="2" t="s">
        <v>249</v>
      </c>
      <c r="F15" s="3" t="s">
        <v>58</v>
      </c>
      <c r="G15" s="3" t="s">
        <v>59</v>
      </c>
      <c r="H15" s="3" t="s">
        <v>58</v>
      </c>
      <c r="I15" s="3" t="s">
        <v>58</v>
      </c>
      <c r="J15" s="3" t="s">
        <v>60</v>
      </c>
      <c r="K15" s="2" t="s">
        <v>250</v>
      </c>
      <c r="L15" s="2" t="s">
        <v>251</v>
      </c>
      <c r="M15" s="3" t="s">
        <v>209</v>
      </c>
      <c r="O15" s="3" t="s">
        <v>64</v>
      </c>
      <c r="P15" s="3" t="s">
        <v>252</v>
      </c>
      <c r="R15" s="3" t="s">
        <v>66</v>
      </c>
      <c r="S15" s="4">
        <v>4</v>
      </c>
      <c r="T15" s="4">
        <v>4</v>
      </c>
      <c r="U15" s="5" t="s">
        <v>253</v>
      </c>
      <c r="V15" s="5" t="s">
        <v>253</v>
      </c>
      <c r="W15" s="5" t="s">
        <v>254</v>
      </c>
      <c r="X15" s="5" t="s">
        <v>254</v>
      </c>
      <c r="Y15" s="4">
        <v>227</v>
      </c>
      <c r="Z15" s="4">
        <v>156</v>
      </c>
      <c r="AA15" s="4">
        <v>824</v>
      </c>
      <c r="AB15" s="4">
        <v>1</v>
      </c>
      <c r="AC15" s="4">
        <v>5</v>
      </c>
      <c r="AD15" s="4">
        <v>11</v>
      </c>
      <c r="AE15" s="4">
        <v>37</v>
      </c>
      <c r="AF15" s="4">
        <v>5</v>
      </c>
      <c r="AG15" s="4">
        <v>15</v>
      </c>
      <c r="AH15" s="4">
        <v>4</v>
      </c>
      <c r="AI15" s="4">
        <v>10</v>
      </c>
      <c r="AJ15" s="4">
        <v>6</v>
      </c>
      <c r="AK15" s="4">
        <v>17</v>
      </c>
      <c r="AL15" s="4">
        <v>0</v>
      </c>
      <c r="AM15" s="4">
        <v>4</v>
      </c>
      <c r="AN15" s="4">
        <v>0</v>
      </c>
      <c r="AO15" s="4">
        <v>0</v>
      </c>
      <c r="AP15" s="3" t="s">
        <v>58</v>
      </c>
      <c r="AQ15" s="3" t="s">
        <v>58</v>
      </c>
      <c r="AS15" s="6" t="str">
        <f>HYPERLINK("https://creighton-primo.hosted.exlibrisgroup.com/primo-explore/search?tab=default_tab&amp;search_scope=EVERYTHING&amp;vid=01CRU&amp;lang=en_US&amp;offset=0&amp;query=any,contains,991003995219702656","Catalog Record")</f>
        <v>Catalog Record</v>
      </c>
      <c r="AT15" s="6" t="str">
        <f>HYPERLINK("http://www.worldcat.org/oclc/12051124","WorldCat Record")</f>
        <v>WorldCat Record</v>
      </c>
      <c r="AU15" s="3" t="s">
        <v>255</v>
      </c>
      <c r="AV15" s="3" t="s">
        <v>256</v>
      </c>
      <c r="AW15" s="3" t="s">
        <v>257</v>
      </c>
      <c r="AX15" s="3" t="s">
        <v>257</v>
      </c>
      <c r="AY15" s="3" t="s">
        <v>258</v>
      </c>
      <c r="AZ15" s="3" t="s">
        <v>74</v>
      </c>
      <c r="BB15" s="3" t="s">
        <v>259</v>
      </c>
      <c r="BC15" s="3" t="s">
        <v>260</v>
      </c>
      <c r="BD15" s="3" t="s">
        <v>261</v>
      </c>
    </row>
    <row r="16" spans="1:56" ht="34.5" customHeight="1" x14ac:dyDescent="0.25">
      <c r="A16" s="7" t="s">
        <v>58</v>
      </c>
      <c r="B16" s="2" t="s">
        <v>262</v>
      </c>
      <c r="C16" s="2" t="s">
        <v>263</v>
      </c>
      <c r="D16" s="2" t="s">
        <v>264</v>
      </c>
      <c r="F16" s="3" t="s">
        <v>58</v>
      </c>
      <c r="G16" s="3" t="s">
        <v>59</v>
      </c>
      <c r="H16" s="3" t="s">
        <v>58</v>
      </c>
      <c r="I16" s="3" t="s">
        <v>58</v>
      </c>
      <c r="J16" s="3" t="s">
        <v>60</v>
      </c>
      <c r="K16" s="2" t="s">
        <v>265</v>
      </c>
      <c r="L16" s="2" t="s">
        <v>266</v>
      </c>
      <c r="M16" s="3" t="s">
        <v>99</v>
      </c>
      <c r="N16" s="2" t="s">
        <v>267</v>
      </c>
      <c r="O16" s="3" t="s">
        <v>64</v>
      </c>
      <c r="P16" s="3" t="s">
        <v>268</v>
      </c>
      <c r="R16" s="3" t="s">
        <v>66</v>
      </c>
      <c r="S16" s="4">
        <v>4</v>
      </c>
      <c r="T16" s="4">
        <v>4</v>
      </c>
      <c r="U16" s="5" t="s">
        <v>269</v>
      </c>
      <c r="V16" s="5" t="s">
        <v>269</v>
      </c>
      <c r="W16" s="5" t="s">
        <v>270</v>
      </c>
      <c r="X16" s="5" t="s">
        <v>270</v>
      </c>
      <c r="Y16" s="4">
        <v>143</v>
      </c>
      <c r="Z16" s="4">
        <v>142</v>
      </c>
      <c r="AA16" s="4">
        <v>143</v>
      </c>
      <c r="AB16" s="4">
        <v>2</v>
      </c>
      <c r="AC16" s="4">
        <v>2</v>
      </c>
      <c r="AD16" s="4">
        <v>4</v>
      </c>
      <c r="AE16" s="4">
        <v>4</v>
      </c>
      <c r="AF16" s="4">
        <v>0</v>
      </c>
      <c r="AG16" s="4">
        <v>0</v>
      </c>
      <c r="AH16" s="4">
        <v>1</v>
      </c>
      <c r="AI16" s="4">
        <v>1</v>
      </c>
      <c r="AJ16" s="4">
        <v>3</v>
      </c>
      <c r="AK16" s="4">
        <v>3</v>
      </c>
      <c r="AL16" s="4">
        <v>1</v>
      </c>
      <c r="AM16" s="4">
        <v>1</v>
      </c>
      <c r="AN16" s="4">
        <v>0</v>
      </c>
      <c r="AO16" s="4">
        <v>0</v>
      </c>
      <c r="AP16" s="3" t="s">
        <v>58</v>
      </c>
      <c r="AQ16" s="3" t="s">
        <v>58</v>
      </c>
      <c r="AS16" s="6" t="str">
        <f>HYPERLINK("https://creighton-primo.hosted.exlibrisgroup.com/primo-explore/search?tab=default_tab&amp;search_scope=EVERYTHING&amp;vid=01CRU&amp;lang=en_US&amp;offset=0&amp;query=any,contains,991005063929702656","Catalog Record")</f>
        <v>Catalog Record</v>
      </c>
      <c r="AT16" s="6" t="str">
        <f>HYPERLINK("http://www.worldcat.org/oclc/6942589","WorldCat Record")</f>
        <v>WorldCat Record</v>
      </c>
      <c r="AU16" s="3" t="s">
        <v>271</v>
      </c>
      <c r="AV16" s="3" t="s">
        <v>272</v>
      </c>
      <c r="AW16" s="3" t="s">
        <v>273</v>
      </c>
      <c r="AX16" s="3" t="s">
        <v>273</v>
      </c>
      <c r="AY16" s="3" t="s">
        <v>274</v>
      </c>
      <c r="AZ16" s="3" t="s">
        <v>74</v>
      </c>
      <c r="BB16" s="3" t="s">
        <v>275</v>
      </c>
      <c r="BC16" s="3" t="s">
        <v>276</v>
      </c>
      <c r="BD16" s="3" t="s">
        <v>277</v>
      </c>
    </row>
    <row r="17" spans="1:56" ht="34.5" customHeight="1" x14ac:dyDescent="0.25">
      <c r="A17" s="7" t="s">
        <v>58</v>
      </c>
      <c r="B17" s="2" t="s">
        <v>278</v>
      </c>
      <c r="C17" s="2" t="s">
        <v>279</v>
      </c>
      <c r="D17" s="2" t="s">
        <v>280</v>
      </c>
      <c r="F17" s="3" t="s">
        <v>58</v>
      </c>
      <c r="G17" s="3" t="s">
        <v>59</v>
      </c>
      <c r="H17" s="3" t="s">
        <v>58</v>
      </c>
      <c r="I17" s="3" t="s">
        <v>58</v>
      </c>
      <c r="J17" s="3" t="s">
        <v>60</v>
      </c>
      <c r="K17" s="2" t="s">
        <v>281</v>
      </c>
      <c r="L17" s="2" t="s">
        <v>282</v>
      </c>
      <c r="M17" s="3" t="s">
        <v>283</v>
      </c>
      <c r="N17" s="2" t="s">
        <v>284</v>
      </c>
      <c r="O17" s="3" t="s">
        <v>64</v>
      </c>
      <c r="P17" s="3" t="s">
        <v>65</v>
      </c>
      <c r="R17" s="3" t="s">
        <v>66</v>
      </c>
      <c r="S17" s="4">
        <v>2</v>
      </c>
      <c r="T17" s="4">
        <v>2</v>
      </c>
      <c r="U17" s="5" t="s">
        <v>285</v>
      </c>
      <c r="V17" s="5" t="s">
        <v>285</v>
      </c>
      <c r="W17" s="5" t="s">
        <v>285</v>
      </c>
      <c r="X17" s="5" t="s">
        <v>285</v>
      </c>
      <c r="Y17" s="4">
        <v>467</v>
      </c>
      <c r="Z17" s="4">
        <v>330</v>
      </c>
      <c r="AA17" s="4">
        <v>669</v>
      </c>
      <c r="AB17" s="4">
        <v>3</v>
      </c>
      <c r="AC17" s="4">
        <v>6</v>
      </c>
      <c r="AD17" s="4">
        <v>12</v>
      </c>
      <c r="AE17" s="4">
        <v>28</v>
      </c>
      <c r="AF17" s="4">
        <v>1</v>
      </c>
      <c r="AG17" s="4">
        <v>7</v>
      </c>
      <c r="AH17" s="4">
        <v>4</v>
      </c>
      <c r="AI17" s="4">
        <v>7</v>
      </c>
      <c r="AJ17" s="4">
        <v>6</v>
      </c>
      <c r="AK17" s="4">
        <v>11</v>
      </c>
      <c r="AL17" s="4">
        <v>2</v>
      </c>
      <c r="AM17" s="4">
        <v>5</v>
      </c>
      <c r="AN17" s="4">
        <v>0</v>
      </c>
      <c r="AO17" s="4">
        <v>1</v>
      </c>
      <c r="AP17" s="3" t="s">
        <v>58</v>
      </c>
      <c r="AQ17" s="3" t="s">
        <v>69</v>
      </c>
      <c r="AR17" s="6" t="str">
        <f>HYPERLINK("http://catalog.hathitrust.org/Record/003978160","HathiTrust Record")</f>
        <v>HathiTrust Record</v>
      </c>
      <c r="AS17" s="6" t="str">
        <f>HYPERLINK("https://creighton-primo.hosted.exlibrisgroup.com/primo-explore/search?tab=default_tab&amp;search_scope=EVERYTHING&amp;vid=01CRU&amp;lang=en_US&amp;offset=0&amp;query=any,contains,991004012389702656","Catalog Record")</f>
        <v>Catalog Record</v>
      </c>
      <c r="AT17" s="6" t="str">
        <f>HYPERLINK("http://www.worldcat.org/oclc/37890519","WorldCat Record")</f>
        <v>WorldCat Record</v>
      </c>
      <c r="AU17" s="3" t="s">
        <v>286</v>
      </c>
      <c r="AV17" s="3" t="s">
        <v>287</v>
      </c>
      <c r="AW17" s="3" t="s">
        <v>288</v>
      </c>
      <c r="AX17" s="3" t="s">
        <v>288</v>
      </c>
      <c r="AY17" s="3" t="s">
        <v>289</v>
      </c>
      <c r="AZ17" s="3" t="s">
        <v>74</v>
      </c>
      <c r="BB17" s="3" t="s">
        <v>290</v>
      </c>
      <c r="BC17" s="3" t="s">
        <v>291</v>
      </c>
      <c r="BD17" s="3" t="s">
        <v>292</v>
      </c>
    </row>
    <row r="18" spans="1:56" ht="34.5" customHeight="1" x14ac:dyDescent="0.25">
      <c r="A18" s="7" t="s">
        <v>58</v>
      </c>
      <c r="B18" s="2" t="s">
        <v>293</v>
      </c>
      <c r="C18" s="2" t="s">
        <v>294</v>
      </c>
      <c r="D18" s="2" t="s">
        <v>295</v>
      </c>
      <c r="F18" s="3" t="s">
        <v>58</v>
      </c>
      <c r="G18" s="3" t="s">
        <v>59</v>
      </c>
      <c r="H18" s="3" t="s">
        <v>58</v>
      </c>
      <c r="I18" s="3" t="s">
        <v>58</v>
      </c>
      <c r="J18" s="3" t="s">
        <v>60</v>
      </c>
      <c r="K18" s="2" t="s">
        <v>113</v>
      </c>
      <c r="L18" s="2" t="s">
        <v>296</v>
      </c>
      <c r="M18" s="3" t="s">
        <v>297</v>
      </c>
      <c r="O18" s="3" t="s">
        <v>64</v>
      </c>
      <c r="P18" s="3" t="s">
        <v>65</v>
      </c>
      <c r="Q18" s="2" t="s">
        <v>298</v>
      </c>
      <c r="R18" s="3" t="s">
        <v>66</v>
      </c>
      <c r="S18" s="4">
        <v>1</v>
      </c>
      <c r="T18" s="4">
        <v>1</v>
      </c>
      <c r="U18" s="5" t="s">
        <v>299</v>
      </c>
      <c r="V18" s="5" t="s">
        <v>299</v>
      </c>
      <c r="W18" s="5" t="s">
        <v>68</v>
      </c>
      <c r="X18" s="5" t="s">
        <v>68</v>
      </c>
      <c r="Y18" s="4">
        <v>1191</v>
      </c>
      <c r="Z18" s="4">
        <v>1053</v>
      </c>
      <c r="AA18" s="4">
        <v>1064</v>
      </c>
      <c r="AB18" s="4">
        <v>8</v>
      </c>
      <c r="AC18" s="4">
        <v>8</v>
      </c>
      <c r="AD18" s="4">
        <v>40</v>
      </c>
      <c r="AE18" s="4">
        <v>40</v>
      </c>
      <c r="AF18" s="4">
        <v>16</v>
      </c>
      <c r="AG18" s="4">
        <v>16</v>
      </c>
      <c r="AH18" s="4">
        <v>7</v>
      </c>
      <c r="AI18" s="4">
        <v>7</v>
      </c>
      <c r="AJ18" s="4">
        <v>19</v>
      </c>
      <c r="AK18" s="4">
        <v>19</v>
      </c>
      <c r="AL18" s="4">
        <v>6</v>
      </c>
      <c r="AM18" s="4">
        <v>6</v>
      </c>
      <c r="AN18" s="4">
        <v>0</v>
      </c>
      <c r="AO18" s="4">
        <v>0</v>
      </c>
      <c r="AP18" s="3" t="s">
        <v>58</v>
      </c>
      <c r="AQ18" s="3" t="s">
        <v>58</v>
      </c>
      <c r="AR18" s="6" t="str">
        <f>HYPERLINK("http://catalog.hathitrust.org/Record/000455755","HathiTrust Record")</f>
        <v>HathiTrust Record</v>
      </c>
      <c r="AS18" s="6" t="str">
        <f>HYPERLINK("https://creighton-primo.hosted.exlibrisgroup.com/primo-explore/search?tab=default_tab&amp;search_scope=EVERYTHING&amp;vid=01CRU&amp;lang=en_US&amp;offset=0&amp;query=any,contains,991002904409702656","Catalog Record")</f>
        <v>Catalog Record</v>
      </c>
      <c r="AT18" s="6" t="str">
        <f>HYPERLINK("http://www.worldcat.org/oclc/518788","WorldCat Record")</f>
        <v>WorldCat Record</v>
      </c>
      <c r="AU18" s="3" t="s">
        <v>300</v>
      </c>
      <c r="AV18" s="3" t="s">
        <v>301</v>
      </c>
      <c r="AW18" s="3" t="s">
        <v>302</v>
      </c>
      <c r="AX18" s="3" t="s">
        <v>302</v>
      </c>
      <c r="AY18" s="3" t="s">
        <v>303</v>
      </c>
      <c r="AZ18" s="3" t="s">
        <v>74</v>
      </c>
      <c r="BC18" s="3" t="s">
        <v>304</v>
      </c>
      <c r="BD18" s="3" t="s">
        <v>305</v>
      </c>
    </row>
    <row r="19" spans="1:56" ht="34.5" customHeight="1" x14ac:dyDescent="0.25">
      <c r="A19" s="7" t="s">
        <v>58</v>
      </c>
      <c r="B19" s="2" t="s">
        <v>306</v>
      </c>
      <c r="C19" s="2" t="s">
        <v>307</v>
      </c>
      <c r="D19" s="2" t="s">
        <v>308</v>
      </c>
      <c r="F19" s="3" t="s">
        <v>58</v>
      </c>
      <c r="G19" s="3" t="s">
        <v>59</v>
      </c>
      <c r="H19" s="3" t="s">
        <v>58</v>
      </c>
      <c r="I19" s="3" t="s">
        <v>58</v>
      </c>
      <c r="J19" s="3" t="s">
        <v>60</v>
      </c>
      <c r="K19" s="2" t="s">
        <v>309</v>
      </c>
      <c r="L19" s="2" t="s">
        <v>310</v>
      </c>
      <c r="M19" s="3" t="s">
        <v>209</v>
      </c>
      <c r="O19" s="3" t="s">
        <v>64</v>
      </c>
      <c r="P19" s="3" t="s">
        <v>177</v>
      </c>
      <c r="R19" s="3" t="s">
        <v>66</v>
      </c>
      <c r="S19" s="4">
        <v>4</v>
      </c>
      <c r="T19" s="4">
        <v>4</v>
      </c>
      <c r="U19" s="5" t="s">
        <v>311</v>
      </c>
      <c r="V19" s="5" t="s">
        <v>311</v>
      </c>
      <c r="W19" s="5" t="s">
        <v>312</v>
      </c>
      <c r="X19" s="5" t="s">
        <v>312</v>
      </c>
      <c r="Y19" s="4">
        <v>988</v>
      </c>
      <c r="Z19" s="4">
        <v>827</v>
      </c>
      <c r="AA19" s="4">
        <v>1121</v>
      </c>
      <c r="AB19" s="4">
        <v>6</v>
      </c>
      <c r="AC19" s="4">
        <v>8</v>
      </c>
      <c r="AD19" s="4">
        <v>29</v>
      </c>
      <c r="AE19" s="4">
        <v>39</v>
      </c>
      <c r="AF19" s="4">
        <v>12</v>
      </c>
      <c r="AG19" s="4">
        <v>18</v>
      </c>
      <c r="AH19" s="4">
        <v>7</v>
      </c>
      <c r="AI19" s="4">
        <v>8</v>
      </c>
      <c r="AJ19" s="4">
        <v>16</v>
      </c>
      <c r="AK19" s="4">
        <v>19</v>
      </c>
      <c r="AL19" s="4">
        <v>2</v>
      </c>
      <c r="AM19" s="4">
        <v>4</v>
      </c>
      <c r="AN19" s="4">
        <v>0</v>
      </c>
      <c r="AO19" s="4">
        <v>0</v>
      </c>
      <c r="AP19" s="3" t="s">
        <v>58</v>
      </c>
      <c r="AQ19" s="3" t="s">
        <v>58</v>
      </c>
      <c r="AS19" s="6" t="str">
        <f>HYPERLINK("https://creighton-primo.hosted.exlibrisgroup.com/primo-explore/search?tab=default_tab&amp;search_scope=EVERYTHING&amp;vid=01CRU&amp;lang=en_US&amp;offset=0&amp;query=any,contains,991000636639702656","Catalog Record")</f>
        <v>Catalog Record</v>
      </c>
      <c r="AT19" s="6" t="str">
        <f>HYPERLINK("http://www.worldcat.org/oclc/12081678","WorldCat Record")</f>
        <v>WorldCat Record</v>
      </c>
      <c r="AU19" s="3" t="s">
        <v>313</v>
      </c>
      <c r="AV19" s="3" t="s">
        <v>314</v>
      </c>
      <c r="AW19" s="3" t="s">
        <v>315</v>
      </c>
      <c r="AX19" s="3" t="s">
        <v>315</v>
      </c>
      <c r="AY19" s="3" t="s">
        <v>316</v>
      </c>
      <c r="AZ19" s="3" t="s">
        <v>74</v>
      </c>
      <c r="BB19" s="3" t="s">
        <v>317</v>
      </c>
      <c r="BC19" s="3" t="s">
        <v>318</v>
      </c>
      <c r="BD19" s="3" t="s">
        <v>319</v>
      </c>
    </row>
    <row r="20" spans="1:56" ht="34.5" customHeight="1" x14ac:dyDescent="0.25">
      <c r="A20" s="7" t="s">
        <v>58</v>
      </c>
      <c r="B20" s="2" t="s">
        <v>320</v>
      </c>
      <c r="C20" s="2" t="s">
        <v>321</v>
      </c>
      <c r="D20" s="2" t="s">
        <v>322</v>
      </c>
      <c r="F20" s="3" t="s">
        <v>58</v>
      </c>
      <c r="G20" s="3" t="s">
        <v>59</v>
      </c>
      <c r="H20" s="3" t="s">
        <v>58</v>
      </c>
      <c r="I20" s="3" t="s">
        <v>58</v>
      </c>
      <c r="J20" s="3" t="s">
        <v>60</v>
      </c>
      <c r="K20" s="2" t="s">
        <v>323</v>
      </c>
      <c r="L20" s="2" t="s">
        <v>324</v>
      </c>
      <c r="M20" s="3" t="s">
        <v>176</v>
      </c>
      <c r="N20" s="2" t="s">
        <v>325</v>
      </c>
      <c r="O20" s="3" t="s">
        <v>64</v>
      </c>
      <c r="P20" s="3" t="s">
        <v>177</v>
      </c>
      <c r="R20" s="3" t="s">
        <v>66</v>
      </c>
      <c r="S20" s="4">
        <v>2</v>
      </c>
      <c r="T20" s="4">
        <v>2</v>
      </c>
      <c r="U20" s="5" t="s">
        <v>326</v>
      </c>
      <c r="V20" s="5" t="s">
        <v>326</v>
      </c>
      <c r="W20" s="5" t="s">
        <v>326</v>
      </c>
      <c r="X20" s="5" t="s">
        <v>326</v>
      </c>
      <c r="Y20" s="4">
        <v>91</v>
      </c>
      <c r="Z20" s="4">
        <v>84</v>
      </c>
      <c r="AA20" s="4">
        <v>683</v>
      </c>
      <c r="AB20" s="4">
        <v>2</v>
      </c>
      <c r="AC20" s="4">
        <v>4</v>
      </c>
      <c r="AD20" s="4">
        <v>4</v>
      </c>
      <c r="AE20" s="4">
        <v>26</v>
      </c>
      <c r="AF20" s="4">
        <v>2</v>
      </c>
      <c r="AG20" s="4">
        <v>12</v>
      </c>
      <c r="AH20" s="4">
        <v>0</v>
      </c>
      <c r="AI20" s="4">
        <v>4</v>
      </c>
      <c r="AJ20" s="4">
        <v>2</v>
      </c>
      <c r="AK20" s="4">
        <v>14</v>
      </c>
      <c r="AL20" s="4">
        <v>1</v>
      </c>
      <c r="AM20" s="4">
        <v>3</v>
      </c>
      <c r="AN20" s="4">
        <v>0</v>
      </c>
      <c r="AO20" s="4">
        <v>0</v>
      </c>
      <c r="AP20" s="3" t="s">
        <v>58</v>
      </c>
      <c r="AQ20" s="3" t="s">
        <v>58</v>
      </c>
      <c r="AS20" s="6" t="str">
        <f>HYPERLINK("https://creighton-primo.hosted.exlibrisgroup.com/primo-explore/search?tab=default_tab&amp;search_scope=EVERYTHING&amp;vid=01CRU&amp;lang=en_US&amp;offset=0&amp;query=any,contains,991005401359702656","Catalog Record")</f>
        <v>Catalog Record</v>
      </c>
      <c r="AT20" s="6" t="str">
        <f>HYPERLINK("http://www.worldcat.org/oclc/18902411","WorldCat Record")</f>
        <v>WorldCat Record</v>
      </c>
      <c r="AU20" s="3" t="s">
        <v>327</v>
      </c>
      <c r="AV20" s="3" t="s">
        <v>328</v>
      </c>
      <c r="AW20" s="3" t="s">
        <v>329</v>
      </c>
      <c r="AX20" s="3" t="s">
        <v>329</v>
      </c>
      <c r="AY20" s="3" t="s">
        <v>330</v>
      </c>
      <c r="AZ20" s="3" t="s">
        <v>74</v>
      </c>
      <c r="BB20" s="3" t="s">
        <v>331</v>
      </c>
      <c r="BC20" s="3" t="s">
        <v>332</v>
      </c>
      <c r="BD20" s="3" t="s">
        <v>333</v>
      </c>
    </row>
    <row r="21" spans="1:56" ht="34.5" customHeight="1" x14ac:dyDescent="0.25">
      <c r="A21" s="7" t="s">
        <v>58</v>
      </c>
      <c r="B21" s="2" t="s">
        <v>334</v>
      </c>
      <c r="C21" s="2" t="s">
        <v>335</v>
      </c>
      <c r="D21" s="2" t="s">
        <v>336</v>
      </c>
      <c r="F21" s="3" t="s">
        <v>58</v>
      </c>
      <c r="G21" s="3" t="s">
        <v>59</v>
      </c>
      <c r="H21" s="3" t="s">
        <v>58</v>
      </c>
      <c r="I21" s="3" t="s">
        <v>58</v>
      </c>
      <c r="J21" s="3" t="s">
        <v>60</v>
      </c>
      <c r="K21" s="2" t="s">
        <v>337</v>
      </c>
      <c r="L21" s="2" t="s">
        <v>338</v>
      </c>
      <c r="M21" s="3" t="s">
        <v>339</v>
      </c>
      <c r="O21" s="3" t="s">
        <v>64</v>
      </c>
      <c r="P21" s="3" t="s">
        <v>147</v>
      </c>
      <c r="Q21" s="2" t="s">
        <v>340</v>
      </c>
      <c r="R21" s="3" t="s">
        <v>66</v>
      </c>
      <c r="S21" s="4">
        <v>1</v>
      </c>
      <c r="T21" s="4">
        <v>1</v>
      </c>
      <c r="U21" s="5" t="s">
        <v>341</v>
      </c>
      <c r="V21" s="5" t="s">
        <v>341</v>
      </c>
      <c r="W21" s="5" t="s">
        <v>341</v>
      </c>
      <c r="X21" s="5" t="s">
        <v>341</v>
      </c>
      <c r="Y21" s="4">
        <v>723</v>
      </c>
      <c r="Z21" s="4">
        <v>560</v>
      </c>
      <c r="AA21" s="4">
        <v>849</v>
      </c>
      <c r="AB21" s="4">
        <v>5</v>
      </c>
      <c r="AC21" s="4">
        <v>5</v>
      </c>
      <c r="AD21" s="4">
        <v>30</v>
      </c>
      <c r="AE21" s="4">
        <v>38</v>
      </c>
      <c r="AF21" s="4">
        <v>11</v>
      </c>
      <c r="AG21" s="4">
        <v>16</v>
      </c>
      <c r="AH21" s="4">
        <v>7</v>
      </c>
      <c r="AI21" s="4">
        <v>10</v>
      </c>
      <c r="AJ21" s="4">
        <v>16</v>
      </c>
      <c r="AK21" s="4">
        <v>19</v>
      </c>
      <c r="AL21" s="4">
        <v>4</v>
      </c>
      <c r="AM21" s="4">
        <v>4</v>
      </c>
      <c r="AN21" s="4">
        <v>0</v>
      </c>
      <c r="AO21" s="4">
        <v>0</v>
      </c>
      <c r="AP21" s="3" t="s">
        <v>58</v>
      </c>
      <c r="AQ21" s="3" t="s">
        <v>58</v>
      </c>
      <c r="AS21" s="6" t="str">
        <f>HYPERLINK("https://creighton-primo.hosted.exlibrisgroup.com/primo-explore/search?tab=default_tab&amp;search_scope=EVERYTHING&amp;vid=01CRU&amp;lang=en_US&amp;offset=0&amp;query=any,contains,991005275549702656","Catalog Record")</f>
        <v>Catalog Record</v>
      </c>
      <c r="AT21" s="6" t="str">
        <f>HYPERLINK("http://www.worldcat.org/oclc/32923287","WorldCat Record")</f>
        <v>WorldCat Record</v>
      </c>
      <c r="AU21" s="3" t="s">
        <v>342</v>
      </c>
      <c r="AV21" s="3" t="s">
        <v>343</v>
      </c>
      <c r="AW21" s="3" t="s">
        <v>344</v>
      </c>
      <c r="AX21" s="3" t="s">
        <v>344</v>
      </c>
      <c r="AY21" s="3" t="s">
        <v>345</v>
      </c>
      <c r="AZ21" s="3" t="s">
        <v>74</v>
      </c>
      <c r="BB21" s="3" t="s">
        <v>346</v>
      </c>
      <c r="BC21" s="3" t="s">
        <v>347</v>
      </c>
      <c r="BD21" s="3" t="s">
        <v>348</v>
      </c>
    </row>
    <row r="22" spans="1:56" ht="34.5" customHeight="1" x14ac:dyDescent="0.25">
      <c r="A22" s="7" t="s">
        <v>58</v>
      </c>
      <c r="B22" s="2" t="s">
        <v>349</v>
      </c>
      <c r="C22" s="2" t="s">
        <v>350</v>
      </c>
      <c r="D22" s="2" t="s">
        <v>351</v>
      </c>
      <c r="F22" s="3" t="s">
        <v>58</v>
      </c>
      <c r="G22" s="3" t="s">
        <v>59</v>
      </c>
      <c r="H22" s="3" t="s">
        <v>58</v>
      </c>
      <c r="I22" s="3" t="s">
        <v>58</v>
      </c>
      <c r="J22" s="3" t="s">
        <v>60</v>
      </c>
      <c r="K22" s="2" t="s">
        <v>352</v>
      </c>
      <c r="L22" s="2" t="s">
        <v>353</v>
      </c>
      <c r="M22" s="3" t="s">
        <v>354</v>
      </c>
      <c r="O22" s="3" t="s">
        <v>64</v>
      </c>
      <c r="P22" s="3" t="s">
        <v>84</v>
      </c>
      <c r="R22" s="3" t="s">
        <v>66</v>
      </c>
      <c r="S22" s="4">
        <v>3</v>
      </c>
      <c r="T22" s="4">
        <v>3</v>
      </c>
      <c r="U22" s="5" t="s">
        <v>355</v>
      </c>
      <c r="V22" s="5" t="s">
        <v>355</v>
      </c>
      <c r="W22" s="5" t="s">
        <v>356</v>
      </c>
      <c r="X22" s="5" t="s">
        <v>356</v>
      </c>
      <c r="Y22" s="4">
        <v>317</v>
      </c>
      <c r="Z22" s="4">
        <v>218</v>
      </c>
      <c r="AA22" s="4">
        <v>1222</v>
      </c>
      <c r="AB22" s="4">
        <v>2</v>
      </c>
      <c r="AC22" s="4">
        <v>11</v>
      </c>
      <c r="AD22" s="4">
        <v>9</v>
      </c>
      <c r="AE22" s="4">
        <v>47</v>
      </c>
      <c r="AF22" s="4">
        <v>3</v>
      </c>
      <c r="AG22" s="4">
        <v>20</v>
      </c>
      <c r="AH22" s="4">
        <v>2</v>
      </c>
      <c r="AI22" s="4">
        <v>9</v>
      </c>
      <c r="AJ22" s="4">
        <v>4</v>
      </c>
      <c r="AK22" s="4">
        <v>21</v>
      </c>
      <c r="AL22" s="4">
        <v>1</v>
      </c>
      <c r="AM22" s="4">
        <v>8</v>
      </c>
      <c r="AN22" s="4">
        <v>0</v>
      </c>
      <c r="AO22" s="4">
        <v>0</v>
      </c>
      <c r="AP22" s="3" t="s">
        <v>58</v>
      </c>
      <c r="AQ22" s="3" t="s">
        <v>69</v>
      </c>
      <c r="AR22" s="6" t="str">
        <f>HYPERLINK("http://catalog.hathitrust.org/Record/007121995","HathiTrust Record")</f>
        <v>HathiTrust Record</v>
      </c>
      <c r="AS22" s="6" t="str">
        <f>HYPERLINK("https://creighton-primo.hosted.exlibrisgroup.com/primo-explore/search?tab=default_tab&amp;search_scope=EVERYTHING&amp;vid=01CRU&amp;lang=en_US&amp;offset=0&amp;query=any,contains,991005071509702656","Catalog Record")</f>
        <v>Catalog Record</v>
      </c>
      <c r="AT22" s="6" t="str">
        <f>HYPERLINK("http://www.worldcat.org/oclc/7031796","WorldCat Record")</f>
        <v>WorldCat Record</v>
      </c>
      <c r="AU22" s="3" t="s">
        <v>357</v>
      </c>
      <c r="AV22" s="3" t="s">
        <v>358</v>
      </c>
      <c r="AW22" s="3" t="s">
        <v>359</v>
      </c>
      <c r="AX22" s="3" t="s">
        <v>359</v>
      </c>
      <c r="AY22" s="3" t="s">
        <v>360</v>
      </c>
      <c r="AZ22" s="3" t="s">
        <v>74</v>
      </c>
      <c r="BC22" s="3" t="s">
        <v>361</v>
      </c>
      <c r="BD22" s="3" t="s">
        <v>362</v>
      </c>
    </row>
    <row r="23" spans="1:56" ht="34.5" customHeight="1" x14ac:dyDescent="0.25">
      <c r="A23" s="7" t="s">
        <v>58</v>
      </c>
      <c r="B23" s="2" t="s">
        <v>363</v>
      </c>
      <c r="C23" s="2" t="s">
        <v>364</v>
      </c>
      <c r="D23" s="2" t="s">
        <v>365</v>
      </c>
      <c r="F23" s="3" t="s">
        <v>58</v>
      </c>
      <c r="G23" s="3" t="s">
        <v>59</v>
      </c>
      <c r="H23" s="3" t="s">
        <v>58</v>
      </c>
      <c r="I23" s="3" t="s">
        <v>58</v>
      </c>
      <c r="J23" s="3" t="s">
        <v>60</v>
      </c>
      <c r="K23" s="2" t="s">
        <v>366</v>
      </c>
      <c r="L23" s="2" t="s">
        <v>367</v>
      </c>
      <c r="M23" s="3" t="s">
        <v>368</v>
      </c>
      <c r="O23" s="3" t="s">
        <v>64</v>
      </c>
      <c r="P23" s="3" t="s">
        <v>65</v>
      </c>
      <c r="R23" s="3" t="s">
        <v>66</v>
      </c>
      <c r="S23" s="4">
        <v>9</v>
      </c>
      <c r="T23" s="4">
        <v>9</v>
      </c>
      <c r="U23" s="5" t="s">
        <v>369</v>
      </c>
      <c r="V23" s="5" t="s">
        <v>369</v>
      </c>
      <c r="W23" s="5" t="s">
        <v>370</v>
      </c>
      <c r="X23" s="5" t="s">
        <v>370</v>
      </c>
      <c r="Y23" s="4">
        <v>1031</v>
      </c>
      <c r="Z23" s="4">
        <v>960</v>
      </c>
      <c r="AA23" s="4">
        <v>1133</v>
      </c>
      <c r="AB23" s="4">
        <v>8</v>
      </c>
      <c r="AC23" s="4">
        <v>10</v>
      </c>
      <c r="AD23" s="4">
        <v>37</v>
      </c>
      <c r="AE23" s="4">
        <v>45</v>
      </c>
      <c r="AF23" s="4">
        <v>18</v>
      </c>
      <c r="AG23" s="4">
        <v>19</v>
      </c>
      <c r="AH23" s="4">
        <v>5</v>
      </c>
      <c r="AI23" s="4">
        <v>8</v>
      </c>
      <c r="AJ23" s="4">
        <v>19</v>
      </c>
      <c r="AK23" s="4">
        <v>23</v>
      </c>
      <c r="AL23" s="4">
        <v>5</v>
      </c>
      <c r="AM23" s="4">
        <v>7</v>
      </c>
      <c r="AN23" s="4">
        <v>0</v>
      </c>
      <c r="AO23" s="4">
        <v>0</v>
      </c>
      <c r="AP23" s="3" t="s">
        <v>58</v>
      </c>
      <c r="AQ23" s="3" t="s">
        <v>69</v>
      </c>
      <c r="AR23" s="6" t="str">
        <f>HYPERLINK("http://catalog.hathitrust.org/Record/000455069","HathiTrust Record")</f>
        <v>HathiTrust Record</v>
      </c>
      <c r="AS23" s="6" t="str">
        <f>HYPERLINK("https://creighton-primo.hosted.exlibrisgroup.com/primo-explore/search?tab=default_tab&amp;search_scope=EVERYTHING&amp;vid=01CRU&amp;lang=en_US&amp;offset=0&amp;query=any,contains,991001915489702656","Catalog Record")</f>
        <v>Catalog Record</v>
      </c>
      <c r="AT23" s="6" t="str">
        <f>HYPERLINK("http://www.worldcat.org/oclc/243556","WorldCat Record")</f>
        <v>WorldCat Record</v>
      </c>
      <c r="AU23" s="3" t="s">
        <v>371</v>
      </c>
      <c r="AV23" s="3" t="s">
        <v>372</v>
      </c>
      <c r="AW23" s="3" t="s">
        <v>373</v>
      </c>
      <c r="AX23" s="3" t="s">
        <v>373</v>
      </c>
      <c r="AY23" s="3" t="s">
        <v>374</v>
      </c>
      <c r="AZ23" s="3" t="s">
        <v>74</v>
      </c>
      <c r="BC23" s="3" t="s">
        <v>375</v>
      </c>
      <c r="BD23" s="3" t="s">
        <v>376</v>
      </c>
    </row>
    <row r="24" spans="1:56" ht="34.5" customHeight="1" x14ac:dyDescent="0.25">
      <c r="A24" s="7" t="s">
        <v>58</v>
      </c>
      <c r="B24" s="2" t="s">
        <v>377</v>
      </c>
      <c r="C24" s="2" t="s">
        <v>378</v>
      </c>
      <c r="D24" s="2" t="s">
        <v>379</v>
      </c>
      <c r="F24" s="3" t="s">
        <v>58</v>
      </c>
      <c r="G24" s="3" t="s">
        <v>59</v>
      </c>
      <c r="H24" s="3" t="s">
        <v>58</v>
      </c>
      <c r="I24" s="3" t="s">
        <v>58</v>
      </c>
      <c r="J24" s="3" t="s">
        <v>60</v>
      </c>
      <c r="K24" s="2" t="s">
        <v>380</v>
      </c>
      <c r="L24" s="2" t="s">
        <v>381</v>
      </c>
      <c r="M24" s="3" t="s">
        <v>382</v>
      </c>
      <c r="O24" s="3" t="s">
        <v>64</v>
      </c>
      <c r="P24" s="3" t="s">
        <v>65</v>
      </c>
      <c r="R24" s="3" t="s">
        <v>66</v>
      </c>
      <c r="S24" s="4">
        <v>1</v>
      </c>
      <c r="T24" s="4">
        <v>1</v>
      </c>
      <c r="U24" s="5" t="s">
        <v>383</v>
      </c>
      <c r="V24" s="5" t="s">
        <v>383</v>
      </c>
      <c r="W24" s="5" t="s">
        <v>383</v>
      </c>
      <c r="X24" s="5" t="s">
        <v>383</v>
      </c>
      <c r="Y24" s="4">
        <v>815</v>
      </c>
      <c r="Z24" s="4">
        <v>643</v>
      </c>
      <c r="AA24" s="4">
        <v>648</v>
      </c>
      <c r="AB24" s="4">
        <v>4</v>
      </c>
      <c r="AC24" s="4">
        <v>4</v>
      </c>
      <c r="AD24" s="4">
        <v>23</v>
      </c>
      <c r="AE24" s="4">
        <v>23</v>
      </c>
      <c r="AF24" s="4">
        <v>8</v>
      </c>
      <c r="AG24" s="4">
        <v>8</v>
      </c>
      <c r="AH24" s="4">
        <v>5</v>
      </c>
      <c r="AI24" s="4">
        <v>5</v>
      </c>
      <c r="AJ24" s="4">
        <v>13</v>
      </c>
      <c r="AK24" s="4">
        <v>13</v>
      </c>
      <c r="AL24" s="4">
        <v>3</v>
      </c>
      <c r="AM24" s="4">
        <v>3</v>
      </c>
      <c r="AN24" s="4">
        <v>0</v>
      </c>
      <c r="AO24" s="4">
        <v>0</v>
      </c>
      <c r="AP24" s="3" t="s">
        <v>58</v>
      </c>
      <c r="AQ24" s="3" t="s">
        <v>58</v>
      </c>
      <c r="AS24" s="6" t="str">
        <f>HYPERLINK("https://creighton-primo.hosted.exlibrisgroup.com/primo-explore/search?tab=default_tab&amp;search_scope=EVERYTHING&amp;vid=01CRU&amp;lang=en_US&amp;offset=0&amp;query=any,contains,991005275559702656","Catalog Record")</f>
        <v>Catalog Record</v>
      </c>
      <c r="AT24" s="6" t="str">
        <f>HYPERLINK("http://www.worldcat.org/oclc/11676361","WorldCat Record")</f>
        <v>WorldCat Record</v>
      </c>
      <c r="AU24" s="3" t="s">
        <v>384</v>
      </c>
      <c r="AV24" s="3" t="s">
        <v>385</v>
      </c>
      <c r="AW24" s="3" t="s">
        <v>386</v>
      </c>
      <c r="AX24" s="3" t="s">
        <v>386</v>
      </c>
      <c r="AY24" s="3" t="s">
        <v>387</v>
      </c>
      <c r="AZ24" s="3" t="s">
        <v>74</v>
      </c>
      <c r="BB24" s="3" t="s">
        <v>388</v>
      </c>
      <c r="BC24" s="3" t="s">
        <v>389</v>
      </c>
      <c r="BD24" s="3" t="s">
        <v>390</v>
      </c>
    </row>
    <row r="25" spans="1:56" ht="34.5" customHeight="1" x14ac:dyDescent="0.25">
      <c r="A25" s="7" t="s">
        <v>58</v>
      </c>
      <c r="B25" s="2" t="s">
        <v>391</v>
      </c>
      <c r="C25" s="2" t="s">
        <v>392</v>
      </c>
      <c r="D25" s="2" t="s">
        <v>393</v>
      </c>
      <c r="F25" s="3" t="s">
        <v>58</v>
      </c>
      <c r="G25" s="3" t="s">
        <v>59</v>
      </c>
      <c r="H25" s="3" t="s">
        <v>58</v>
      </c>
      <c r="I25" s="3" t="s">
        <v>58</v>
      </c>
      <c r="J25" s="3" t="s">
        <v>60</v>
      </c>
      <c r="K25" s="2" t="s">
        <v>394</v>
      </c>
      <c r="L25" s="2" t="s">
        <v>395</v>
      </c>
      <c r="M25" s="3" t="s">
        <v>396</v>
      </c>
      <c r="O25" s="3" t="s">
        <v>64</v>
      </c>
      <c r="P25" s="3" t="s">
        <v>252</v>
      </c>
      <c r="R25" s="3" t="s">
        <v>66</v>
      </c>
      <c r="S25" s="4">
        <v>1</v>
      </c>
      <c r="T25" s="4">
        <v>1</v>
      </c>
      <c r="U25" s="5" t="s">
        <v>397</v>
      </c>
      <c r="V25" s="5" t="s">
        <v>397</v>
      </c>
      <c r="W25" s="5" t="s">
        <v>397</v>
      </c>
      <c r="X25" s="5" t="s">
        <v>397</v>
      </c>
      <c r="Y25" s="4">
        <v>460</v>
      </c>
      <c r="Z25" s="4">
        <v>314</v>
      </c>
      <c r="AA25" s="4">
        <v>452</v>
      </c>
      <c r="AB25" s="4">
        <v>2</v>
      </c>
      <c r="AC25" s="4">
        <v>3</v>
      </c>
      <c r="AD25" s="4">
        <v>14</v>
      </c>
      <c r="AE25" s="4">
        <v>22</v>
      </c>
      <c r="AF25" s="4">
        <v>2</v>
      </c>
      <c r="AG25" s="4">
        <v>6</v>
      </c>
      <c r="AH25" s="4">
        <v>4</v>
      </c>
      <c r="AI25" s="4">
        <v>8</v>
      </c>
      <c r="AJ25" s="4">
        <v>9</v>
      </c>
      <c r="AK25" s="4">
        <v>11</v>
      </c>
      <c r="AL25" s="4">
        <v>1</v>
      </c>
      <c r="AM25" s="4">
        <v>2</v>
      </c>
      <c r="AN25" s="4">
        <v>0</v>
      </c>
      <c r="AO25" s="4">
        <v>0</v>
      </c>
      <c r="AP25" s="3" t="s">
        <v>58</v>
      </c>
      <c r="AQ25" s="3" t="s">
        <v>58</v>
      </c>
      <c r="AS25" s="6" t="str">
        <f>HYPERLINK("https://creighton-primo.hosted.exlibrisgroup.com/primo-explore/search?tab=default_tab&amp;search_scope=EVERYTHING&amp;vid=01CRU&amp;lang=en_US&amp;offset=0&amp;query=any,contains,991000108819702656","Catalog Record")</f>
        <v>Catalog Record</v>
      </c>
      <c r="AT25" s="6" t="str">
        <f>HYPERLINK("http://www.worldcat.org/oclc/21195400","WorldCat Record")</f>
        <v>WorldCat Record</v>
      </c>
      <c r="AU25" s="3" t="s">
        <v>398</v>
      </c>
      <c r="AV25" s="3" t="s">
        <v>399</v>
      </c>
      <c r="AW25" s="3" t="s">
        <v>400</v>
      </c>
      <c r="AX25" s="3" t="s">
        <v>400</v>
      </c>
      <c r="AY25" s="3" t="s">
        <v>401</v>
      </c>
      <c r="AZ25" s="3" t="s">
        <v>74</v>
      </c>
      <c r="BB25" s="3" t="s">
        <v>402</v>
      </c>
      <c r="BC25" s="3" t="s">
        <v>403</v>
      </c>
      <c r="BD25" s="3" t="s">
        <v>404</v>
      </c>
    </row>
    <row r="26" spans="1:56" ht="34.5" customHeight="1" x14ac:dyDescent="0.25">
      <c r="A26" s="7" t="s">
        <v>58</v>
      </c>
      <c r="B26" s="2" t="s">
        <v>405</v>
      </c>
      <c r="C26" s="2" t="s">
        <v>406</v>
      </c>
      <c r="D26" s="2" t="s">
        <v>407</v>
      </c>
      <c r="F26" s="3" t="s">
        <v>58</v>
      </c>
      <c r="G26" s="3" t="s">
        <v>59</v>
      </c>
      <c r="H26" s="3" t="s">
        <v>58</v>
      </c>
      <c r="I26" s="3" t="s">
        <v>58</v>
      </c>
      <c r="J26" s="3" t="s">
        <v>60</v>
      </c>
      <c r="K26" s="2" t="s">
        <v>408</v>
      </c>
      <c r="L26" s="2" t="s">
        <v>409</v>
      </c>
      <c r="M26" s="3" t="s">
        <v>237</v>
      </c>
      <c r="O26" s="3" t="s">
        <v>64</v>
      </c>
      <c r="P26" s="3" t="s">
        <v>65</v>
      </c>
      <c r="R26" s="3" t="s">
        <v>66</v>
      </c>
      <c r="S26" s="4">
        <v>13</v>
      </c>
      <c r="T26" s="4">
        <v>13</v>
      </c>
      <c r="U26" s="5" t="s">
        <v>410</v>
      </c>
      <c r="V26" s="5" t="s">
        <v>410</v>
      </c>
      <c r="W26" s="5" t="s">
        <v>356</v>
      </c>
      <c r="X26" s="5" t="s">
        <v>356</v>
      </c>
      <c r="Y26" s="4">
        <v>259</v>
      </c>
      <c r="Z26" s="4">
        <v>235</v>
      </c>
      <c r="AA26" s="4">
        <v>640</v>
      </c>
      <c r="AB26" s="4">
        <v>2</v>
      </c>
      <c r="AC26" s="4">
        <v>4</v>
      </c>
      <c r="AD26" s="4">
        <v>7</v>
      </c>
      <c r="AE26" s="4">
        <v>34</v>
      </c>
      <c r="AF26" s="4">
        <v>2</v>
      </c>
      <c r="AG26" s="4">
        <v>15</v>
      </c>
      <c r="AH26" s="4">
        <v>1</v>
      </c>
      <c r="AI26" s="4">
        <v>9</v>
      </c>
      <c r="AJ26" s="4">
        <v>5</v>
      </c>
      <c r="AK26" s="4">
        <v>17</v>
      </c>
      <c r="AL26" s="4">
        <v>1</v>
      </c>
      <c r="AM26" s="4">
        <v>3</v>
      </c>
      <c r="AN26" s="4">
        <v>0</v>
      </c>
      <c r="AO26" s="4">
        <v>0</v>
      </c>
      <c r="AP26" s="3" t="s">
        <v>58</v>
      </c>
      <c r="AQ26" s="3" t="s">
        <v>69</v>
      </c>
      <c r="AR26" s="6" t="str">
        <f>HYPERLINK("http://catalog.hathitrust.org/Record/000141016","HathiTrust Record")</f>
        <v>HathiTrust Record</v>
      </c>
      <c r="AS26" s="6" t="str">
        <f>HYPERLINK("https://creighton-primo.hosted.exlibrisgroup.com/primo-explore/search?tab=default_tab&amp;search_scope=EVERYTHING&amp;vid=01CRU&amp;lang=en_US&amp;offset=0&amp;query=any,contains,991005049469702656","Catalog Record")</f>
        <v>Catalog Record</v>
      </c>
      <c r="AT26" s="6" t="str">
        <f>HYPERLINK("http://www.worldcat.org/oclc/6863458","WorldCat Record")</f>
        <v>WorldCat Record</v>
      </c>
      <c r="AU26" s="3" t="s">
        <v>411</v>
      </c>
      <c r="AV26" s="3" t="s">
        <v>412</v>
      </c>
      <c r="AW26" s="3" t="s">
        <v>413</v>
      </c>
      <c r="AX26" s="3" t="s">
        <v>413</v>
      </c>
      <c r="AY26" s="3" t="s">
        <v>414</v>
      </c>
      <c r="AZ26" s="3" t="s">
        <v>74</v>
      </c>
      <c r="BB26" s="3" t="s">
        <v>415</v>
      </c>
      <c r="BC26" s="3" t="s">
        <v>416</v>
      </c>
      <c r="BD26" s="3" t="s">
        <v>417</v>
      </c>
    </row>
    <row r="27" spans="1:56" ht="34.5" customHeight="1" x14ac:dyDescent="0.25">
      <c r="A27" s="7" t="s">
        <v>58</v>
      </c>
      <c r="B27" s="2" t="s">
        <v>418</v>
      </c>
      <c r="C27" s="2" t="s">
        <v>419</v>
      </c>
      <c r="D27" s="2" t="s">
        <v>420</v>
      </c>
      <c r="F27" s="3" t="s">
        <v>58</v>
      </c>
      <c r="G27" s="3" t="s">
        <v>59</v>
      </c>
      <c r="H27" s="3" t="s">
        <v>58</v>
      </c>
      <c r="I27" s="3" t="s">
        <v>58</v>
      </c>
      <c r="J27" s="3" t="s">
        <v>60</v>
      </c>
      <c r="K27" s="2" t="s">
        <v>421</v>
      </c>
      <c r="L27" s="2" t="s">
        <v>422</v>
      </c>
      <c r="M27" s="3" t="s">
        <v>115</v>
      </c>
      <c r="O27" s="3" t="s">
        <v>64</v>
      </c>
      <c r="P27" s="3" t="s">
        <v>65</v>
      </c>
      <c r="R27" s="3" t="s">
        <v>66</v>
      </c>
      <c r="S27" s="4">
        <v>8</v>
      </c>
      <c r="T27" s="4">
        <v>8</v>
      </c>
      <c r="U27" s="5" t="s">
        <v>423</v>
      </c>
      <c r="V27" s="5" t="s">
        <v>423</v>
      </c>
      <c r="W27" s="5" t="s">
        <v>102</v>
      </c>
      <c r="X27" s="5" t="s">
        <v>102</v>
      </c>
      <c r="Y27" s="4">
        <v>638</v>
      </c>
      <c r="Z27" s="4">
        <v>543</v>
      </c>
      <c r="AA27" s="4">
        <v>551</v>
      </c>
      <c r="AB27" s="4">
        <v>3</v>
      </c>
      <c r="AC27" s="4">
        <v>3</v>
      </c>
      <c r="AD27" s="4">
        <v>23</v>
      </c>
      <c r="AE27" s="4">
        <v>23</v>
      </c>
      <c r="AF27" s="4">
        <v>9</v>
      </c>
      <c r="AG27" s="4">
        <v>9</v>
      </c>
      <c r="AH27" s="4">
        <v>8</v>
      </c>
      <c r="AI27" s="4">
        <v>8</v>
      </c>
      <c r="AJ27" s="4">
        <v>13</v>
      </c>
      <c r="AK27" s="4">
        <v>13</v>
      </c>
      <c r="AL27" s="4">
        <v>1</v>
      </c>
      <c r="AM27" s="4">
        <v>1</v>
      </c>
      <c r="AN27" s="4">
        <v>0</v>
      </c>
      <c r="AO27" s="4">
        <v>0</v>
      </c>
      <c r="AP27" s="3" t="s">
        <v>58</v>
      </c>
      <c r="AQ27" s="3" t="s">
        <v>69</v>
      </c>
      <c r="AR27" s="6" t="str">
        <f>HYPERLINK("http://catalog.hathitrust.org/Record/000233109","HathiTrust Record")</f>
        <v>HathiTrust Record</v>
      </c>
      <c r="AS27" s="6" t="str">
        <f>HYPERLINK("https://creighton-primo.hosted.exlibrisgroup.com/primo-explore/search?tab=default_tab&amp;search_scope=EVERYTHING&amp;vid=01CRU&amp;lang=en_US&amp;offset=0&amp;query=any,contains,991000107019702656","Catalog Record")</f>
        <v>Catalog Record</v>
      </c>
      <c r="AT27" s="6" t="str">
        <f>HYPERLINK("http://www.worldcat.org/oclc/8981166","WorldCat Record")</f>
        <v>WorldCat Record</v>
      </c>
      <c r="AU27" s="3" t="s">
        <v>424</v>
      </c>
      <c r="AV27" s="3" t="s">
        <v>425</v>
      </c>
      <c r="AW27" s="3" t="s">
        <v>426</v>
      </c>
      <c r="AX27" s="3" t="s">
        <v>426</v>
      </c>
      <c r="AY27" s="3" t="s">
        <v>427</v>
      </c>
      <c r="AZ27" s="3" t="s">
        <v>74</v>
      </c>
      <c r="BB27" s="3" t="s">
        <v>428</v>
      </c>
      <c r="BC27" s="3" t="s">
        <v>429</v>
      </c>
      <c r="BD27" s="3" t="s">
        <v>430</v>
      </c>
    </row>
    <row r="28" spans="1:56" ht="34.5" customHeight="1" x14ac:dyDescent="0.25">
      <c r="A28" s="7" t="s">
        <v>58</v>
      </c>
      <c r="B28" s="2" t="s">
        <v>431</v>
      </c>
      <c r="C28" s="2" t="s">
        <v>432</v>
      </c>
      <c r="D28" s="2" t="s">
        <v>433</v>
      </c>
      <c r="F28" s="3" t="s">
        <v>58</v>
      </c>
      <c r="G28" s="3" t="s">
        <v>59</v>
      </c>
      <c r="H28" s="3" t="s">
        <v>58</v>
      </c>
      <c r="I28" s="3" t="s">
        <v>69</v>
      </c>
      <c r="J28" s="3" t="s">
        <v>60</v>
      </c>
      <c r="K28" s="2" t="s">
        <v>434</v>
      </c>
      <c r="L28" s="2" t="s">
        <v>435</v>
      </c>
      <c r="M28" s="3" t="s">
        <v>237</v>
      </c>
      <c r="N28" s="2" t="s">
        <v>436</v>
      </c>
      <c r="O28" s="3" t="s">
        <v>64</v>
      </c>
      <c r="P28" s="3" t="s">
        <v>252</v>
      </c>
      <c r="R28" s="3" t="s">
        <v>66</v>
      </c>
      <c r="S28" s="4">
        <v>6</v>
      </c>
      <c r="T28" s="4">
        <v>6</v>
      </c>
      <c r="U28" s="5" t="s">
        <v>437</v>
      </c>
      <c r="V28" s="5" t="s">
        <v>437</v>
      </c>
      <c r="W28" s="5" t="s">
        <v>102</v>
      </c>
      <c r="X28" s="5" t="s">
        <v>102</v>
      </c>
      <c r="Y28" s="4">
        <v>409</v>
      </c>
      <c r="Z28" s="4">
        <v>372</v>
      </c>
      <c r="AA28" s="4">
        <v>1572</v>
      </c>
      <c r="AB28" s="4">
        <v>3</v>
      </c>
      <c r="AC28" s="4">
        <v>15</v>
      </c>
      <c r="AD28" s="4">
        <v>17</v>
      </c>
      <c r="AE28" s="4">
        <v>59</v>
      </c>
      <c r="AF28" s="4">
        <v>9</v>
      </c>
      <c r="AG28" s="4">
        <v>26</v>
      </c>
      <c r="AH28" s="4">
        <v>2</v>
      </c>
      <c r="AI28" s="4">
        <v>11</v>
      </c>
      <c r="AJ28" s="4">
        <v>8</v>
      </c>
      <c r="AK28" s="4">
        <v>25</v>
      </c>
      <c r="AL28" s="4">
        <v>2</v>
      </c>
      <c r="AM28" s="4">
        <v>11</v>
      </c>
      <c r="AN28" s="4">
        <v>0</v>
      </c>
      <c r="AO28" s="4">
        <v>0</v>
      </c>
      <c r="AP28" s="3" t="s">
        <v>58</v>
      </c>
      <c r="AQ28" s="3" t="s">
        <v>58</v>
      </c>
      <c r="AS28" s="6" t="str">
        <f>HYPERLINK("https://creighton-primo.hosted.exlibrisgroup.com/primo-explore/search?tab=default_tab&amp;search_scope=EVERYTHING&amp;vid=01CRU&amp;lang=en_US&amp;offset=0&amp;query=any,contains,991005160489702656","Catalog Record")</f>
        <v>Catalog Record</v>
      </c>
      <c r="AT28" s="6" t="str">
        <f>HYPERLINK("http://www.worldcat.org/oclc/7777709","WorldCat Record")</f>
        <v>WorldCat Record</v>
      </c>
      <c r="AU28" s="3" t="s">
        <v>438</v>
      </c>
      <c r="AV28" s="3" t="s">
        <v>439</v>
      </c>
      <c r="AW28" s="3" t="s">
        <v>440</v>
      </c>
      <c r="AX28" s="3" t="s">
        <v>440</v>
      </c>
      <c r="AY28" s="3" t="s">
        <v>441</v>
      </c>
      <c r="AZ28" s="3" t="s">
        <v>74</v>
      </c>
      <c r="BB28" s="3" t="s">
        <v>442</v>
      </c>
      <c r="BC28" s="3" t="s">
        <v>443</v>
      </c>
      <c r="BD28" s="3" t="s">
        <v>444</v>
      </c>
    </row>
    <row r="29" spans="1:56" ht="34.5" customHeight="1" x14ac:dyDescent="0.25">
      <c r="A29" s="7" t="s">
        <v>58</v>
      </c>
      <c r="B29" s="2" t="s">
        <v>445</v>
      </c>
      <c r="C29" s="2" t="s">
        <v>446</v>
      </c>
      <c r="D29" s="2" t="s">
        <v>447</v>
      </c>
      <c r="F29" s="3" t="s">
        <v>58</v>
      </c>
      <c r="G29" s="3" t="s">
        <v>59</v>
      </c>
      <c r="H29" s="3" t="s">
        <v>58</v>
      </c>
      <c r="I29" s="3" t="s">
        <v>58</v>
      </c>
      <c r="J29" s="3" t="s">
        <v>60</v>
      </c>
      <c r="K29" s="2" t="s">
        <v>448</v>
      </c>
      <c r="L29" s="2" t="s">
        <v>449</v>
      </c>
      <c r="M29" s="3" t="s">
        <v>450</v>
      </c>
      <c r="N29" s="2" t="s">
        <v>451</v>
      </c>
      <c r="O29" s="3" t="s">
        <v>64</v>
      </c>
      <c r="P29" s="3" t="s">
        <v>65</v>
      </c>
      <c r="R29" s="3" t="s">
        <v>66</v>
      </c>
      <c r="S29" s="4">
        <v>1</v>
      </c>
      <c r="T29" s="4">
        <v>1</v>
      </c>
      <c r="U29" s="5" t="s">
        <v>452</v>
      </c>
      <c r="V29" s="5" t="s">
        <v>452</v>
      </c>
      <c r="W29" s="5" t="s">
        <v>102</v>
      </c>
      <c r="X29" s="5" t="s">
        <v>102</v>
      </c>
      <c r="Y29" s="4">
        <v>382</v>
      </c>
      <c r="Z29" s="4">
        <v>341</v>
      </c>
      <c r="AA29" s="4">
        <v>403</v>
      </c>
      <c r="AB29" s="4">
        <v>3</v>
      </c>
      <c r="AC29" s="4">
        <v>3</v>
      </c>
      <c r="AD29" s="4">
        <v>11</v>
      </c>
      <c r="AE29" s="4">
        <v>12</v>
      </c>
      <c r="AF29" s="4">
        <v>6</v>
      </c>
      <c r="AG29" s="4">
        <v>6</v>
      </c>
      <c r="AH29" s="4">
        <v>2</v>
      </c>
      <c r="AI29" s="4">
        <v>3</v>
      </c>
      <c r="AJ29" s="4">
        <v>4</v>
      </c>
      <c r="AK29" s="4">
        <v>5</v>
      </c>
      <c r="AL29" s="4">
        <v>1</v>
      </c>
      <c r="AM29" s="4">
        <v>1</v>
      </c>
      <c r="AN29" s="4">
        <v>0</v>
      </c>
      <c r="AO29" s="4">
        <v>0</v>
      </c>
      <c r="AP29" s="3" t="s">
        <v>58</v>
      </c>
      <c r="AQ29" s="3" t="s">
        <v>69</v>
      </c>
      <c r="AR29" s="6" t="str">
        <f>HYPERLINK("http://catalog.hathitrust.org/Record/101998957","HathiTrust Record")</f>
        <v>HathiTrust Record</v>
      </c>
      <c r="AS29" s="6" t="str">
        <f>HYPERLINK("https://creighton-primo.hosted.exlibrisgroup.com/primo-explore/search?tab=default_tab&amp;search_scope=EVERYTHING&amp;vid=01CRU&amp;lang=en_US&amp;offset=0&amp;query=any,contains,991004366629702656","Catalog Record")</f>
        <v>Catalog Record</v>
      </c>
      <c r="AT29" s="6" t="str">
        <f>HYPERLINK("http://www.worldcat.org/oclc/3171787","WorldCat Record")</f>
        <v>WorldCat Record</v>
      </c>
      <c r="AU29" s="3" t="s">
        <v>453</v>
      </c>
      <c r="AV29" s="3" t="s">
        <v>454</v>
      </c>
      <c r="AW29" s="3" t="s">
        <v>455</v>
      </c>
      <c r="AX29" s="3" t="s">
        <v>455</v>
      </c>
      <c r="AY29" s="3" t="s">
        <v>456</v>
      </c>
      <c r="AZ29" s="3" t="s">
        <v>74</v>
      </c>
      <c r="BB29" s="3" t="s">
        <v>457</v>
      </c>
      <c r="BC29" s="3" t="s">
        <v>458</v>
      </c>
      <c r="BD29" s="3" t="s">
        <v>459</v>
      </c>
    </row>
    <row r="30" spans="1:56" ht="34.5" customHeight="1" x14ac:dyDescent="0.25">
      <c r="A30" s="7" t="s">
        <v>58</v>
      </c>
      <c r="B30" s="2" t="s">
        <v>460</v>
      </c>
      <c r="C30" s="2" t="s">
        <v>461</v>
      </c>
      <c r="D30" s="2" t="s">
        <v>462</v>
      </c>
      <c r="F30" s="3" t="s">
        <v>58</v>
      </c>
      <c r="G30" s="3" t="s">
        <v>59</v>
      </c>
      <c r="H30" s="3" t="s">
        <v>58</v>
      </c>
      <c r="I30" s="3" t="s">
        <v>58</v>
      </c>
      <c r="J30" s="3" t="s">
        <v>60</v>
      </c>
      <c r="K30" s="2" t="s">
        <v>463</v>
      </c>
      <c r="L30" s="2" t="s">
        <v>464</v>
      </c>
      <c r="M30" s="3" t="s">
        <v>465</v>
      </c>
      <c r="O30" s="3" t="s">
        <v>64</v>
      </c>
      <c r="P30" s="3" t="s">
        <v>177</v>
      </c>
      <c r="R30" s="3" t="s">
        <v>66</v>
      </c>
      <c r="S30" s="4">
        <v>1</v>
      </c>
      <c r="T30" s="4">
        <v>1</v>
      </c>
      <c r="U30" s="5" t="s">
        <v>466</v>
      </c>
      <c r="V30" s="5" t="s">
        <v>466</v>
      </c>
      <c r="W30" s="5" t="s">
        <v>68</v>
      </c>
      <c r="X30" s="5" t="s">
        <v>68</v>
      </c>
      <c r="Y30" s="4">
        <v>882</v>
      </c>
      <c r="Z30" s="4">
        <v>724</v>
      </c>
      <c r="AA30" s="4">
        <v>795</v>
      </c>
      <c r="AB30" s="4">
        <v>5</v>
      </c>
      <c r="AC30" s="4">
        <v>5</v>
      </c>
      <c r="AD30" s="4">
        <v>31</v>
      </c>
      <c r="AE30" s="4">
        <v>37</v>
      </c>
      <c r="AF30" s="4">
        <v>12</v>
      </c>
      <c r="AG30" s="4">
        <v>15</v>
      </c>
      <c r="AH30" s="4">
        <v>8</v>
      </c>
      <c r="AI30" s="4">
        <v>9</v>
      </c>
      <c r="AJ30" s="4">
        <v>15</v>
      </c>
      <c r="AK30" s="4">
        <v>18</v>
      </c>
      <c r="AL30" s="4">
        <v>4</v>
      </c>
      <c r="AM30" s="4">
        <v>4</v>
      </c>
      <c r="AN30" s="4">
        <v>0</v>
      </c>
      <c r="AO30" s="4">
        <v>0</v>
      </c>
      <c r="AP30" s="3" t="s">
        <v>58</v>
      </c>
      <c r="AQ30" s="3" t="s">
        <v>58</v>
      </c>
      <c r="AS30" s="6" t="str">
        <f>HYPERLINK("https://creighton-primo.hosted.exlibrisgroup.com/primo-explore/search?tab=default_tab&amp;search_scope=EVERYTHING&amp;vid=01CRU&amp;lang=en_US&amp;offset=0&amp;query=any,contains,991000502069702656","Catalog Record")</f>
        <v>Catalog Record</v>
      </c>
      <c r="AT30" s="6" t="str">
        <f>HYPERLINK("http://www.worldcat.org/oclc/81699","WorldCat Record")</f>
        <v>WorldCat Record</v>
      </c>
      <c r="AU30" s="3" t="s">
        <v>467</v>
      </c>
      <c r="AV30" s="3" t="s">
        <v>468</v>
      </c>
      <c r="AW30" s="3" t="s">
        <v>469</v>
      </c>
      <c r="AX30" s="3" t="s">
        <v>469</v>
      </c>
      <c r="AY30" s="3" t="s">
        <v>470</v>
      </c>
      <c r="AZ30" s="3" t="s">
        <v>74</v>
      </c>
      <c r="BB30" s="3" t="s">
        <v>471</v>
      </c>
      <c r="BC30" s="3" t="s">
        <v>472</v>
      </c>
      <c r="BD30" s="3" t="s">
        <v>473</v>
      </c>
    </row>
    <row r="31" spans="1:56" ht="34.5" customHeight="1" x14ac:dyDescent="0.25">
      <c r="A31" s="7" t="s">
        <v>58</v>
      </c>
      <c r="B31" s="2" t="s">
        <v>474</v>
      </c>
      <c r="C31" s="2" t="s">
        <v>475</v>
      </c>
      <c r="D31" s="2" t="s">
        <v>476</v>
      </c>
      <c r="F31" s="3" t="s">
        <v>58</v>
      </c>
      <c r="G31" s="3" t="s">
        <v>59</v>
      </c>
      <c r="H31" s="3" t="s">
        <v>58</v>
      </c>
      <c r="I31" s="3" t="s">
        <v>58</v>
      </c>
      <c r="J31" s="3" t="s">
        <v>60</v>
      </c>
      <c r="K31" s="2" t="s">
        <v>477</v>
      </c>
      <c r="L31" s="2" t="s">
        <v>478</v>
      </c>
      <c r="M31" s="3" t="s">
        <v>479</v>
      </c>
      <c r="N31" s="2" t="s">
        <v>284</v>
      </c>
      <c r="O31" s="3" t="s">
        <v>64</v>
      </c>
      <c r="P31" s="3" t="s">
        <v>65</v>
      </c>
      <c r="R31" s="3" t="s">
        <v>66</v>
      </c>
      <c r="S31" s="4">
        <v>3</v>
      </c>
      <c r="T31" s="4">
        <v>3</v>
      </c>
      <c r="U31" s="5" t="s">
        <v>480</v>
      </c>
      <c r="V31" s="5" t="s">
        <v>480</v>
      </c>
      <c r="W31" s="5" t="s">
        <v>481</v>
      </c>
      <c r="X31" s="5" t="s">
        <v>481</v>
      </c>
      <c r="Y31" s="4">
        <v>731</v>
      </c>
      <c r="Z31" s="4">
        <v>634</v>
      </c>
      <c r="AA31" s="4">
        <v>724</v>
      </c>
      <c r="AB31" s="4">
        <v>3</v>
      </c>
      <c r="AC31" s="4">
        <v>3</v>
      </c>
      <c r="AD31" s="4">
        <v>28</v>
      </c>
      <c r="AE31" s="4">
        <v>34</v>
      </c>
      <c r="AF31" s="4">
        <v>12</v>
      </c>
      <c r="AG31" s="4">
        <v>17</v>
      </c>
      <c r="AH31" s="4">
        <v>5</v>
      </c>
      <c r="AI31" s="4">
        <v>8</v>
      </c>
      <c r="AJ31" s="4">
        <v>16</v>
      </c>
      <c r="AK31" s="4">
        <v>17</v>
      </c>
      <c r="AL31" s="4">
        <v>2</v>
      </c>
      <c r="AM31" s="4">
        <v>2</v>
      </c>
      <c r="AN31" s="4">
        <v>0</v>
      </c>
      <c r="AO31" s="4">
        <v>0</v>
      </c>
      <c r="AP31" s="3" t="s">
        <v>58</v>
      </c>
      <c r="AQ31" s="3" t="s">
        <v>58</v>
      </c>
      <c r="AS31" s="6" t="str">
        <f>HYPERLINK("https://creighton-primo.hosted.exlibrisgroup.com/primo-explore/search?tab=default_tab&amp;search_scope=EVERYTHING&amp;vid=01CRU&amp;lang=en_US&amp;offset=0&amp;query=any,contains,991003782279702656","Catalog Record")</f>
        <v>Catalog Record</v>
      </c>
      <c r="AT31" s="6" t="str">
        <f>HYPERLINK("http://www.worldcat.org/oclc/43728987","WorldCat Record")</f>
        <v>WorldCat Record</v>
      </c>
      <c r="AU31" s="3" t="s">
        <v>482</v>
      </c>
      <c r="AV31" s="3" t="s">
        <v>483</v>
      </c>
      <c r="AW31" s="3" t="s">
        <v>484</v>
      </c>
      <c r="AX31" s="3" t="s">
        <v>484</v>
      </c>
      <c r="AY31" s="3" t="s">
        <v>485</v>
      </c>
      <c r="AZ31" s="3" t="s">
        <v>74</v>
      </c>
      <c r="BB31" s="3" t="s">
        <v>486</v>
      </c>
      <c r="BC31" s="3" t="s">
        <v>487</v>
      </c>
      <c r="BD31" s="3" t="s">
        <v>488</v>
      </c>
    </row>
    <row r="32" spans="1:56" ht="34.5" customHeight="1" x14ac:dyDescent="0.25">
      <c r="A32" s="7" t="s">
        <v>58</v>
      </c>
      <c r="B32" s="2" t="s">
        <v>489</v>
      </c>
      <c r="C32" s="2" t="s">
        <v>490</v>
      </c>
      <c r="D32" s="2" t="s">
        <v>491</v>
      </c>
      <c r="F32" s="3" t="s">
        <v>58</v>
      </c>
      <c r="G32" s="3" t="s">
        <v>59</v>
      </c>
      <c r="H32" s="3" t="s">
        <v>58</v>
      </c>
      <c r="I32" s="3" t="s">
        <v>58</v>
      </c>
      <c r="J32" s="3" t="s">
        <v>60</v>
      </c>
      <c r="K32" s="2" t="s">
        <v>492</v>
      </c>
      <c r="L32" s="2" t="s">
        <v>493</v>
      </c>
      <c r="M32" s="3" t="s">
        <v>494</v>
      </c>
      <c r="O32" s="3" t="s">
        <v>64</v>
      </c>
      <c r="P32" s="3" t="s">
        <v>238</v>
      </c>
      <c r="Q32" s="2" t="s">
        <v>495</v>
      </c>
      <c r="R32" s="3" t="s">
        <v>66</v>
      </c>
      <c r="S32" s="4">
        <v>4</v>
      </c>
      <c r="T32" s="4">
        <v>4</v>
      </c>
      <c r="U32" s="5" t="s">
        <v>496</v>
      </c>
      <c r="V32" s="5" t="s">
        <v>496</v>
      </c>
      <c r="W32" s="5" t="s">
        <v>497</v>
      </c>
      <c r="X32" s="5" t="s">
        <v>497</v>
      </c>
      <c r="Y32" s="4">
        <v>857</v>
      </c>
      <c r="Z32" s="4">
        <v>714</v>
      </c>
      <c r="AA32" s="4">
        <v>728</v>
      </c>
      <c r="AB32" s="4">
        <v>5</v>
      </c>
      <c r="AC32" s="4">
        <v>5</v>
      </c>
      <c r="AD32" s="4">
        <v>26</v>
      </c>
      <c r="AE32" s="4">
        <v>26</v>
      </c>
      <c r="AF32" s="4">
        <v>11</v>
      </c>
      <c r="AG32" s="4">
        <v>11</v>
      </c>
      <c r="AH32" s="4">
        <v>7</v>
      </c>
      <c r="AI32" s="4">
        <v>7</v>
      </c>
      <c r="AJ32" s="4">
        <v>13</v>
      </c>
      <c r="AK32" s="4">
        <v>13</v>
      </c>
      <c r="AL32" s="4">
        <v>3</v>
      </c>
      <c r="AM32" s="4">
        <v>3</v>
      </c>
      <c r="AN32" s="4">
        <v>0</v>
      </c>
      <c r="AO32" s="4">
        <v>0</v>
      </c>
      <c r="AP32" s="3" t="s">
        <v>58</v>
      </c>
      <c r="AQ32" s="3" t="s">
        <v>69</v>
      </c>
      <c r="AR32" s="6" t="str">
        <f>HYPERLINK("http://catalog.hathitrust.org/Record/000455868","HathiTrust Record")</f>
        <v>HathiTrust Record</v>
      </c>
      <c r="AS32" s="6" t="str">
        <f>HYPERLINK("https://creighton-primo.hosted.exlibrisgroup.com/primo-explore/search?tab=default_tab&amp;search_scope=EVERYTHING&amp;vid=01CRU&amp;lang=en_US&amp;offset=0&amp;query=any,contains,991003136099702656","Catalog Record")</f>
        <v>Catalog Record</v>
      </c>
      <c r="AT32" s="6" t="str">
        <f>HYPERLINK("http://www.worldcat.org/oclc/677646","WorldCat Record")</f>
        <v>WorldCat Record</v>
      </c>
      <c r="AU32" s="3" t="s">
        <v>498</v>
      </c>
      <c r="AV32" s="3" t="s">
        <v>499</v>
      </c>
      <c r="AW32" s="3" t="s">
        <v>500</v>
      </c>
      <c r="AX32" s="3" t="s">
        <v>500</v>
      </c>
      <c r="AY32" s="3" t="s">
        <v>501</v>
      </c>
      <c r="AZ32" s="3" t="s">
        <v>74</v>
      </c>
      <c r="BB32" s="3" t="s">
        <v>502</v>
      </c>
      <c r="BC32" s="3" t="s">
        <v>503</v>
      </c>
      <c r="BD32" s="3" t="s">
        <v>504</v>
      </c>
    </row>
    <row r="33" spans="1:56" ht="34.5" customHeight="1" x14ac:dyDescent="0.25">
      <c r="A33" s="7" t="s">
        <v>58</v>
      </c>
      <c r="B33" s="2" t="s">
        <v>505</v>
      </c>
      <c r="C33" s="2" t="s">
        <v>506</v>
      </c>
      <c r="D33" s="2" t="s">
        <v>507</v>
      </c>
      <c r="F33" s="3" t="s">
        <v>58</v>
      </c>
      <c r="G33" s="3" t="s">
        <v>59</v>
      </c>
      <c r="H33" s="3" t="s">
        <v>58</v>
      </c>
      <c r="I33" s="3" t="s">
        <v>58</v>
      </c>
      <c r="J33" s="3" t="s">
        <v>60</v>
      </c>
      <c r="K33" s="2" t="s">
        <v>508</v>
      </c>
      <c r="L33" s="2" t="s">
        <v>509</v>
      </c>
      <c r="M33" s="3" t="s">
        <v>146</v>
      </c>
      <c r="O33" s="3" t="s">
        <v>64</v>
      </c>
      <c r="P33" s="3" t="s">
        <v>65</v>
      </c>
      <c r="R33" s="3" t="s">
        <v>66</v>
      </c>
      <c r="S33" s="4">
        <v>8</v>
      </c>
      <c r="T33" s="4">
        <v>8</v>
      </c>
      <c r="U33" s="5" t="s">
        <v>510</v>
      </c>
      <c r="V33" s="5" t="s">
        <v>510</v>
      </c>
      <c r="W33" s="5" t="s">
        <v>511</v>
      </c>
      <c r="X33" s="5" t="s">
        <v>511</v>
      </c>
      <c r="Y33" s="4">
        <v>623</v>
      </c>
      <c r="Z33" s="4">
        <v>557</v>
      </c>
      <c r="AA33" s="4">
        <v>593</v>
      </c>
      <c r="AB33" s="4">
        <v>4</v>
      </c>
      <c r="AC33" s="4">
        <v>4</v>
      </c>
      <c r="AD33" s="4">
        <v>28</v>
      </c>
      <c r="AE33" s="4">
        <v>29</v>
      </c>
      <c r="AF33" s="4">
        <v>8</v>
      </c>
      <c r="AG33" s="4">
        <v>9</v>
      </c>
      <c r="AH33" s="4">
        <v>8</v>
      </c>
      <c r="AI33" s="4">
        <v>8</v>
      </c>
      <c r="AJ33" s="4">
        <v>15</v>
      </c>
      <c r="AK33" s="4">
        <v>15</v>
      </c>
      <c r="AL33" s="4">
        <v>2</v>
      </c>
      <c r="AM33" s="4">
        <v>2</v>
      </c>
      <c r="AN33" s="4">
        <v>0</v>
      </c>
      <c r="AO33" s="4">
        <v>0</v>
      </c>
      <c r="AP33" s="3" t="s">
        <v>58</v>
      </c>
      <c r="AQ33" s="3" t="s">
        <v>69</v>
      </c>
      <c r="AR33" s="6" t="str">
        <f>HYPERLINK("http://catalog.hathitrust.org/Record/002794753","HathiTrust Record")</f>
        <v>HathiTrust Record</v>
      </c>
      <c r="AS33" s="6" t="str">
        <f>HYPERLINK("https://creighton-primo.hosted.exlibrisgroup.com/primo-explore/search?tab=default_tab&amp;search_scope=EVERYTHING&amp;vid=01CRU&amp;lang=en_US&amp;offset=0&amp;query=any,contains,991002102619702656","Catalog Record")</f>
        <v>Catalog Record</v>
      </c>
      <c r="AT33" s="6" t="str">
        <f>HYPERLINK("http://www.worldcat.org/oclc/26975240","WorldCat Record")</f>
        <v>WorldCat Record</v>
      </c>
      <c r="AU33" s="3" t="s">
        <v>512</v>
      </c>
      <c r="AV33" s="3" t="s">
        <v>513</v>
      </c>
      <c r="AW33" s="3" t="s">
        <v>514</v>
      </c>
      <c r="AX33" s="3" t="s">
        <v>514</v>
      </c>
      <c r="AY33" s="3" t="s">
        <v>515</v>
      </c>
      <c r="AZ33" s="3" t="s">
        <v>74</v>
      </c>
      <c r="BB33" s="3" t="s">
        <v>516</v>
      </c>
      <c r="BC33" s="3" t="s">
        <v>517</v>
      </c>
      <c r="BD33" s="3" t="s">
        <v>518</v>
      </c>
    </row>
    <row r="34" spans="1:56" ht="34.5" customHeight="1" x14ac:dyDescent="0.25">
      <c r="A34" s="7" t="s">
        <v>58</v>
      </c>
      <c r="B34" s="2" t="s">
        <v>519</v>
      </c>
      <c r="C34" s="2" t="s">
        <v>520</v>
      </c>
      <c r="D34" s="2" t="s">
        <v>521</v>
      </c>
      <c r="F34" s="3" t="s">
        <v>58</v>
      </c>
      <c r="G34" s="3" t="s">
        <v>59</v>
      </c>
      <c r="H34" s="3" t="s">
        <v>58</v>
      </c>
      <c r="I34" s="3" t="s">
        <v>58</v>
      </c>
      <c r="J34" s="3" t="s">
        <v>60</v>
      </c>
      <c r="K34" s="2" t="s">
        <v>522</v>
      </c>
      <c r="L34" s="2" t="s">
        <v>523</v>
      </c>
      <c r="M34" s="3" t="s">
        <v>83</v>
      </c>
      <c r="O34" s="3" t="s">
        <v>64</v>
      </c>
      <c r="P34" s="3" t="s">
        <v>84</v>
      </c>
      <c r="R34" s="3" t="s">
        <v>66</v>
      </c>
      <c r="S34" s="4">
        <v>1</v>
      </c>
      <c r="T34" s="4">
        <v>1</v>
      </c>
      <c r="U34" s="5" t="s">
        <v>524</v>
      </c>
      <c r="V34" s="5" t="s">
        <v>524</v>
      </c>
      <c r="W34" s="5" t="s">
        <v>524</v>
      </c>
      <c r="X34" s="5" t="s">
        <v>524</v>
      </c>
      <c r="Y34" s="4">
        <v>682</v>
      </c>
      <c r="Z34" s="4">
        <v>550</v>
      </c>
      <c r="AA34" s="4">
        <v>553</v>
      </c>
      <c r="AB34" s="4">
        <v>3</v>
      </c>
      <c r="AC34" s="4">
        <v>3</v>
      </c>
      <c r="AD34" s="4">
        <v>29</v>
      </c>
      <c r="AE34" s="4">
        <v>29</v>
      </c>
      <c r="AF34" s="4">
        <v>10</v>
      </c>
      <c r="AG34" s="4">
        <v>10</v>
      </c>
      <c r="AH34" s="4">
        <v>6</v>
      </c>
      <c r="AI34" s="4">
        <v>6</v>
      </c>
      <c r="AJ34" s="4">
        <v>18</v>
      </c>
      <c r="AK34" s="4">
        <v>18</v>
      </c>
      <c r="AL34" s="4">
        <v>2</v>
      </c>
      <c r="AM34" s="4">
        <v>2</v>
      </c>
      <c r="AN34" s="4">
        <v>0</v>
      </c>
      <c r="AO34" s="4">
        <v>0</v>
      </c>
      <c r="AP34" s="3" t="s">
        <v>58</v>
      </c>
      <c r="AQ34" s="3" t="s">
        <v>58</v>
      </c>
      <c r="AS34" s="6" t="str">
        <f>HYPERLINK("https://creighton-primo.hosted.exlibrisgroup.com/primo-explore/search?tab=default_tab&amp;search_scope=EVERYTHING&amp;vid=01CRU&amp;lang=en_US&amp;offset=0&amp;query=any,contains,991005274989702656","Catalog Record")</f>
        <v>Catalog Record</v>
      </c>
      <c r="AT34" s="6" t="str">
        <f>HYPERLINK("http://www.worldcat.org/oclc/28255006","WorldCat Record")</f>
        <v>WorldCat Record</v>
      </c>
      <c r="AU34" s="3" t="s">
        <v>525</v>
      </c>
      <c r="AV34" s="3" t="s">
        <v>526</v>
      </c>
      <c r="AW34" s="3" t="s">
        <v>527</v>
      </c>
      <c r="AX34" s="3" t="s">
        <v>527</v>
      </c>
      <c r="AY34" s="3" t="s">
        <v>528</v>
      </c>
      <c r="AZ34" s="3" t="s">
        <v>74</v>
      </c>
      <c r="BB34" s="3" t="s">
        <v>529</v>
      </c>
      <c r="BC34" s="3" t="s">
        <v>530</v>
      </c>
      <c r="BD34" s="3" t="s">
        <v>531</v>
      </c>
    </row>
    <row r="35" spans="1:56" ht="34.5" customHeight="1" x14ac:dyDescent="0.25">
      <c r="A35" s="7" t="s">
        <v>58</v>
      </c>
      <c r="B35" s="2" t="s">
        <v>532</v>
      </c>
      <c r="C35" s="2" t="s">
        <v>533</v>
      </c>
      <c r="D35" s="2" t="s">
        <v>534</v>
      </c>
      <c r="F35" s="3" t="s">
        <v>58</v>
      </c>
      <c r="G35" s="3" t="s">
        <v>59</v>
      </c>
      <c r="H35" s="3" t="s">
        <v>58</v>
      </c>
      <c r="I35" s="3" t="s">
        <v>58</v>
      </c>
      <c r="J35" s="3" t="s">
        <v>60</v>
      </c>
      <c r="K35" s="2" t="s">
        <v>535</v>
      </c>
      <c r="L35" s="2" t="s">
        <v>536</v>
      </c>
      <c r="M35" s="3" t="s">
        <v>224</v>
      </c>
      <c r="O35" s="3" t="s">
        <v>64</v>
      </c>
      <c r="P35" s="3" t="s">
        <v>252</v>
      </c>
      <c r="R35" s="3" t="s">
        <v>66</v>
      </c>
      <c r="S35" s="4">
        <v>3</v>
      </c>
      <c r="T35" s="4">
        <v>3</v>
      </c>
      <c r="U35" s="5" t="s">
        <v>537</v>
      </c>
      <c r="V35" s="5" t="s">
        <v>537</v>
      </c>
      <c r="W35" s="5" t="s">
        <v>102</v>
      </c>
      <c r="X35" s="5" t="s">
        <v>102</v>
      </c>
      <c r="Y35" s="4">
        <v>751</v>
      </c>
      <c r="Z35" s="4">
        <v>651</v>
      </c>
      <c r="AA35" s="4">
        <v>659</v>
      </c>
      <c r="AB35" s="4">
        <v>3</v>
      </c>
      <c r="AC35" s="4">
        <v>3</v>
      </c>
      <c r="AD35" s="4">
        <v>21</v>
      </c>
      <c r="AE35" s="4">
        <v>21</v>
      </c>
      <c r="AF35" s="4">
        <v>8</v>
      </c>
      <c r="AG35" s="4">
        <v>8</v>
      </c>
      <c r="AH35" s="4">
        <v>5</v>
      </c>
      <c r="AI35" s="4">
        <v>5</v>
      </c>
      <c r="AJ35" s="4">
        <v>8</v>
      </c>
      <c r="AK35" s="4">
        <v>8</v>
      </c>
      <c r="AL35" s="4">
        <v>2</v>
      </c>
      <c r="AM35" s="4">
        <v>2</v>
      </c>
      <c r="AN35" s="4">
        <v>0</v>
      </c>
      <c r="AO35" s="4">
        <v>0</v>
      </c>
      <c r="AP35" s="3" t="s">
        <v>58</v>
      </c>
      <c r="AQ35" s="3" t="s">
        <v>69</v>
      </c>
      <c r="AR35" s="6" t="str">
        <f>HYPERLINK("http://catalog.hathitrust.org/Record/000160628","HathiTrust Record")</f>
        <v>HathiTrust Record</v>
      </c>
      <c r="AS35" s="6" t="str">
        <f>HYPERLINK("https://creighton-primo.hosted.exlibrisgroup.com/primo-explore/search?tab=default_tab&amp;search_scope=EVERYTHING&amp;vid=01CRU&amp;lang=en_US&amp;offset=0&amp;query=any,contains,991005228979702656","Catalog Record")</f>
        <v>Catalog Record</v>
      </c>
      <c r="AT35" s="6" t="str">
        <f>HYPERLINK("http://www.worldcat.org/oclc/8305898","WorldCat Record")</f>
        <v>WorldCat Record</v>
      </c>
      <c r="AU35" s="3" t="s">
        <v>538</v>
      </c>
      <c r="AV35" s="3" t="s">
        <v>539</v>
      </c>
      <c r="AW35" s="3" t="s">
        <v>540</v>
      </c>
      <c r="AX35" s="3" t="s">
        <v>540</v>
      </c>
      <c r="AY35" s="3" t="s">
        <v>541</v>
      </c>
      <c r="AZ35" s="3" t="s">
        <v>74</v>
      </c>
      <c r="BB35" s="3" t="s">
        <v>542</v>
      </c>
      <c r="BC35" s="3" t="s">
        <v>543</v>
      </c>
      <c r="BD35" s="3" t="s">
        <v>544</v>
      </c>
    </row>
    <row r="36" spans="1:56" ht="34.5" customHeight="1" x14ac:dyDescent="0.25">
      <c r="A36" s="7" t="s">
        <v>58</v>
      </c>
      <c r="B36" s="2" t="s">
        <v>545</v>
      </c>
      <c r="C36" s="2" t="s">
        <v>546</v>
      </c>
      <c r="D36" s="2" t="s">
        <v>547</v>
      </c>
      <c r="F36" s="3" t="s">
        <v>58</v>
      </c>
      <c r="G36" s="3" t="s">
        <v>59</v>
      </c>
      <c r="H36" s="3" t="s">
        <v>58</v>
      </c>
      <c r="I36" s="3" t="s">
        <v>58</v>
      </c>
      <c r="J36" s="3" t="s">
        <v>60</v>
      </c>
      <c r="K36" s="2" t="s">
        <v>548</v>
      </c>
      <c r="L36" s="2" t="s">
        <v>549</v>
      </c>
      <c r="M36" s="3" t="s">
        <v>550</v>
      </c>
      <c r="O36" s="3" t="s">
        <v>64</v>
      </c>
      <c r="P36" s="3" t="s">
        <v>84</v>
      </c>
      <c r="R36" s="3" t="s">
        <v>66</v>
      </c>
      <c r="S36" s="4">
        <v>5</v>
      </c>
      <c r="T36" s="4">
        <v>5</v>
      </c>
      <c r="U36" s="5" t="s">
        <v>551</v>
      </c>
      <c r="V36" s="5" t="s">
        <v>551</v>
      </c>
      <c r="W36" s="5" t="s">
        <v>552</v>
      </c>
      <c r="X36" s="5" t="s">
        <v>552</v>
      </c>
      <c r="Y36" s="4">
        <v>282</v>
      </c>
      <c r="Z36" s="4">
        <v>227</v>
      </c>
      <c r="AA36" s="4">
        <v>337</v>
      </c>
      <c r="AB36" s="4">
        <v>1</v>
      </c>
      <c r="AC36" s="4">
        <v>2</v>
      </c>
      <c r="AD36" s="4">
        <v>8</v>
      </c>
      <c r="AE36" s="4">
        <v>12</v>
      </c>
      <c r="AF36" s="4">
        <v>1</v>
      </c>
      <c r="AG36" s="4">
        <v>3</v>
      </c>
      <c r="AH36" s="4">
        <v>2</v>
      </c>
      <c r="AI36" s="4">
        <v>2</v>
      </c>
      <c r="AJ36" s="4">
        <v>7</v>
      </c>
      <c r="AK36" s="4">
        <v>8</v>
      </c>
      <c r="AL36" s="4">
        <v>0</v>
      </c>
      <c r="AM36" s="4">
        <v>1</v>
      </c>
      <c r="AN36" s="4">
        <v>0</v>
      </c>
      <c r="AO36" s="4">
        <v>0</v>
      </c>
      <c r="AP36" s="3" t="s">
        <v>58</v>
      </c>
      <c r="AQ36" s="3" t="s">
        <v>69</v>
      </c>
      <c r="AR36" s="6" t="str">
        <f>HYPERLINK("http://catalog.hathitrust.org/Record/007128493","HathiTrust Record")</f>
        <v>HathiTrust Record</v>
      </c>
      <c r="AS36" s="6" t="str">
        <f>HYPERLINK("https://creighton-primo.hosted.exlibrisgroup.com/primo-explore/search?tab=default_tab&amp;search_scope=EVERYTHING&amp;vid=01CRU&amp;lang=en_US&amp;offset=0&amp;query=any,contains,991000072869702656","Catalog Record")</f>
        <v>Catalog Record</v>
      </c>
      <c r="AT36" s="6" t="str">
        <f>HYPERLINK("http://www.worldcat.org/oclc/28814","WorldCat Record")</f>
        <v>WorldCat Record</v>
      </c>
      <c r="AU36" s="3" t="s">
        <v>553</v>
      </c>
      <c r="AV36" s="3" t="s">
        <v>554</v>
      </c>
      <c r="AW36" s="3" t="s">
        <v>555</v>
      </c>
      <c r="AX36" s="3" t="s">
        <v>555</v>
      </c>
      <c r="AY36" s="3" t="s">
        <v>556</v>
      </c>
      <c r="AZ36" s="3" t="s">
        <v>74</v>
      </c>
      <c r="BC36" s="3" t="s">
        <v>557</v>
      </c>
      <c r="BD36" s="3" t="s">
        <v>558</v>
      </c>
    </row>
    <row r="37" spans="1:56" ht="34.5" customHeight="1" x14ac:dyDescent="0.25">
      <c r="A37" s="7" t="s">
        <v>58</v>
      </c>
      <c r="B37" s="2" t="s">
        <v>559</v>
      </c>
      <c r="C37" s="2" t="s">
        <v>560</v>
      </c>
      <c r="D37" s="2" t="s">
        <v>561</v>
      </c>
      <c r="F37" s="3" t="s">
        <v>58</v>
      </c>
      <c r="G37" s="3" t="s">
        <v>59</v>
      </c>
      <c r="H37" s="3" t="s">
        <v>58</v>
      </c>
      <c r="I37" s="3" t="s">
        <v>58</v>
      </c>
      <c r="J37" s="3" t="s">
        <v>60</v>
      </c>
      <c r="K37" s="2" t="s">
        <v>562</v>
      </c>
      <c r="L37" s="2" t="s">
        <v>563</v>
      </c>
      <c r="M37" s="3" t="s">
        <v>115</v>
      </c>
      <c r="O37" s="3" t="s">
        <v>64</v>
      </c>
      <c r="P37" s="3" t="s">
        <v>65</v>
      </c>
      <c r="Q37" s="2" t="s">
        <v>564</v>
      </c>
      <c r="R37" s="3" t="s">
        <v>66</v>
      </c>
      <c r="S37" s="4">
        <v>10</v>
      </c>
      <c r="T37" s="4">
        <v>10</v>
      </c>
      <c r="U37" s="5" t="s">
        <v>565</v>
      </c>
      <c r="V37" s="5" t="s">
        <v>565</v>
      </c>
      <c r="W37" s="5" t="s">
        <v>566</v>
      </c>
      <c r="X37" s="5" t="s">
        <v>566</v>
      </c>
      <c r="Y37" s="4">
        <v>323</v>
      </c>
      <c r="Z37" s="4">
        <v>290</v>
      </c>
      <c r="AA37" s="4">
        <v>531</v>
      </c>
      <c r="AB37" s="4">
        <v>3</v>
      </c>
      <c r="AC37" s="4">
        <v>5</v>
      </c>
      <c r="AD37" s="4">
        <v>15</v>
      </c>
      <c r="AE37" s="4">
        <v>22</v>
      </c>
      <c r="AF37" s="4">
        <v>6</v>
      </c>
      <c r="AG37" s="4">
        <v>8</v>
      </c>
      <c r="AH37" s="4">
        <v>6</v>
      </c>
      <c r="AI37" s="4">
        <v>7</v>
      </c>
      <c r="AJ37" s="4">
        <v>5</v>
      </c>
      <c r="AK37" s="4">
        <v>8</v>
      </c>
      <c r="AL37" s="4">
        <v>2</v>
      </c>
      <c r="AM37" s="4">
        <v>4</v>
      </c>
      <c r="AN37" s="4">
        <v>0</v>
      </c>
      <c r="AO37" s="4">
        <v>0</v>
      </c>
      <c r="AP37" s="3" t="s">
        <v>58</v>
      </c>
      <c r="AQ37" s="3" t="s">
        <v>58</v>
      </c>
      <c r="AS37" s="6" t="str">
        <f>HYPERLINK("https://creighton-primo.hosted.exlibrisgroup.com/primo-explore/search?tab=default_tab&amp;search_scope=EVERYTHING&amp;vid=01CRU&amp;lang=en_US&amp;offset=0&amp;query=any,contains,991005220079702656","Catalog Record")</f>
        <v>Catalog Record</v>
      </c>
      <c r="AT37" s="6" t="str">
        <f>HYPERLINK("http://www.worldcat.org/oclc/8221279","WorldCat Record")</f>
        <v>WorldCat Record</v>
      </c>
      <c r="AU37" s="3" t="s">
        <v>567</v>
      </c>
      <c r="AV37" s="3" t="s">
        <v>568</v>
      </c>
      <c r="AW37" s="3" t="s">
        <v>569</v>
      </c>
      <c r="AX37" s="3" t="s">
        <v>569</v>
      </c>
      <c r="AY37" s="3" t="s">
        <v>570</v>
      </c>
      <c r="AZ37" s="3" t="s">
        <v>74</v>
      </c>
      <c r="BB37" s="3" t="s">
        <v>571</v>
      </c>
      <c r="BC37" s="3" t="s">
        <v>572</v>
      </c>
      <c r="BD37" s="3" t="s">
        <v>573</v>
      </c>
    </row>
    <row r="38" spans="1:56" ht="34.5" customHeight="1" x14ac:dyDescent="0.25">
      <c r="A38" s="7" t="s">
        <v>58</v>
      </c>
      <c r="B38" s="2" t="s">
        <v>574</v>
      </c>
      <c r="C38" s="2" t="s">
        <v>575</v>
      </c>
      <c r="D38" s="2" t="s">
        <v>576</v>
      </c>
      <c r="F38" s="3" t="s">
        <v>58</v>
      </c>
      <c r="G38" s="3" t="s">
        <v>59</v>
      </c>
      <c r="H38" s="3" t="s">
        <v>58</v>
      </c>
      <c r="I38" s="3" t="s">
        <v>58</v>
      </c>
      <c r="J38" s="3" t="s">
        <v>60</v>
      </c>
      <c r="K38" s="2" t="s">
        <v>577</v>
      </c>
      <c r="L38" s="2" t="s">
        <v>578</v>
      </c>
      <c r="M38" s="3" t="s">
        <v>579</v>
      </c>
      <c r="O38" s="3" t="s">
        <v>580</v>
      </c>
      <c r="P38" s="3" t="s">
        <v>581</v>
      </c>
      <c r="R38" s="3" t="s">
        <v>66</v>
      </c>
      <c r="S38" s="4">
        <v>5</v>
      </c>
      <c r="T38" s="4">
        <v>5</v>
      </c>
      <c r="U38" s="5" t="s">
        <v>565</v>
      </c>
      <c r="V38" s="5" t="s">
        <v>565</v>
      </c>
      <c r="W38" s="5" t="s">
        <v>68</v>
      </c>
      <c r="X38" s="5" t="s">
        <v>68</v>
      </c>
      <c r="Y38" s="4">
        <v>309</v>
      </c>
      <c r="Z38" s="4">
        <v>271</v>
      </c>
      <c r="AA38" s="4">
        <v>274</v>
      </c>
      <c r="AB38" s="4">
        <v>2</v>
      </c>
      <c r="AC38" s="4">
        <v>2</v>
      </c>
      <c r="AD38" s="4">
        <v>7</v>
      </c>
      <c r="AE38" s="4">
        <v>7</v>
      </c>
      <c r="AF38" s="4">
        <v>4</v>
      </c>
      <c r="AG38" s="4">
        <v>4</v>
      </c>
      <c r="AH38" s="4">
        <v>1</v>
      </c>
      <c r="AI38" s="4">
        <v>1</v>
      </c>
      <c r="AJ38" s="4">
        <v>2</v>
      </c>
      <c r="AK38" s="4">
        <v>2</v>
      </c>
      <c r="AL38" s="4">
        <v>1</v>
      </c>
      <c r="AM38" s="4">
        <v>1</v>
      </c>
      <c r="AN38" s="4">
        <v>0</v>
      </c>
      <c r="AO38" s="4">
        <v>0</v>
      </c>
      <c r="AP38" s="3" t="s">
        <v>58</v>
      </c>
      <c r="AQ38" s="3" t="s">
        <v>69</v>
      </c>
      <c r="AR38" s="6" t="str">
        <f>HYPERLINK("http://catalog.hathitrust.org/Record/000456566","HathiTrust Record")</f>
        <v>HathiTrust Record</v>
      </c>
      <c r="AS38" s="6" t="str">
        <f>HYPERLINK("https://creighton-primo.hosted.exlibrisgroup.com/primo-explore/search?tab=default_tab&amp;search_scope=EVERYTHING&amp;vid=01CRU&amp;lang=en_US&amp;offset=0&amp;query=any,contains,991002625419702656","Catalog Record")</f>
        <v>Catalog Record</v>
      </c>
      <c r="AT38" s="6" t="str">
        <f>HYPERLINK("http://www.worldcat.org/oclc/381916","WorldCat Record")</f>
        <v>WorldCat Record</v>
      </c>
      <c r="AU38" s="3" t="s">
        <v>582</v>
      </c>
      <c r="AV38" s="3" t="s">
        <v>583</v>
      </c>
      <c r="AW38" s="3" t="s">
        <v>584</v>
      </c>
      <c r="AX38" s="3" t="s">
        <v>584</v>
      </c>
      <c r="AY38" s="3" t="s">
        <v>585</v>
      </c>
      <c r="AZ38" s="3" t="s">
        <v>74</v>
      </c>
      <c r="BC38" s="3" t="s">
        <v>586</v>
      </c>
      <c r="BD38" s="3" t="s">
        <v>587</v>
      </c>
    </row>
    <row r="39" spans="1:56" ht="34.5" customHeight="1" x14ac:dyDescent="0.25">
      <c r="A39" s="7" t="s">
        <v>58</v>
      </c>
      <c r="B39" s="2" t="s">
        <v>588</v>
      </c>
      <c r="C39" s="2" t="s">
        <v>589</v>
      </c>
      <c r="D39" s="2" t="s">
        <v>590</v>
      </c>
      <c r="F39" s="3" t="s">
        <v>58</v>
      </c>
      <c r="G39" s="3" t="s">
        <v>59</v>
      </c>
      <c r="H39" s="3" t="s">
        <v>58</v>
      </c>
      <c r="I39" s="3" t="s">
        <v>58</v>
      </c>
      <c r="J39" s="3" t="s">
        <v>60</v>
      </c>
      <c r="K39" s="2" t="s">
        <v>591</v>
      </c>
      <c r="L39" s="2" t="s">
        <v>592</v>
      </c>
      <c r="M39" s="3" t="s">
        <v>593</v>
      </c>
      <c r="O39" s="3" t="s">
        <v>64</v>
      </c>
      <c r="P39" s="3" t="s">
        <v>131</v>
      </c>
      <c r="R39" s="3" t="s">
        <v>66</v>
      </c>
      <c r="S39" s="4">
        <v>1</v>
      </c>
      <c r="T39" s="4">
        <v>1</v>
      </c>
      <c r="U39" s="5" t="s">
        <v>594</v>
      </c>
      <c r="V39" s="5" t="s">
        <v>594</v>
      </c>
      <c r="W39" s="5" t="s">
        <v>594</v>
      </c>
      <c r="X39" s="5" t="s">
        <v>594</v>
      </c>
      <c r="Y39" s="4">
        <v>354</v>
      </c>
      <c r="Z39" s="4">
        <v>259</v>
      </c>
      <c r="AA39" s="4">
        <v>262</v>
      </c>
      <c r="AB39" s="4">
        <v>4</v>
      </c>
      <c r="AC39" s="4">
        <v>4</v>
      </c>
      <c r="AD39" s="4">
        <v>11</v>
      </c>
      <c r="AE39" s="4">
        <v>11</v>
      </c>
      <c r="AF39" s="4">
        <v>4</v>
      </c>
      <c r="AG39" s="4">
        <v>4</v>
      </c>
      <c r="AH39" s="4">
        <v>1</v>
      </c>
      <c r="AI39" s="4">
        <v>1</v>
      </c>
      <c r="AJ39" s="4">
        <v>6</v>
      </c>
      <c r="AK39" s="4">
        <v>6</v>
      </c>
      <c r="AL39" s="4">
        <v>3</v>
      </c>
      <c r="AM39" s="4">
        <v>3</v>
      </c>
      <c r="AN39" s="4">
        <v>0</v>
      </c>
      <c r="AO39" s="4">
        <v>0</v>
      </c>
      <c r="AP39" s="3" t="s">
        <v>58</v>
      </c>
      <c r="AQ39" s="3" t="s">
        <v>58</v>
      </c>
      <c r="AS39" s="6" t="str">
        <f>HYPERLINK("https://creighton-primo.hosted.exlibrisgroup.com/primo-explore/search?tab=default_tab&amp;search_scope=EVERYTHING&amp;vid=01CRU&amp;lang=en_US&amp;offset=0&amp;query=any,contains,991004853169702656","Catalog Record")</f>
        <v>Catalog Record</v>
      </c>
      <c r="AT39" s="6" t="str">
        <f>HYPERLINK("http://www.worldcat.org/oclc/56654928","WorldCat Record")</f>
        <v>WorldCat Record</v>
      </c>
      <c r="AU39" s="3" t="s">
        <v>595</v>
      </c>
      <c r="AV39" s="3" t="s">
        <v>596</v>
      </c>
      <c r="AW39" s="3" t="s">
        <v>597</v>
      </c>
      <c r="AX39" s="3" t="s">
        <v>597</v>
      </c>
      <c r="AY39" s="3" t="s">
        <v>598</v>
      </c>
      <c r="AZ39" s="3" t="s">
        <v>74</v>
      </c>
      <c r="BB39" s="3" t="s">
        <v>599</v>
      </c>
      <c r="BC39" s="3" t="s">
        <v>600</v>
      </c>
      <c r="BD39" s="3" t="s">
        <v>601</v>
      </c>
    </row>
    <row r="40" spans="1:56" ht="34.5" customHeight="1" x14ac:dyDescent="0.25">
      <c r="A40" s="7" t="s">
        <v>58</v>
      </c>
      <c r="B40" s="2" t="s">
        <v>602</v>
      </c>
      <c r="C40" s="2" t="s">
        <v>603</v>
      </c>
      <c r="D40" s="2" t="s">
        <v>604</v>
      </c>
      <c r="F40" s="3" t="s">
        <v>58</v>
      </c>
      <c r="G40" s="3" t="s">
        <v>59</v>
      </c>
      <c r="H40" s="3" t="s">
        <v>58</v>
      </c>
      <c r="I40" s="3" t="s">
        <v>58</v>
      </c>
      <c r="J40" s="3" t="s">
        <v>60</v>
      </c>
      <c r="K40" s="2" t="s">
        <v>605</v>
      </c>
      <c r="L40" s="2" t="s">
        <v>606</v>
      </c>
      <c r="M40" s="3" t="s">
        <v>607</v>
      </c>
      <c r="O40" s="3" t="s">
        <v>64</v>
      </c>
      <c r="P40" s="3" t="s">
        <v>65</v>
      </c>
      <c r="Q40" s="2" t="s">
        <v>564</v>
      </c>
      <c r="R40" s="3" t="s">
        <v>66</v>
      </c>
      <c r="S40" s="4">
        <v>2</v>
      </c>
      <c r="T40" s="4">
        <v>2</v>
      </c>
      <c r="U40" s="5" t="s">
        <v>608</v>
      </c>
      <c r="V40" s="5" t="s">
        <v>608</v>
      </c>
      <c r="W40" s="5" t="s">
        <v>609</v>
      </c>
      <c r="X40" s="5" t="s">
        <v>609</v>
      </c>
      <c r="Y40" s="4">
        <v>394</v>
      </c>
      <c r="Z40" s="4">
        <v>374</v>
      </c>
      <c r="AA40" s="4">
        <v>438</v>
      </c>
      <c r="AB40" s="4">
        <v>6</v>
      </c>
      <c r="AC40" s="4">
        <v>6</v>
      </c>
      <c r="AD40" s="4">
        <v>16</v>
      </c>
      <c r="AE40" s="4">
        <v>16</v>
      </c>
      <c r="AF40" s="4">
        <v>7</v>
      </c>
      <c r="AG40" s="4">
        <v>7</v>
      </c>
      <c r="AH40" s="4">
        <v>2</v>
      </c>
      <c r="AI40" s="4">
        <v>2</v>
      </c>
      <c r="AJ40" s="4">
        <v>4</v>
      </c>
      <c r="AK40" s="4">
        <v>4</v>
      </c>
      <c r="AL40" s="4">
        <v>5</v>
      </c>
      <c r="AM40" s="4">
        <v>5</v>
      </c>
      <c r="AN40" s="4">
        <v>0</v>
      </c>
      <c r="AO40" s="4">
        <v>0</v>
      </c>
      <c r="AP40" s="3" t="s">
        <v>58</v>
      </c>
      <c r="AQ40" s="3" t="s">
        <v>69</v>
      </c>
      <c r="AR40" s="6" t="str">
        <f>HYPERLINK("http://catalog.hathitrust.org/Record/000563875","HathiTrust Record")</f>
        <v>HathiTrust Record</v>
      </c>
      <c r="AS40" s="6" t="str">
        <f>HYPERLINK("https://creighton-primo.hosted.exlibrisgroup.com/primo-explore/search?tab=default_tab&amp;search_scope=EVERYTHING&amp;vid=01CRU&amp;lang=en_US&amp;offset=0&amp;query=any,contains,991002746139702656","Catalog Record")</f>
        <v>Catalog Record</v>
      </c>
      <c r="AT40" s="6" t="str">
        <f>HYPERLINK("http://www.worldcat.org/oclc/422801","WorldCat Record")</f>
        <v>WorldCat Record</v>
      </c>
      <c r="AU40" s="3" t="s">
        <v>610</v>
      </c>
      <c r="AV40" s="3" t="s">
        <v>611</v>
      </c>
      <c r="AW40" s="3" t="s">
        <v>612</v>
      </c>
      <c r="AX40" s="3" t="s">
        <v>612</v>
      </c>
      <c r="AY40" s="3" t="s">
        <v>613</v>
      </c>
      <c r="AZ40" s="3" t="s">
        <v>74</v>
      </c>
      <c r="BC40" s="3" t="s">
        <v>614</v>
      </c>
      <c r="BD40" s="3" t="s">
        <v>615</v>
      </c>
    </row>
    <row r="41" spans="1:56" ht="34.5" customHeight="1" x14ac:dyDescent="0.25">
      <c r="A41" s="7" t="s">
        <v>58</v>
      </c>
      <c r="B41" s="2" t="s">
        <v>616</v>
      </c>
      <c r="C41" s="2" t="s">
        <v>617</v>
      </c>
      <c r="D41" s="2" t="s">
        <v>618</v>
      </c>
      <c r="F41" s="3" t="s">
        <v>58</v>
      </c>
      <c r="G41" s="3" t="s">
        <v>59</v>
      </c>
      <c r="H41" s="3" t="s">
        <v>58</v>
      </c>
      <c r="I41" s="3" t="s">
        <v>58</v>
      </c>
      <c r="J41" s="3" t="s">
        <v>60</v>
      </c>
      <c r="K41" s="2" t="s">
        <v>619</v>
      </c>
      <c r="L41" s="2" t="s">
        <v>620</v>
      </c>
      <c r="M41" s="3" t="s">
        <v>63</v>
      </c>
      <c r="O41" s="3" t="s">
        <v>64</v>
      </c>
      <c r="P41" s="3" t="s">
        <v>621</v>
      </c>
      <c r="R41" s="3" t="s">
        <v>66</v>
      </c>
      <c r="S41" s="4">
        <v>4</v>
      </c>
      <c r="T41" s="4">
        <v>4</v>
      </c>
      <c r="U41" s="5" t="s">
        <v>622</v>
      </c>
      <c r="V41" s="5" t="s">
        <v>622</v>
      </c>
      <c r="W41" s="5" t="s">
        <v>68</v>
      </c>
      <c r="X41" s="5" t="s">
        <v>68</v>
      </c>
      <c r="Y41" s="4">
        <v>339</v>
      </c>
      <c r="Z41" s="4">
        <v>294</v>
      </c>
      <c r="AA41" s="4">
        <v>302</v>
      </c>
      <c r="AB41" s="4">
        <v>3</v>
      </c>
      <c r="AC41" s="4">
        <v>3</v>
      </c>
      <c r="AD41" s="4">
        <v>14</v>
      </c>
      <c r="AE41" s="4">
        <v>14</v>
      </c>
      <c r="AF41" s="4">
        <v>2</v>
      </c>
      <c r="AG41" s="4">
        <v>2</v>
      </c>
      <c r="AH41" s="4">
        <v>3</v>
      </c>
      <c r="AI41" s="4">
        <v>3</v>
      </c>
      <c r="AJ41" s="4">
        <v>9</v>
      </c>
      <c r="AK41" s="4">
        <v>9</v>
      </c>
      <c r="AL41" s="4">
        <v>2</v>
      </c>
      <c r="AM41" s="4">
        <v>2</v>
      </c>
      <c r="AN41" s="4">
        <v>0</v>
      </c>
      <c r="AO41" s="4">
        <v>0</v>
      </c>
      <c r="AP41" s="3" t="s">
        <v>58</v>
      </c>
      <c r="AQ41" s="3" t="s">
        <v>69</v>
      </c>
      <c r="AR41" s="6" t="str">
        <f>HYPERLINK("http://catalog.hathitrust.org/Record/000457365","HathiTrust Record")</f>
        <v>HathiTrust Record</v>
      </c>
      <c r="AS41" s="6" t="str">
        <f>HYPERLINK("https://creighton-primo.hosted.exlibrisgroup.com/primo-explore/search?tab=default_tab&amp;search_scope=EVERYTHING&amp;vid=01CRU&amp;lang=en_US&amp;offset=0&amp;query=any,contains,991000708239702656","Catalog Record")</f>
        <v>Catalog Record</v>
      </c>
      <c r="AT41" s="6" t="str">
        <f>HYPERLINK("http://www.worldcat.org/oclc/124626","WorldCat Record")</f>
        <v>WorldCat Record</v>
      </c>
      <c r="AU41" s="3" t="s">
        <v>623</v>
      </c>
      <c r="AV41" s="3" t="s">
        <v>624</v>
      </c>
      <c r="AW41" s="3" t="s">
        <v>625</v>
      </c>
      <c r="AX41" s="3" t="s">
        <v>625</v>
      </c>
      <c r="AY41" s="3" t="s">
        <v>626</v>
      </c>
      <c r="AZ41" s="3" t="s">
        <v>74</v>
      </c>
      <c r="BC41" s="3" t="s">
        <v>627</v>
      </c>
      <c r="BD41" s="3" t="s">
        <v>628</v>
      </c>
    </row>
    <row r="42" spans="1:56" ht="34.5" customHeight="1" x14ac:dyDescent="0.25">
      <c r="A42" s="7" t="s">
        <v>58</v>
      </c>
      <c r="B42" s="2" t="s">
        <v>629</v>
      </c>
      <c r="C42" s="2" t="s">
        <v>630</v>
      </c>
      <c r="D42" s="2" t="s">
        <v>631</v>
      </c>
      <c r="F42" s="3" t="s">
        <v>58</v>
      </c>
      <c r="G42" s="3" t="s">
        <v>59</v>
      </c>
      <c r="H42" s="3" t="s">
        <v>58</v>
      </c>
      <c r="I42" s="3" t="s">
        <v>58</v>
      </c>
      <c r="J42" s="3" t="s">
        <v>60</v>
      </c>
      <c r="K42" s="2" t="s">
        <v>632</v>
      </c>
      <c r="L42" s="2" t="s">
        <v>633</v>
      </c>
      <c r="M42" s="3" t="s">
        <v>354</v>
      </c>
      <c r="O42" s="3" t="s">
        <v>64</v>
      </c>
      <c r="P42" s="3" t="s">
        <v>65</v>
      </c>
      <c r="Q42" s="2" t="s">
        <v>634</v>
      </c>
      <c r="R42" s="3" t="s">
        <v>66</v>
      </c>
      <c r="S42" s="4">
        <v>2</v>
      </c>
      <c r="T42" s="4">
        <v>2</v>
      </c>
      <c r="U42" s="5" t="s">
        <v>635</v>
      </c>
      <c r="V42" s="5" t="s">
        <v>635</v>
      </c>
      <c r="W42" s="5" t="s">
        <v>68</v>
      </c>
      <c r="X42" s="5" t="s">
        <v>68</v>
      </c>
      <c r="Y42" s="4">
        <v>1095</v>
      </c>
      <c r="Z42" s="4">
        <v>982</v>
      </c>
      <c r="AA42" s="4">
        <v>1002</v>
      </c>
      <c r="AB42" s="4">
        <v>8</v>
      </c>
      <c r="AC42" s="4">
        <v>8</v>
      </c>
      <c r="AD42" s="4">
        <v>34</v>
      </c>
      <c r="AE42" s="4">
        <v>36</v>
      </c>
      <c r="AF42" s="4">
        <v>17</v>
      </c>
      <c r="AG42" s="4">
        <v>19</v>
      </c>
      <c r="AH42" s="4">
        <v>4</v>
      </c>
      <c r="AI42" s="4">
        <v>4</v>
      </c>
      <c r="AJ42" s="4">
        <v>14</v>
      </c>
      <c r="AK42" s="4">
        <v>14</v>
      </c>
      <c r="AL42" s="4">
        <v>6</v>
      </c>
      <c r="AM42" s="4">
        <v>6</v>
      </c>
      <c r="AN42" s="4">
        <v>0</v>
      </c>
      <c r="AO42" s="4">
        <v>0</v>
      </c>
      <c r="AP42" s="3" t="s">
        <v>69</v>
      </c>
      <c r="AQ42" s="3" t="s">
        <v>58</v>
      </c>
      <c r="AR42" s="6" t="str">
        <f>HYPERLINK("http://catalog.hathitrust.org/Record/000566299","HathiTrust Record")</f>
        <v>HathiTrust Record</v>
      </c>
      <c r="AS42" s="6" t="str">
        <f>HYPERLINK("https://creighton-primo.hosted.exlibrisgroup.com/primo-explore/search?tab=default_tab&amp;search_scope=EVERYTHING&amp;vid=01CRU&amp;lang=en_US&amp;offset=0&amp;query=any,contains,991002901189702656","Catalog Record")</f>
        <v>Catalog Record</v>
      </c>
      <c r="AT42" s="6" t="str">
        <f>HYPERLINK("http://www.worldcat.org/oclc/517340","WorldCat Record")</f>
        <v>WorldCat Record</v>
      </c>
      <c r="AU42" s="3" t="s">
        <v>636</v>
      </c>
      <c r="AV42" s="3" t="s">
        <v>637</v>
      </c>
      <c r="AW42" s="3" t="s">
        <v>638</v>
      </c>
      <c r="AX42" s="3" t="s">
        <v>638</v>
      </c>
      <c r="AY42" s="3" t="s">
        <v>639</v>
      </c>
      <c r="AZ42" s="3" t="s">
        <v>74</v>
      </c>
      <c r="BC42" s="3" t="s">
        <v>640</v>
      </c>
      <c r="BD42" s="3" t="s">
        <v>641</v>
      </c>
    </row>
    <row r="43" spans="1:56" ht="34.5" customHeight="1" x14ac:dyDescent="0.25">
      <c r="A43" s="7" t="s">
        <v>58</v>
      </c>
      <c r="B43" s="2" t="s">
        <v>642</v>
      </c>
      <c r="C43" s="2" t="s">
        <v>643</v>
      </c>
      <c r="D43" s="2" t="s">
        <v>644</v>
      </c>
      <c r="F43" s="3" t="s">
        <v>58</v>
      </c>
      <c r="G43" s="3" t="s">
        <v>59</v>
      </c>
      <c r="H43" s="3" t="s">
        <v>58</v>
      </c>
      <c r="I43" s="3" t="s">
        <v>58</v>
      </c>
      <c r="J43" s="3" t="s">
        <v>60</v>
      </c>
      <c r="K43" s="2" t="s">
        <v>645</v>
      </c>
      <c r="L43" s="2" t="s">
        <v>633</v>
      </c>
      <c r="M43" s="3" t="s">
        <v>354</v>
      </c>
      <c r="O43" s="3" t="s">
        <v>64</v>
      </c>
      <c r="P43" s="3" t="s">
        <v>65</v>
      </c>
      <c r="Q43" s="2" t="s">
        <v>634</v>
      </c>
      <c r="R43" s="3" t="s">
        <v>66</v>
      </c>
      <c r="S43" s="4">
        <v>1</v>
      </c>
      <c r="T43" s="4">
        <v>1</v>
      </c>
      <c r="U43" s="5" t="s">
        <v>635</v>
      </c>
      <c r="V43" s="5" t="s">
        <v>635</v>
      </c>
      <c r="W43" s="5" t="s">
        <v>68</v>
      </c>
      <c r="X43" s="5" t="s">
        <v>68</v>
      </c>
      <c r="Y43" s="4">
        <v>1041</v>
      </c>
      <c r="Z43" s="4">
        <v>954</v>
      </c>
      <c r="AA43" s="4">
        <v>986</v>
      </c>
      <c r="AB43" s="4">
        <v>6</v>
      </c>
      <c r="AC43" s="4">
        <v>6</v>
      </c>
      <c r="AD43" s="4">
        <v>32</v>
      </c>
      <c r="AE43" s="4">
        <v>33</v>
      </c>
      <c r="AF43" s="4">
        <v>17</v>
      </c>
      <c r="AG43" s="4">
        <v>18</v>
      </c>
      <c r="AH43" s="4">
        <v>4</v>
      </c>
      <c r="AI43" s="4">
        <v>4</v>
      </c>
      <c r="AJ43" s="4">
        <v>14</v>
      </c>
      <c r="AK43" s="4">
        <v>14</v>
      </c>
      <c r="AL43" s="4">
        <v>5</v>
      </c>
      <c r="AM43" s="4">
        <v>5</v>
      </c>
      <c r="AN43" s="4">
        <v>0</v>
      </c>
      <c r="AO43" s="4">
        <v>0</v>
      </c>
      <c r="AP43" s="3" t="s">
        <v>69</v>
      </c>
      <c r="AQ43" s="3" t="s">
        <v>58</v>
      </c>
      <c r="AR43" s="6" t="str">
        <f>HYPERLINK("http://catalog.hathitrust.org/Record/000562330","HathiTrust Record")</f>
        <v>HathiTrust Record</v>
      </c>
      <c r="AS43" s="6" t="str">
        <f>HYPERLINK("https://creighton-primo.hosted.exlibrisgroup.com/primo-explore/search?tab=default_tab&amp;search_scope=EVERYTHING&amp;vid=01CRU&amp;lang=en_US&amp;offset=0&amp;query=any,contains,991002901159702656","Catalog Record")</f>
        <v>Catalog Record</v>
      </c>
      <c r="AT43" s="6" t="str">
        <f>HYPERLINK("http://www.worldcat.org/oclc/517338","WorldCat Record")</f>
        <v>WorldCat Record</v>
      </c>
      <c r="AU43" s="3" t="s">
        <v>646</v>
      </c>
      <c r="AV43" s="3" t="s">
        <v>647</v>
      </c>
      <c r="AW43" s="3" t="s">
        <v>648</v>
      </c>
      <c r="AX43" s="3" t="s">
        <v>648</v>
      </c>
      <c r="AY43" s="3" t="s">
        <v>649</v>
      </c>
      <c r="AZ43" s="3" t="s">
        <v>74</v>
      </c>
      <c r="BC43" s="3" t="s">
        <v>650</v>
      </c>
      <c r="BD43" s="3" t="s">
        <v>651</v>
      </c>
    </row>
    <row r="44" spans="1:56" ht="34.5" customHeight="1" x14ac:dyDescent="0.25">
      <c r="A44" s="7" t="s">
        <v>58</v>
      </c>
      <c r="B44" s="2" t="s">
        <v>652</v>
      </c>
      <c r="C44" s="2" t="s">
        <v>653</v>
      </c>
      <c r="D44" s="2" t="s">
        <v>654</v>
      </c>
      <c r="F44" s="3" t="s">
        <v>58</v>
      </c>
      <c r="G44" s="3" t="s">
        <v>59</v>
      </c>
      <c r="H44" s="3" t="s">
        <v>58</v>
      </c>
      <c r="I44" s="3" t="s">
        <v>58</v>
      </c>
      <c r="J44" s="3" t="s">
        <v>60</v>
      </c>
      <c r="K44" s="2" t="s">
        <v>655</v>
      </c>
      <c r="L44" s="2" t="s">
        <v>656</v>
      </c>
      <c r="M44" s="3" t="s">
        <v>354</v>
      </c>
      <c r="N44" s="2" t="s">
        <v>657</v>
      </c>
      <c r="O44" s="3" t="s">
        <v>64</v>
      </c>
      <c r="P44" s="3" t="s">
        <v>65</v>
      </c>
      <c r="R44" s="3" t="s">
        <v>66</v>
      </c>
      <c r="S44" s="4">
        <v>1</v>
      </c>
      <c r="T44" s="4">
        <v>1</v>
      </c>
      <c r="U44" s="5" t="s">
        <v>635</v>
      </c>
      <c r="V44" s="5" t="s">
        <v>635</v>
      </c>
      <c r="W44" s="5" t="s">
        <v>68</v>
      </c>
      <c r="X44" s="5" t="s">
        <v>68</v>
      </c>
      <c r="Y44" s="4">
        <v>551</v>
      </c>
      <c r="Z44" s="4">
        <v>481</v>
      </c>
      <c r="AA44" s="4">
        <v>483</v>
      </c>
      <c r="AB44" s="4">
        <v>2</v>
      </c>
      <c r="AC44" s="4">
        <v>2</v>
      </c>
      <c r="AD44" s="4">
        <v>11</v>
      </c>
      <c r="AE44" s="4">
        <v>11</v>
      </c>
      <c r="AF44" s="4">
        <v>5</v>
      </c>
      <c r="AG44" s="4">
        <v>5</v>
      </c>
      <c r="AH44" s="4">
        <v>2</v>
      </c>
      <c r="AI44" s="4">
        <v>2</v>
      </c>
      <c r="AJ44" s="4">
        <v>6</v>
      </c>
      <c r="AK44" s="4">
        <v>6</v>
      </c>
      <c r="AL44" s="4">
        <v>1</v>
      </c>
      <c r="AM44" s="4">
        <v>1</v>
      </c>
      <c r="AN44" s="4">
        <v>0</v>
      </c>
      <c r="AO44" s="4">
        <v>0</v>
      </c>
      <c r="AP44" s="3" t="s">
        <v>58</v>
      </c>
      <c r="AQ44" s="3" t="s">
        <v>58</v>
      </c>
      <c r="AS44" s="6" t="str">
        <f>HYPERLINK("https://creighton-primo.hosted.exlibrisgroup.com/primo-explore/search?tab=default_tab&amp;search_scope=EVERYTHING&amp;vid=01CRU&amp;lang=en_US&amp;offset=0&amp;query=any,contains,991003520909702656","Catalog Record")</f>
        <v>Catalog Record</v>
      </c>
      <c r="AT44" s="6" t="str">
        <f>HYPERLINK("http://www.worldcat.org/oclc/1081456","WorldCat Record")</f>
        <v>WorldCat Record</v>
      </c>
      <c r="AU44" s="3" t="s">
        <v>658</v>
      </c>
      <c r="AV44" s="3" t="s">
        <v>659</v>
      </c>
      <c r="AW44" s="3" t="s">
        <v>660</v>
      </c>
      <c r="AX44" s="3" t="s">
        <v>660</v>
      </c>
      <c r="AY44" s="3" t="s">
        <v>661</v>
      </c>
      <c r="AZ44" s="3" t="s">
        <v>74</v>
      </c>
      <c r="BC44" s="3" t="s">
        <v>662</v>
      </c>
      <c r="BD44" s="3" t="s">
        <v>663</v>
      </c>
    </row>
    <row r="45" spans="1:56" ht="34.5" customHeight="1" x14ac:dyDescent="0.25">
      <c r="A45" s="7" t="s">
        <v>58</v>
      </c>
      <c r="B45" s="2" t="s">
        <v>664</v>
      </c>
      <c r="C45" s="2" t="s">
        <v>665</v>
      </c>
      <c r="D45" s="2" t="s">
        <v>666</v>
      </c>
      <c r="F45" s="3" t="s">
        <v>58</v>
      </c>
      <c r="G45" s="3" t="s">
        <v>59</v>
      </c>
      <c r="H45" s="3" t="s">
        <v>58</v>
      </c>
      <c r="I45" s="3" t="s">
        <v>58</v>
      </c>
      <c r="J45" s="3" t="s">
        <v>60</v>
      </c>
      <c r="K45" s="2" t="s">
        <v>667</v>
      </c>
      <c r="L45" s="2" t="s">
        <v>668</v>
      </c>
      <c r="M45" s="3" t="s">
        <v>368</v>
      </c>
      <c r="N45" s="2" t="s">
        <v>669</v>
      </c>
      <c r="O45" s="3" t="s">
        <v>64</v>
      </c>
      <c r="P45" s="3" t="s">
        <v>670</v>
      </c>
      <c r="R45" s="3" t="s">
        <v>66</v>
      </c>
      <c r="S45" s="4">
        <v>2</v>
      </c>
      <c r="T45" s="4">
        <v>2</v>
      </c>
      <c r="U45" s="5" t="s">
        <v>635</v>
      </c>
      <c r="V45" s="5" t="s">
        <v>635</v>
      </c>
      <c r="W45" s="5" t="s">
        <v>497</v>
      </c>
      <c r="X45" s="5" t="s">
        <v>497</v>
      </c>
      <c r="Y45" s="4">
        <v>241</v>
      </c>
      <c r="Z45" s="4">
        <v>218</v>
      </c>
      <c r="AA45" s="4">
        <v>820</v>
      </c>
      <c r="AB45" s="4">
        <v>3</v>
      </c>
      <c r="AC45" s="4">
        <v>6</v>
      </c>
      <c r="AD45" s="4">
        <v>10</v>
      </c>
      <c r="AE45" s="4">
        <v>28</v>
      </c>
      <c r="AF45" s="4">
        <v>3</v>
      </c>
      <c r="AG45" s="4">
        <v>13</v>
      </c>
      <c r="AH45" s="4">
        <v>2</v>
      </c>
      <c r="AI45" s="4">
        <v>4</v>
      </c>
      <c r="AJ45" s="4">
        <v>3</v>
      </c>
      <c r="AK45" s="4">
        <v>10</v>
      </c>
      <c r="AL45" s="4">
        <v>2</v>
      </c>
      <c r="AM45" s="4">
        <v>4</v>
      </c>
      <c r="AN45" s="4">
        <v>0</v>
      </c>
      <c r="AO45" s="4">
        <v>0</v>
      </c>
      <c r="AP45" s="3" t="s">
        <v>58</v>
      </c>
      <c r="AQ45" s="3" t="s">
        <v>69</v>
      </c>
      <c r="AR45" s="6" t="str">
        <f>HYPERLINK("http://catalog.hathitrust.org/Record/004502199","HathiTrust Record")</f>
        <v>HathiTrust Record</v>
      </c>
      <c r="AS45" s="6" t="str">
        <f>HYPERLINK("https://creighton-primo.hosted.exlibrisgroup.com/primo-explore/search?tab=default_tab&amp;search_scope=EVERYTHING&amp;vid=01CRU&amp;lang=en_US&amp;offset=0&amp;query=any,contains,991003192259702656","Catalog Record")</f>
        <v>Catalog Record</v>
      </c>
      <c r="AT45" s="6" t="str">
        <f>HYPERLINK("http://www.worldcat.org/oclc/717422","WorldCat Record")</f>
        <v>WorldCat Record</v>
      </c>
      <c r="AU45" s="3" t="s">
        <v>671</v>
      </c>
      <c r="AV45" s="3" t="s">
        <v>672</v>
      </c>
      <c r="AW45" s="3" t="s">
        <v>673</v>
      </c>
      <c r="AX45" s="3" t="s">
        <v>673</v>
      </c>
      <c r="AY45" s="3" t="s">
        <v>674</v>
      </c>
      <c r="AZ45" s="3" t="s">
        <v>74</v>
      </c>
      <c r="BC45" s="3" t="s">
        <v>675</v>
      </c>
      <c r="BD45" s="3" t="s">
        <v>676</v>
      </c>
    </row>
    <row r="46" spans="1:56" ht="34.5" customHeight="1" x14ac:dyDescent="0.25">
      <c r="A46" s="7" t="s">
        <v>58</v>
      </c>
      <c r="B46" s="2" t="s">
        <v>677</v>
      </c>
      <c r="C46" s="2" t="s">
        <v>678</v>
      </c>
      <c r="D46" s="2" t="s">
        <v>679</v>
      </c>
      <c r="F46" s="3" t="s">
        <v>58</v>
      </c>
      <c r="G46" s="3" t="s">
        <v>59</v>
      </c>
      <c r="H46" s="3" t="s">
        <v>58</v>
      </c>
      <c r="I46" s="3" t="s">
        <v>58</v>
      </c>
      <c r="J46" s="3" t="s">
        <v>60</v>
      </c>
      <c r="K46" s="2" t="s">
        <v>680</v>
      </c>
      <c r="L46" s="2" t="s">
        <v>681</v>
      </c>
      <c r="M46" s="3" t="s">
        <v>339</v>
      </c>
      <c r="N46" s="2" t="s">
        <v>682</v>
      </c>
      <c r="O46" s="3" t="s">
        <v>64</v>
      </c>
      <c r="P46" s="3" t="s">
        <v>683</v>
      </c>
      <c r="R46" s="3" t="s">
        <v>66</v>
      </c>
      <c r="S46" s="4">
        <v>1</v>
      </c>
      <c r="T46" s="4">
        <v>1</v>
      </c>
      <c r="U46" s="5" t="s">
        <v>684</v>
      </c>
      <c r="V46" s="5" t="s">
        <v>684</v>
      </c>
      <c r="W46" s="5" t="s">
        <v>685</v>
      </c>
      <c r="X46" s="5" t="s">
        <v>685</v>
      </c>
      <c r="Y46" s="4">
        <v>171</v>
      </c>
      <c r="Z46" s="4">
        <v>116</v>
      </c>
      <c r="AA46" s="4">
        <v>708</v>
      </c>
      <c r="AB46" s="4">
        <v>2</v>
      </c>
      <c r="AC46" s="4">
        <v>5</v>
      </c>
      <c r="AD46" s="4">
        <v>3</v>
      </c>
      <c r="AE46" s="4">
        <v>19</v>
      </c>
      <c r="AF46" s="4">
        <v>1</v>
      </c>
      <c r="AG46" s="4">
        <v>8</v>
      </c>
      <c r="AH46" s="4">
        <v>2</v>
      </c>
      <c r="AI46" s="4">
        <v>4</v>
      </c>
      <c r="AJ46" s="4">
        <v>1</v>
      </c>
      <c r="AK46" s="4">
        <v>9</v>
      </c>
      <c r="AL46" s="4">
        <v>0</v>
      </c>
      <c r="AM46" s="4">
        <v>2</v>
      </c>
      <c r="AN46" s="4">
        <v>0</v>
      </c>
      <c r="AO46" s="4">
        <v>0</v>
      </c>
      <c r="AP46" s="3" t="s">
        <v>58</v>
      </c>
      <c r="AQ46" s="3" t="s">
        <v>58</v>
      </c>
      <c r="AS46" s="6" t="str">
        <f>HYPERLINK("https://creighton-primo.hosted.exlibrisgroup.com/primo-explore/search?tab=default_tab&amp;search_scope=EVERYTHING&amp;vid=01CRU&amp;lang=en_US&amp;offset=0&amp;query=any,contains,991002651149702656","Catalog Record")</f>
        <v>Catalog Record</v>
      </c>
      <c r="AT46" s="6" t="str">
        <f>HYPERLINK("http://www.worldcat.org/oclc/34673692","WorldCat Record")</f>
        <v>WorldCat Record</v>
      </c>
      <c r="AU46" s="3" t="s">
        <v>686</v>
      </c>
      <c r="AV46" s="3" t="s">
        <v>687</v>
      </c>
      <c r="AW46" s="3" t="s">
        <v>688</v>
      </c>
      <c r="AX46" s="3" t="s">
        <v>688</v>
      </c>
      <c r="AY46" s="3" t="s">
        <v>689</v>
      </c>
      <c r="AZ46" s="3" t="s">
        <v>74</v>
      </c>
      <c r="BB46" s="3" t="s">
        <v>690</v>
      </c>
      <c r="BC46" s="3" t="s">
        <v>691</v>
      </c>
      <c r="BD46" s="3" t="s">
        <v>692</v>
      </c>
    </row>
    <row r="47" spans="1:56" ht="34.5" customHeight="1" x14ac:dyDescent="0.25">
      <c r="A47" s="7" t="s">
        <v>58</v>
      </c>
      <c r="B47" s="2" t="s">
        <v>693</v>
      </c>
      <c r="C47" s="2" t="s">
        <v>694</v>
      </c>
      <c r="D47" s="2" t="s">
        <v>695</v>
      </c>
      <c r="F47" s="3" t="s">
        <v>58</v>
      </c>
      <c r="G47" s="3" t="s">
        <v>59</v>
      </c>
      <c r="H47" s="3" t="s">
        <v>58</v>
      </c>
      <c r="I47" s="3" t="s">
        <v>58</v>
      </c>
      <c r="J47" s="3" t="s">
        <v>60</v>
      </c>
      <c r="K47" s="2" t="s">
        <v>696</v>
      </c>
      <c r="L47" s="2" t="s">
        <v>697</v>
      </c>
      <c r="M47" s="3" t="s">
        <v>698</v>
      </c>
      <c r="N47" s="2" t="s">
        <v>284</v>
      </c>
      <c r="O47" s="3" t="s">
        <v>64</v>
      </c>
      <c r="P47" s="3" t="s">
        <v>65</v>
      </c>
      <c r="R47" s="3" t="s">
        <v>66</v>
      </c>
      <c r="S47" s="4">
        <v>2</v>
      </c>
      <c r="T47" s="4">
        <v>2</v>
      </c>
      <c r="U47" s="5" t="s">
        <v>635</v>
      </c>
      <c r="V47" s="5" t="s">
        <v>635</v>
      </c>
      <c r="W47" s="5" t="s">
        <v>699</v>
      </c>
      <c r="X47" s="5" t="s">
        <v>699</v>
      </c>
      <c r="Y47" s="4">
        <v>277</v>
      </c>
      <c r="Z47" s="4">
        <v>211</v>
      </c>
      <c r="AA47" s="4">
        <v>214</v>
      </c>
      <c r="AB47" s="4">
        <v>1</v>
      </c>
      <c r="AC47" s="4">
        <v>1</v>
      </c>
      <c r="AD47" s="4">
        <v>9</v>
      </c>
      <c r="AE47" s="4">
        <v>9</v>
      </c>
      <c r="AF47" s="4">
        <v>2</v>
      </c>
      <c r="AG47" s="4">
        <v>2</v>
      </c>
      <c r="AH47" s="4">
        <v>3</v>
      </c>
      <c r="AI47" s="4">
        <v>3</v>
      </c>
      <c r="AJ47" s="4">
        <v>4</v>
      </c>
      <c r="AK47" s="4">
        <v>4</v>
      </c>
      <c r="AL47" s="4">
        <v>0</v>
      </c>
      <c r="AM47" s="4">
        <v>0</v>
      </c>
      <c r="AN47" s="4">
        <v>0</v>
      </c>
      <c r="AO47" s="4">
        <v>0</v>
      </c>
      <c r="AP47" s="3" t="s">
        <v>58</v>
      </c>
      <c r="AQ47" s="3" t="s">
        <v>69</v>
      </c>
      <c r="AR47" s="6" t="str">
        <f>HYPERLINK("http://catalog.hathitrust.org/Record/002976015","HathiTrust Record")</f>
        <v>HathiTrust Record</v>
      </c>
      <c r="AS47" s="6" t="str">
        <f>HYPERLINK("https://creighton-primo.hosted.exlibrisgroup.com/primo-explore/search?tab=default_tab&amp;search_scope=EVERYTHING&amp;vid=01CRU&amp;lang=en_US&amp;offset=0&amp;query=any,contains,991003912159702656","Catalog Record")</f>
        <v>Catalog Record</v>
      </c>
      <c r="AT47" s="6" t="str">
        <f>HYPERLINK("http://www.worldcat.org/oclc/30733510","WorldCat Record")</f>
        <v>WorldCat Record</v>
      </c>
      <c r="AU47" s="3" t="s">
        <v>700</v>
      </c>
      <c r="AV47" s="3" t="s">
        <v>701</v>
      </c>
      <c r="AW47" s="3" t="s">
        <v>702</v>
      </c>
      <c r="AX47" s="3" t="s">
        <v>702</v>
      </c>
      <c r="AY47" s="3" t="s">
        <v>703</v>
      </c>
      <c r="AZ47" s="3" t="s">
        <v>74</v>
      </c>
      <c r="BB47" s="3" t="s">
        <v>704</v>
      </c>
      <c r="BC47" s="3" t="s">
        <v>705</v>
      </c>
      <c r="BD47" s="3" t="s">
        <v>706</v>
      </c>
    </row>
    <row r="48" spans="1:56" ht="34.5" customHeight="1" x14ac:dyDescent="0.25">
      <c r="A48" s="7" t="s">
        <v>58</v>
      </c>
      <c r="B48" s="2" t="s">
        <v>707</v>
      </c>
      <c r="C48" s="2" t="s">
        <v>708</v>
      </c>
      <c r="D48" s="2" t="s">
        <v>709</v>
      </c>
      <c r="F48" s="3" t="s">
        <v>58</v>
      </c>
      <c r="G48" s="3" t="s">
        <v>59</v>
      </c>
      <c r="H48" s="3" t="s">
        <v>58</v>
      </c>
      <c r="I48" s="3" t="s">
        <v>58</v>
      </c>
      <c r="J48" s="3" t="s">
        <v>60</v>
      </c>
      <c r="K48" s="2" t="s">
        <v>710</v>
      </c>
      <c r="L48" s="2" t="s">
        <v>711</v>
      </c>
      <c r="M48" s="3" t="s">
        <v>712</v>
      </c>
      <c r="N48" s="2" t="s">
        <v>657</v>
      </c>
      <c r="O48" s="3" t="s">
        <v>64</v>
      </c>
      <c r="P48" s="3" t="s">
        <v>65</v>
      </c>
      <c r="R48" s="3" t="s">
        <v>66</v>
      </c>
      <c r="S48" s="4">
        <v>3</v>
      </c>
      <c r="T48" s="4">
        <v>3</v>
      </c>
      <c r="U48" s="5" t="s">
        <v>713</v>
      </c>
      <c r="V48" s="5" t="s">
        <v>713</v>
      </c>
      <c r="W48" s="5" t="s">
        <v>102</v>
      </c>
      <c r="X48" s="5" t="s">
        <v>102</v>
      </c>
      <c r="Y48" s="4">
        <v>503</v>
      </c>
      <c r="Z48" s="4">
        <v>388</v>
      </c>
      <c r="AA48" s="4">
        <v>389</v>
      </c>
      <c r="AB48" s="4">
        <v>2</v>
      </c>
      <c r="AC48" s="4">
        <v>2</v>
      </c>
      <c r="AD48" s="4">
        <v>11</v>
      </c>
      <c r="AE48" s="4">
        <v>11</v>
      </c>
      <c r="AF48" s="4">
        <v>6</v>
      </c>
      <c r="AG48" s="4">
        <v>6</v>
      </c>
      <c r="AH48" s="4">
        <v>2</v>
      </c>
      <c r="AI48" s="4">
        <v>2</v>
      </c>
      <c r="AJ48" s="4">
        <v>3</v>
      </c>
      <c r="AK48" s="4">
        <v>3</v>
      </c>
      <c r="AL48" s="4">
        <v>1</v>
      </c>
      <c r="AM48" s="4">
        <v>1</v>
      </c>
      <c r="AN48" s="4">
        <v>0</v>
      </c>
      <c r="AO48" s="4">
        <v>0</v>
      </c>
      <c r="AP48" s="3" t="s">
        <v>58</v>
      </c>
      <c r="AQ48" s="3" t="s">
        <v>58</v>
      </c>
      <c r="AS48" s="6" t="str">
        <f>HYPERLINK("https://creighton-primo.hosted.exlibrisgroup.com/primo-explore/search?tab=default_tab&amp;search_scope=EVERYTHING&amp;vid=01CRU&amp;lang=en_US&amp;offset=0&amp;query=any,contains,991002865599702656","Catalog Record")</f>
        <v>Catalog Record</v>
      </c>
      <c r="AT48" s="6" t="str">
        <f>HYPERLINK("http://www.worldcat.org/oclc/495383","WorldCat Record")</f>
        <v>WorldCat Record</v>
      </c>
      <c r="AU48" s="3" t="s">
        <v>714</v>
      </c>
      <c r="AV48" s="3" t="s">
        <v>715</v>
      </c>
      <c r="AW48" s="3" t="s">
        <v>716</v>
      </c>
      <c r="AX48" s="3" t="s">
        <v>716</v>
      </c>
      <c r="AY48" s="3" t="s">
        <v>717</v>
      </c>
      <c r="AZ48" s="3" t="s">
        <v>74</v>
      </c>
      <c r="BB48" s="3" t="s">
        <v>718</v>
      </c>
      <c r="BC48" s="3" t="s">
        <v>719</v>
      </c>
      <c r="BD48" s="3" t="s">
        <v>720</v>
      </c>
    </row>
    <row r="49" spans="1:56" ht="34.5" customHeight="1" x14ac:dyDescent="0.25">
      <c r="A49" s="7" t="s">
        <v>58</v>
      </c>
      <c r="B49" s="2" t="s">
        <v>721</v>
      </c>
      <c r="C49" s="2" t="s">
        <v>722</v>
      </c>
      <c r="D49" s="2" t="s">
        <v>723</v>
      </c>
      <c r="F49" s="3" t="s">
        <v>58</v>
      </c>
      <c r="G49" s="3" t="s">
        <v>59</v>
      </c>
      <c r="H49" s="3" t="s">
        <v>58</v>
      </c>
      <c r="I49" s="3" t="s">
        <v>58</v>
      </c>
      <c r="J49" s="3" t="s">
        <v>60</v>
      </c>
      <c r="K49" s="2" t="s">
        <v>724</v>
      </c>
      <c r="L49" s="2" t="s">
        <v>725</v>
      </c>
      <c r="M49" s="3" t="s">
        <v>209</v>
      </c>
      <c r="O49" s="3" t="s">
        <v>64</v>
      </c>
      <c r="P49" s="3" t="s">
        <v>65</v>
      </c>
      <c r="R49" s="3" t="s">
        <v>66</v>
      </c>
      <c r="S49" s="4">
        <v>1</v>
      </c>
      <c r="T49" s="4">
        <v>1</v>
      </c>
      <c r="U49" s="5" t="s">
        <v>726</v>
      </c>
      <c r="V49" s="5" t="s">
        <v>726</v>
      </c>
      <c r="W49" s="5" t="s">
        <v>102</v>
      </c>
      <c r="X49" s="5" t="s">
        <v>102</v>
      </c>
      <c r="Y49" s="4">
        <v>401</v>
      </c>
      <c r="Z49" s="4">
        <v>347</v>
      </c>
      <c r="AA49" s="4">
        <v>350</v>
      </c>
      <c r="AB49" s="4">
        <v>3</v>
      </c>
      <c r="AC49" s="4">
        <v>3</v>
      </c>
      <c r="AD49" s="4">
        <v>7</v>
      </c>
      <c r="AE49" s="4">
        <v>7</v>
      </c>
      <c r="AF49" s="4">
        <v>1</v>
      </c>
      <c r="AG49" s="4">
        <v>1</v>
      </c>
      <c r="AH49" s="4">
        <v>1</v>
      </c>
      <c r="AI49" s="4">
        <v>1</v>
      </c>
      <c r="AJ49" s="4">
        <v>4</v>
      </c>
      <c r="AK49" s="4">
        <v>4</v>
      </c>
      <c r="AL49" s="4">
        <v>1</v>
      </c>
      <c r="AM49" s="4">
        <v>1</v>
      </c>
      <c r="AN49" s="4">
        <v>0</v>
      </c>
      <c r="AO49" s="4">
        <v>0</v>
      </c>
      <c r="AP49" s="3" t="s">
        <v>58</v>
      </c>
      <c r="AQ49" s="3" t="s">
        <v>69</v>
      </c>
      <c r="AR49" s="6" t="str">
        <f>HYPERLINK("http://catalog.hathitrust.org/Record/000579741","HathiTrust Record")</f>
        <v>HathiTrust Record</v>
      </c>
      <c r="AS49" s="6" t="str">
        <f>HYPERLINK("https://creighton-primo.hosted.exlibrisgroup.com/primo-explore/search?tab=default_tab&amp;search_scope=EVERYTHING&amp;vid=01CRU&amp;lang=en_US&amp;offset=0&amp;query=any,contains,991000632579702656","Catalog Record")</f>
        <v>Catalog Record</v>
      </c>
      <c r="AT49" s="6" t="str">
        <f>HYPERLINK("http://www.worldcat.org/oclc/12053759","WorldCat Record")</f>
        <v>WorldCat Record</v>
      </c>
      <c r="AU49" s="3" t="s">
        <v>727</v>
      </c>
      <c r="AV49" s="3" t="s">
        <v>728</v>
      </c>
      <c r="AW49" s="3" t="s">
        <v>729</v>
      </c>
      <c r="AX49" s="3" t="s">
        <v>729</v>
      </c>
      <c r="AY49" s="3" t="s">
        <v>730</v>
      </c>
      <c r="AZ49" s="3" t="s">
        <v>74</v>
      </c>
      <c r="BB49" s="3" t="s">
        <v>731</v>
      </c>
      <c r="BC49" s="3" t="s">
        <v>732</v>
      </c>
      <c r="BD49" s="3" t="s">
        <v>733</v>
      </c>
    </row>
    <row r="50" spans="1:56" ht="34.5" customHeight="1" x14ac:dyDescent="0.25">
      <c r="A50" s="7" t="s">
        <v>58</v>
      </c>
      <c r="B50" s="2" t="s">
        <v>734</v>
      </c>
      <c r="C50" s="2" t="s">
        <v>735</v>
      </c>
      <c r="D50" s="2" t="s">
        <v>736</v>
      </c>
      <c r="F50" s="3" t="s">
        <v>58</v>
      </c>
      <c r="G50" s="3" t="s">
        <v>59</v>
      </c>
      <c r="H50" s="3" t="s">
        <v>58</v>
      </c>
      <c r="I50" s="3" t="s">
        <v>58</v>
      </c>
      <c r="J50" s="3" t="s">
        <v>60</v>
      </c>
      <c r="K50" s="2" t="s">
        <v>737</v>
      </c>
      <c r="L50" s="2" t="s">
        <v>738</v>
      </c>
      <c r="M50" s="3" t="s">
        <v>739</v>
      </c>
      <c r="N50" s="2" t="s">
        <v>284</v>
      </c>
      <c r="O50" s="3" t="s">
        <v>64</v>
      </c>
      <c r="P50" s="3" t="s">
        <v>683</v>
      </c>
      <c r="R50" s="3" t="s">
        <v>66</v>
      </c>
      <c r="S50" s="4">
        <v>1</v>
      </c>
      <c r="T50" s="4">
        <v>1</v>
      </c>
      <c r="U50" s="5" t="s">
        <v>740</v>
      </c>
      <c r="V50" s="5" t="s">
        <v>740</v>
      </c>
      <c r="W50" s="5" t="s">
        <v>740</v>
      </c>
      <c r="X50" s="5" t="s">
        <v>740</v>
      </c>
      <c r="Y50" s="4">
        <v>352</v>
      </c>
      <c r="Z50" s="4">
        <v>266</v>
      </c>
      <c r="AA50" s="4">
        <v>288</v>
      </c>
      <c r="AB50" s="4">
        <v>4</v>
      </c>
      <c r="AC50" s="4">
        <v>4</v>
      </c>
      <c r="AD50" s="4">
        <v>15</v>
      </c>
      <c r="AE50" s="4">
        <v>15</v>
      </c>
      <c r="AF50" s="4">
        <v>4</v>
      </c>
      <c r="AG50" s="4">
        <v>4</v>
      </c>
      <c r="AH50" s="4">
        <v>4</v>
      </c>
      <c r="AI50" s="4">
        <v>4</v>
      </c>
      <c r="AJ50" s="4">
        <v>7</v>
      </c>
      <c r="AK50" s="4">
        <v>7</v>
      </c>
      <c r="AL50" s="4">
        <v>3</v>
      </c>
      <c r="AM50" s="4">
        <v>3</v>
      </c>
      <c r="AN50" s="4">
        <v>0</v>
      </c>
      <c r="AO50" s="4">
        <v>0</v>
      </c>
      <c r="AP50" s="3" t="s">
        <v>58</v>
      </c>
      <c r="AQ50" s="3" t="s">
        <v>69</v>
      </c>
      <c r="AR50" s="6" t="str">
        <f>HYPERLINK("http://catalog.hathitrust.org/Record/002646458","HathiTrust Record")</f>
        <v>HathiTrust Record</v>
      </c>
      <c r="AS50" s="6" t="str">
        <f>HYPERLINK("https://creighton-primo.hosted.exlibrisgroup.com/primo-explore/search?tab=default_tab&amp;search_scope=EVERYTHING&amp;vid=01CRU&amp;lang=en_US&amp;offset=0&amp;query=any,contains,991003946779702656","Catalog Record")</f>
        <v>Catalog Record</v>
      </c>
      <c r="AT50" s="6" t="str">
        <f>HYPERLINK("http://www.worldcat.org/oclc/18987230","WorldCat Record")</f>
        <v>WorldCat Record</v>
      </c>
      <c r="AU50" s="3" t="s">
        <v>741</v>
      </c>
      <c r="AV50" s="3" t="s">
        <v>742</v>
      </c>
      <c r="AW50" s="3" t="s">
        <v>743</v>
      </c>
      <c r="AX50" s="3" t="s">
        <v>743</v>
      </c>
      <c r="AY50" s="3" t="s">
        <v>744</v>
      </c>
      <c r="AZ50" s="3" t="s">
        <v>74</v>
      </c>
      <c r="BB50" s="3" t="s">
        <v>745</v>
      </c>
      <c r="BC50" s="3" t="s">
        <v>746</v>
      </c>
      <c r="BD50" s="3" t="s">
        <v>747</v>
      </c>
    </row>
    <row r="51" spans="1:56" ht="34.5" customHeight="1" x14ac:dyDescent="0.25">
      <c r="A51" s="7" t="s">
        <v>58</v>
      </c>
      <c r="B51" s="2" t="s">
        <v>748</v>
      </c>
      <c r="C51" s="2" t="s">
        <v>749</v>
      </c>
      <c r="D51" s="2" t="s">
        <v>750</v>
      </c>
      <c r="F51" s="3" t="s">
        <v>58</v>
      </c>
      <c r="G51" s="3" t="s">
        <v>59</v>
      </c>
      <c r="H51" s="3" t="s">
        <v>58</v>
      </c>
      <c r="I51" s="3" t="s">
        <v>58</v>
      </c>
      <c r="J51" s="3" t="s">
        <v>60</v>
      </c>
      <c r="K51" s="2" t="s">
        <v>751</v>
      </c>
      <c r="L51" s="2" t="s">
        <v>752</v>
      </c>
      <c r="M51" s="3" t="s">
        <v>224</v>
      </c>
      <c r="O51" s="3" t="s">
        <v>64</v>
      </c>
      <c r="P51" s="3" t="s">
        <v>147</v>
      </c>
      <c r="R51" s="3" t="s">
        <v>66</v>
      </c>
      <c r="S51" s="4">
        <v>1</v>
      </c>
      <c r="T51" s="4">
        <v>1</v>
      </c>
      <c r="U51" s="5" t="s">
        <v>753</v>
      </c>
      <c r="V51" s="5" t="s">
        <v>753</v>
      </c>
      <c r="W51" s="5" t="s">
        <v>754</v>
      </c>
      <c r="X51" s="5" t="s">
        <v>754</v>
      </c>
      <c r="Y51" s="4">
        <v>617</v>
      </c>
      <c r="Z51" s="4">
        <v>442</v>
      </c>
      <c r="AA51" s="4">
        <v>610</v>
      </c>
      <c r="AB51" s="4">
        <v>3</v>
      </c>
      <c r="AC51" s="4">
        <v>3</v>
      </c>
      <c r="AD51" s="4">
        <v>15</v>
      </c>
      <c r="AE51" s="4">
        <v>23</v>
      </c>
      <c r="AF51" s="4">
        <v>6</v>
      </c>
      <c r="AG51" s="4">
        <v>10</v>
      </c>
      <c r="AH51" s="4">
        <v>4</v>
      </c>
      <c r="AI51" s="4">
        <v>7</v>
      </c>
      <c r="AJ51" s="4">
        <v>8</v>
      </c>
      <c r="AK51" s="4">
        <v>12</v>
      </c>
      <c r="AL51" s="4">
        <v>2</v>
      </c>
      <c r="AM51" s="4">
        <v>2</v>
      </c>
      <c r="AN51" s="4">
        <v>0</v>
      </c>
      <c r="AO51" s="4">
        <v>0</v>
      </c>
      <c r="AP51" s="3" t="s">
        <v>58</v>
      </c>
      <c r="AQ51" s="3" t="s">
        <v>58</v>
      </c>
      <c r="AS51" s="6" t="str">
        <f>HYPERLINK("https://creighton-primo.hosted.exlibrisgroup.com/primo-explore/search?tab=default_tab&amp;search_scope=EVERYTHING&amp;vid=01CRU&amp;lang=en_US&amp;offset=0&amp;query=any,contains,991000122919702656","Catalog Record")</f>
        <v>Catalog Record</v>
      </c>
      <c r="AT51" s="6" t="str">
        <f>HYPERLINK("http://www.worldcat.org/oclc/9081015","WorldCat Record")</f>
        <v>WorldCat Record</v>
      </c>
      <c r="AU51" s="3" t="s">
        <v>755</v>
      </c>
      <c r="AV51" s="3" t="s">
        <v>756</v>
      </c>
      <c r="AW51" s="3" t="s">
        <v>757</v>
      </c>
      <c r="AX51" s="3" t="s">
        <v>757</v>
      </c>
      <c r="AY51" s="3" t="s">
        <v>758</v>
      </c>
      <c r="AZ51" s="3" t="s">
        <v>74</v>
      </c>
      <c r="BB51" s="3" t="s">
        <v>759</v>
      </c>
      <c r="BC51" s="3" t="s">
        <v>760</v>
      </c>
      <c r="BD51" s="3" t="s">
        <v>761</v>
      </c>
    </row>
    <row r="52" spans="1:56" ht="34.5" customHeight="1" x14ac:dyDescent="0.25">
      <c r="A52" s="7" t="s">
        <v>58</v>
      </c>
      <c r="B52" s="2" t="s">
        <v>762</v>
      </c>
      <c r="C52" s="2" t="s">
        <v>763</v>
      </c>
      <c r="D52" s="2" t="s">
        <v>764</v>
      </c>
      <c r="F52" s="3" t="s">
        <v>58</v>
      </c>
      <c r="G52" s="3" t="s">
        <v>59</v>
      </c>
      <c r="H52" s="3" t="s">
        <v>58</v>
      </c>
      <c r="I52" s="3" t="s">
        <v>58</v>
      </c>
      <c r="J52" s="3" t="s">
        <v>60</v>
      </c>
      <c r="K52" s="2" t="s">
        <v>765</v>
      </c>
      <c r="L52" s="2" t="s">
        <v>766</v>
      </c>
      <c r="M52" s="3" t="s">
        <v>63</v>
      </c>
      <c r="O52" s="3" t="s">
        <v>64</v>
      </c>
      <c r="P52" s="3" t="s">
        <v>65</v>
      </c>
      <c r="R52" s="3" t="s">
        <v>66</v>
      </c>
      <c r="S52" s="4">
        <v>1</v>
      </c>
      <c r="T52" s="4">
        <v>1</v>
      </c>
      <c r="U52" s="5" t="s">
        <v>767</v>
      </c>
      <c r="V52" s="5" t="s">
        <v>767</v>
      </c>
      <c r="W52" s="5" t="s">
        <v>767</v>
      </c>
      <c r="X52" s="5" t="s">
        <v>767</v>
      </c>
      <c r="Y52" s="4">
        <v>390</v>
      </c>
      <c r="Z52" s="4">
        <v>369</v>
      </c>
      <c r="AA52" s="4">
        <v>388</v>
      </c>
      <c r="AB52" s="4">
        <v>1</v>
      </c>
      <c r="AC52" s="4">
        <v>1</v>
      </c>
      <c r="AD52" s="4">
        <v>15</v>
      </c>
      <c r="AE52" s="4">
        <v>15</v>
      </c>
      <c r="AF52" s="4">
        <v>3</v>
      </c>
      <c r="AG52" s="4">
        <v>3</v>
      </c>
      <c r="AH52" s="4">
        <v>4</v>
      </c>
      <c r="AI52" s="4">
        <v>4</v>
      </c>
      <c r="AJ52" s="4">
        <v>11</v>
      </c>
      <c r="AK52" s="4">
        <v>11</v>
      </c>
      <c r="AL52" s="4">
        <v>0</v>
      </c>
      <c r="AM52" s="4">
        <v>0</v>
      </c>
      <c r="AN52" s="4">
        <v>0</v>
      </c>
      <c r="AO52" s="4">
        <v>0</v>
      </c>
      <c r="AP52" s="3" t="s">
        <v>58</v>
      </c>
      <c r="AQ52" s="3" t="s">
        <v>69</v>
      </c>
      <c r="AR52" s="6" t="str">
        <f>HYPERLINK("http://catalog.hathitrust.org/Record/000408812","HathiTrust Record")</f>
        <v>HathiTrust Record</v>
      </c>
      <c r="AS52" s="6" t="str">
        <f>HYPERLINK("https://creighton-primo.hosted.exlibrisgroup.com/primo-explore/search?tab=default_tab&amp;search_scope=EVERYTHING&amp;vid=01CRU&amp;lang=en_US&amp;offset=0&amp;query=any,contains,991004425529702656","Catalog Record")</f>
        <v>Catalog Record</v>
      </c>
      <c r="AT52" s="6" t="str">
        <f>HYPERLINK("http://www.worldcat.org/oclc/502134","WorldCat Record")</f>
        <v>WorldCat Record</v>
      </c>
      <c r="AU52" s="3" t="s">
        <v>768</v>
      </c>
      <c r="AV52" s="3" t="s">
        <v>769</v>
      </c>
      <c r="AW52" s="3" t="s">
        <v>770</v>
      </c>
      <c r="AX52" s="3" t="s">
        <v>770</v>
      </c>
      <c r="AY52" s="3" t="s">
        <v>771</v>
      </c>
      <c r="AZ52" s="3" t="s">
        <v>74</v>
      </c>
      <c r="BB52" s="3" t="s">
        <v>772</v>
      </c>
      <c r="BC52" s="3" t="s">
        <v>773</v>
      </c>
      <c r="BD52" s="3" t="s">
        <v>774</v>
      </c>
    </row>
    <row r="53" spans="1:56" ht="34.5" customHeight="1" x14ac:dyDescent="0.25">
      <c r="A53" s="7" t="s">
        <v>58</v>
      </c>
      <c r="B53" s="2" t="s">
        <v>775</v>
      </c>
      <c r="C53" s="2" t="s">
        <v>776</v>
      </c>
      <c r="D53" s="2" t="s">
        <v>777</v>
      </c>
      <c r="F53" s="3" t="s">
        <v>58</v>
      </c>
      <c r="G53" s="3" t="s">
        <v>59</v>
      </c>
      <c r="H53" s="3" t="s">
        <v>58</v>
      </c>
      <c r="I53" s="3" t="s">
        <v>69</v>
      </c>
      <c r="J53" s="3" t="s">
        <v>60</v>
      </c>
      <c r="K53" s="2" t="s">
        <v>778</v>
      </c>
      <c r="L53" s="2" t="s">
        <v>779</v>
      </c>
      <c r="M53" s="3" t="s">
        <v>99</v>
      </c>
      <c r="O53" s="3" t="s">
        <v>64</v>
      </c>
      <c r="P53" s="3" t="s">
        <v>65</v>
      </c>
      <c r="R53" s="3" t="s">
        <v>66</v>
      </c>
      <c r="S53" s="4">
        <v>4</v>
      </c>
      <c r="T53" s="4">
        <v>4</v>
      </c>
      <c r="U53" s="5" t="s">
        <v>780</v>
      </c>
      <c r="V53" s="5" t="s">
        <v>780</v>
      </c>
      <c r="W53" s="5" t="s">
        <v>781</v>
      </c>
      <c r="X53" s="5" t="s">
        <v>781</v>
      </c>
      <c r="Y53" s="4">
        <v>585</v>
      </c>
      <c r="Z53" s="4">
        <v>498</v>
      </c>
      <c r="AA53" s="4">
        <v>646</v>
      </c>
      <c r="AB53" s="4">
        <v>2</v>
      </c>
      <c r="AC53" s="4">
        <v>3</v>
      </c>
      <c r="AD53" s="4">
        <v>17</v>
      </c>
      <c r="AE53" s="4">
        <v>21</v>
      </c>
      <c r="AF53" s="4">
        <v>9</v>
      </c>
      <c r="AG53" s="4">
        <v>9</v>
      </c>
      <c r="AH53" s="4">
        <v>3</v>
      </c>
      <c r="AI53" s="4">
        <v>6</v>
      </c>
      <c r="AJ53" s="4">
        <v>6</v>
      </c>
      <c r="AK53" s="4">
        <v>7</v>
      </c>
      <c r="AL53" s="4">
        <v>1</v>
      </c>
      <c r="AM53" s="4">
        <v>2</v>
      </c>
      <c r="AN53" s="4">
        <v>0</v>
      </c>
      <c r="AO53" s="4">
        <v>0</v>
      </c>
      <c r="AP53" s="3" t="s">
        <v>58</v>
      </c>
      <c r="AQ53" s="3" t="s">
        <v>69</v>
      </c>
      <c r="AR53" s="6" t="str">
        <f>HYPERLINK("http://catalog.hathitrust.org/Record/000695876","HathiTrust Record")</f>
        <v>HathiTrust Record</v>
      </c>
      <c r="AS53" s="6" t="str">
        <f>HYPERLINK("https://creighton-primo.hosted.exlibrisgroup.com/primo-explore/search?tab=default_tab&amp;search_scope=EVERYTHING&amp;vid=01CRU&amp;lang=en_US&amp;offset=0&amp;query=any,contains,991004830939702656","Catalog Record")</f>
        <v>Catalog Record</v>
      </c>
      <c r="AT53" s="6" t="str">
        <f>HYPERLINK("http://www.worldcat.org/oclc/5410526","WorldCat Record")</f>
        <v>WorldCat Record</v>
      </c>
      <c r="AU53" s="3" t="s">
        <v>782</v>
      </c>
      <c r="AV53" s="3" t="s">
        <v>783</v>
      </c>
      <c r="AW53" s="3" t="s">
        <v>784</v>
      </c>
      <c r="AX53" s="3" t="s">
        <v>784</v>
      </c>
      <c r="AY53" s="3" t="s">
        <v>785</v>
      </c>
      <c r="AZ53" s="3" t="s">
        <v>74</v>
      </c>
      <c r="BB53" s="3" t="s">
        <v>786</v>
      </c>
      <c r="BC53" s="3" t="s">
        <v>787</v>
      </c>
      <c r="BD53" s="3" t="s">
        <v>788</v>
      </c>
    </row>
    <row r="54" spans="1:56" ht="34.5" customHeight="1" x14ac:dyDescent="0.25">
      <c r="A54" s="7" t="s">
        <v>58</v>
      </c>
      <c r="B54" s="2" t="s">
        <v>789</v>
      </c>
      <c r="C54" s="2" t="s">
        <v>790</v>
      </c>
      <c r="D54" s="2" t="s">
        <v>791</v>
      </c>
      <c r="F54" s="3" t="s">
        <v>58</v>
      </c>
      <c r="G54" s="3" t="s">
        <v>59</v>
      </c>
      <c r="H54" s="3" t="s">
        <v>58</v>
      </c>
      <c r="I54" s="3" t="s">
        <v>58</v>
      </c>
      <c r="J54" s="3" t="s">
        <v>60</v>
      </c>
      <c r="K54" s="2" t="s">
        <v>792</v>
      </c>
      <c r="L54" s="2" t="s">
        <v>793</v>
      </c>
      <c r="M54" s="3" t="s">
        <v>794</v>
      </c>
      <c r="O54" s="3" t="s">
        <v>64</v>
      </c>
      <c r="P54" s="3" t="s">
        <v>795</v>
      </c>
      <c r="R54" s="3" t="s">
        <v>66</v>
      </c>
      <c r="S54" s="4">
        <v>4</v>
      </c>
      <c r="T54" s="4">
        <v>4</v>
      </c>
      <c r="U54" s="5" t="s">
        <v>796</v>
      </c>
      <c r="V54" s="5" t="s">
        <v>796</v>
      </c>
      <c r="W54" s="5" t="s">
        <v>68</v>
      </c>
      <c r="X54" s="5" t="s">
        <v>68</v>
      </c>
      <c r="Y54" s="4">
        <v>110</v>
      </c>
      <c r="Z54" s="4">
        <v>110</v>
      </c>
      <c r="AA54" s="4">
        <v>229</v>
      </c>
      <c r="AB54" s="4">
        <v>3</v>
      </c>
      <c r="AC54" s="4">
        <v>4</v>
      </c>
      <c r="AD54" s="4">
        <v>6</v>
      </c>
      <c r="AE54" s="4">
        <v>8</v>
      </c>
      <c r="AF54" s="4">
        <v>2</v>
      </c>
      <c r="AG54" s="4">
        <v>2</v>
      </c>
      <c r="AH54" s="4">
        <v>0</v>
      </c>
      <c r="AI54" s="4">
        <v>1</v>
      </c>
      <c r="AJ54" s="4">
        <v>3</v>
      </c>
      <c r="AK54" s="4">
        <v>4</v>
      </c>
      <c r="AL54" s="4">
        <v>2</v>
      </c>
      <c r="AM54" s="4">
        <v>3</v>
      </c>
      <c r="AN54" s="4">
        <v>0</v>
      </c>
      <c r="AO54" s="4">
        <v>0</v>
      </c>
      <c r="AP54" s="3" t="s">
        <v>58</v>
      </c>
      <c r="AQ54" s="3" t="s">
        <v>58</v>
      </c>
      <c r="AS54" s="6" t="str">
        <f>HYPERLINK("https://creighton-primo.hosted.exlibrisgroup.com/primo-explore/search?tab=default_tab&amp;search_scope=EVERYTHING&amp;vid=01CRU&amp;lang=en_US&amp;offset=0&amp;query=any,contains,991003906369702656","Catalog Record")</f>
        <v>Catalog Record</v>
      </c>
      <c r="AT54" s="6" t="str">
        <f>HYPERLINK("http://www.worldcat.org/oclc/1839552","WorldCat Record")</f>
        <v>WorldCat Record</v>
      </c>
      <c r="AU54" s="3" t="s">
        <v>797</v>
      </c>
      <c r="AV54" s="3" t="s">
        <v>798</v>
      </c>
      <c r="AW54" s="3" t="s">
        <v>799</v>
      </c>
      <c r="AX54" s="3" t="s">
        <v>799</v>
      </c>
      <c r="AY54" s="3" t="s">
        <v>800</v>
      </c>
      <c r="AZ54" s="3" t="s">
        <v>74</v>
      </c>
      <c r="BC54" s="3" t="s">
        <v>801</v>
      </c>
      <c r="BD54" s="3" t="s">
        <v>802</v>
      </c>
    </row>
    <row r="55" spans="1:56" ht="34.5" customHeight="1" x14ac:dyDescent="0.25">
      <c r="A55" s="7" t="s">
        <v>58</v>
      </c>
      <c r="B55" s="2" t="s">
        <v>803</v>
      </c>
      <c r="C55" s="2" t="s">
        <v>804</v>
      </c>
      <c r="D55" s="2" t="s">
        <v>805</v>
      </c>
      <c r="F55" s="3" t="s">
        <v>58</v>
      </c>
      <c r="G55" s="3" t="s">
        <v>59</v>
      </c>
      <c r="H55" s="3" t="s">
        <v>58</v>
      </c>
      <c r="I55" s="3" t="s">
        <v>58</v>
      </c>
      <c r="J55" s="3" t="s">
        <v>60</v>
      </c>
      <c r="K55" s="2" t="s">
        <v>806</v>
      </c>
      <c r="L55" s="2" t="s">
        <v>807</v>
      </c>
      <c r="M55" s="3" t="s">
        <v>808</v>
      </c>
      <c r="O55" s="3" t="s">
        <v>64</v>
      </c>
      <c r="P55" s="3" t="s">
        <v>670</v>
      </c>
      <c r="R55" s="3" t="s">
        <v>66</v>
      </c>
      <c r="S55" s="4">
        <v>2</v>
      </c>
      <c r="T55" s="4">
        <v>2</v>
      </c>
      <c r="U55" s="5" t="s">
        <v>67</v>
      </c>
      <c r="V55" s="5" t="s">
        <v>67</v>
      </c>
      <c r="W55" s="5" t="s">
        <v>68</v>
      </c>
      <c r="X55" s="5" t="s">
        <v>68</v>
      </c>
      <c r="Y55" s="4">
        <v>69</v>
      </c>
      <c r="Z55" s="4">
        <v>57</v>
      </c>
      <c r="AA55" s="4">
        <v>527</v>
      </c>
      <c r="AB55" s="4">
        <v>1</v>
      </c>
      <c r="AC55" s="4">
        <v>4</v>
      </c>
      <c r="AD55" s="4">
        <v>2</v>
      </c>
      <c r="AE55" s="4">
        <v>16</v>
      </c>
      <c r="AF55" s="4">
        <v>1</v>
      </c>
      <c r="AG55" s="4">
        <v>6</v>
      </c>
      <c r="AH55" s="4">
        <v>0</v>
      </c>
      <c r="AI55" s="4">
        <v>0</v>
      </c>
      <c r="AJ55" s="4">
        <v>1</v>
      </c>
      <c r="AK55" s="4">
        <v>8</v>
      </c>
      <c r="AL55" s="4">
        <v>0</v>
      </c>
      <c r="AM55" s="4">
        <v>3</v>
      </c>
      <c r="AN55" s="4">
        <v>0</v>
      </c>
      <c r="AO55" s="4">
        <v>0</v>
      </c>
      <c r="AP55" s="3" t="s">
        <v>58</v>
      </c>
      <c r="AQ55" s="3" t="s">
        <v>58</v>
      </c>
      <c r="AR55" s="6" t="str">
        <f>HYPERLINK("http://catalog.hathitrust.org/Record/102495569","HathiTrust Record")</f>
        <v>HathiTrust Record</v>
      </c>
      <c r="AS55" s="6" t="str">
        <f>HYPERLINK("https://creighton-primo.hosted.exlibrisgroup.com/primo-explore/search?tab=default_tab&amp;search_scope=EVERYTHING&amp;vid=01CRU&amp;lang=en_US&amp;offset=0&amp;query=any,contains,991002894019702656","Catalog Record")</f>
        <v>Catalog Record</v>
      </c>
      <c r="AT55" s="6" t="str">
        <f>HYPERLINK("http://www.worldcat.org/oclc/512926","WorldCat Record")</f>
        <v>WorldCat Record</v>
      </c>
      <c r="AU55" s="3" t="s">
        <v>809</v>
      </c>
      <c r="AV55" s="3" t="s">
        <v>810</v>
      </c>
      <c r="AW55" s="3" t="s">
        <v>811</v>
      </c>
      <c r="AX55" s="3" t="s">
        <v>811</v>
      </c>
      <c r="AY55" s="3" t="s">
        <v>812</v>
      </c>
      <c r="AZ55" s="3" t="s">
        <v>74</v>
      </c>
      <c r="BC55" s="3" t="s">
        <v>813</v>
      </c>
      <c r="BD55" s="3" t="s">
        <v>814</v>
      </c>
    </row>
    <row r="56" spans="1:56" ht="34.5" customHeight="1" x14ac:dyDescent="0.25">
      <c r="A56" s="7" t="s">
        <v>58</v>
      </c>
      <c r="B56" s="2" t="s">
        <v>815</v>
      </c>
      <c r="C56" s="2" t="s">
        <v>816</v>
      </c>
      <c r="D56" s="2" t="s">
        <v>817</v>
      </c>
      <c r="F56" s="3" t="s">
        <v>58</v>
      </c>
      <c r="G56" s="3" t="s">
        <v>59</v>
      </c>
      <c r="H56" s="3" t="s">
        <v>58</v>
      </c>
      <c r="I56" s="3" t="s">
        <v>58</v>
      </c>
      <c r="J56" s="3" t="s">
        <v>60</v>
      </c>
      <c r="L56" s="2" t="s">
        <v>818</v>
      </c>
      <c r="M56" s="3" t="s">
        <v>819</v>
      </c>
      <c r="N56" s="2" t="s">
        <v>284</v>
      </c>
      <c r="O56" s="3" t="s">
        <v>64</v>
      </c>
      <c r="P56" s="3" t="s">
        <v>65</v>
      </c>
      <c r="R56" s="3" t="s">
        <v>66</v>
      </c>
      <c r="S56" s="4">
        <v>11</v>
      </c>
      <c r="T56" s="4">
        <v>11</v>
      </c>
      <c r="U56" s="5" t="s">
        <v>820</v>
      </c>
      <c r="V56" s="5" t="s">
        <v>820</v>
      </c>
      <c r="W56" s="5" t="s">
        <v>821</v>
      </c>
      <c r="X56" s="5" t="s">
        <v>821</v>
      </c>
      <c r="Y56" s="4">
        <v>1187</v>
      </c>
      <c r="Z56" s="4">
        <v>1114</v>
      </c>
      <c r="AA56" s="4">
        <v>1631</v>
      </c>
      <c r="AB56" s="4">
        <v>9</v>
      </c>
      <c r="AC56" s="4">
        <v>13</v>
      </c>
      <c r="AD56" s="4">
        <v>25</v>
      </c>
      <c r="AE56" s="4">
        <v>38</v>
      </c>
      <c r="AF56" s="4">
        <v>8</v>
      </c>
      <c r="AG56" s="4">
        <v>13</v>
      </c>
      <c r="AH56" s="4">
        <v>5</v>
      </c>
      <c r="AI56" s="4">
        <v>7</v>
      </c>
      <c r="AJ56" s="4">
        <v>13</v>
      </c>
      <c r="AK56" s="4">
        <v>19</v>
      </c>
      <c r="AL56" s="4">
        <v>4</v>
      </c>
      <c r="AM56" s="4">
        <v>7</v>
      </c>
      <c r="AN56" s="4">
        <v>0</v>
      </c>
      <c r="AO56" s="4">
        <v>0</v>
      </c>
      <c r="AP56" s="3" t="s">
        <v>58</v>
      </c>
      <c r="AQ56" s="3" t="s">
        <v>69</v>
      </c>
      <c r="AR56" s="6" t="str">
        <f>HYPERLINK("http://catalog.hathitrust.org/Record/000408719","HathiTrust Record")</f>
        <v>HathiTrust Record</v>
      </c>
      <c r="AS56" s="6" t="str">
        <f>HYPERLINK("https://creighton-primo.hosted.exlibrisgroup.com/primo-explore/search?tab=default_tab&amp;search_scope=EVERYTHING&amp;vid=01CRU&amp;lang=en_US&amp;offset=0&amp;query=any,contains,991005208969702656","Catalog Record")</f>
        <v>Catalog Record</v>
      </c>
      <c r="AT56" s="6" t="str">
        <f>HYPERLINK("http://www.worldcat.org/oclc/8139409","WorldCat Record")</f>
        <v>WorldCat Record</v>
      </c>
      <c r="AU56" s="3" t="s">
        <v>822</v>
      </c>
      <c r="AV56" s="3" t="s">
        <v>823</v>
      </c>
      <c r="AW56" s="3" t="s">
        <v>824</v>
      </c>
      <c r="AX56" s="3" t="s">
        <v>824</v>
      </c>
      <c r="AY56" s="3" t="s">
        <v>825</v>
      </c>
      <c r="AZ56" s="3" t="s">
        <v>74</v>
      </c>
      <c r="BB56" s="3" t="s">
        <v>826</v>
      </c>
      <c r="BC56" s="3" t="s">
        <v>827</v>
      </c>
      <c r="BD56" s="3" t="s">
        <v>828</v>
      </c>
    </row>
    <row r="57" spans="1:56" ht="34.5" customHeight="1" x14ac:dyDescent="0.25">
      <c r="A57" s="7" t="s">
        <v>58</v>
      </c>
      <c r="B57" s="2" t="s">
        <v>829</v>
      </c>
      <c r="C57" s="2" t="s">
        <v>830</v>
      </c>
      <c r="D57" s="2" t="s">
        <v>831</v>
      </c>
      <c r="F57" s="3" t="s">
        <v>58</v>
      </c>
      <c r="G57" s="3" t="s">
        <v>59</v>
      </c>
      <c r="H57" s="3" t="s">
        <v>58</v>
      </c>
      <c r="I57" s="3" t="s">
        <v>58</v>
      </c>
      <c r="J57" s="3" t="s">
        <v>60</v>
      </c>
      <c r="K57" s="2" t="s">
        <v>832</v>
      </c>
      <c r="L57" s="2" t="s">
        <v>833</v>
      </c>
      <c r="M57" s="3" t="s">
        <v>494</v>
      </c>
      <c r="O57" s="3" t="s">
        <v>64</v>
      </c>
      <c r="P57" s="3" t="s">
        <v>65</v>
      </c>
      <c r="Q57" s="2" t="s">
        <v>834</v>
      </c>
      <c r="R57" s="3" t="s">
        <v>66</v>
      </c>
      <c r="S57" s="4">
        <v>1</v>
      </c>
      <c r="T57" s="4">
        <v>1</v>
      </c>
      <c r="U57" s="5" t="s">
        <v>835</v>
      </c>
      <c r="V57" s="5" t="s">
        <v>835</v>
      </c>
      <c r="W57" s="5" t="s">
        <v>836</v>
      </c>
      <c r="X57" s="5" t="s">
        <v>836</v>
      </c>
      <c r="Y57" s="4">
        <v>744</v>
      </c>
      <c r="Z57" s="4">
        <v>677</v>
      </c>
      <c r="AA57" s="4">
        <v>685</v>
      </c>
      <c r="AB57" s="4">
        <v>8</v>
      </c>
      <c r="AC57" s="4">
        <v>8</v>
      </c>
      <c r="AD57" s="4">
        <v>14</v>
      </c>
      <c r="AE57" s="4">
        <v>14</v>
      </c>
      <c r="AF57" s="4">
        <v>6</v>
      </c>
      <c r="AG57" s="4">
        <v>6</v>
      </c>
      <c r="AH57" s="4">
        <v>2</v>
      </c>
      <c r="AI57" s="4">
        <v>2</v>
      </c>
      <c r="AJ57" s="4">
        <v>5</v>
      </c>
      <c r="AK57" s="4">
        <v>5</v>
      </c>
      <c r="AL57" s="4">
        <v>4</v>
      </c>
      <c r="AM57" s="4">
        <v>4</v>
      </c>
      <c r="AN57" s="4">
        <v>0</v>
      </c>
      <c r="AO57" s="4">
        <v>0</v>
      </c>
      <c r="AP57" s="3" t="s">
        <v>58</v>
      </c>
      <c r="AQ57" s="3" t="s">
        <v>69</v>
      </c>
      <c r="AR57" s="6" t="str">
        <f>HYPERLINK("http://catalog.hathitrust.org/Record/000036987","HathiTrust Record")</f>
        <v>HathiTrust Record</v>
      </c>
      <c r="AS57" s="6" t="str">
        <f>HYPERLINK("https://creighton-primo.hosted.exlibrisgroup.com/primo-explore/search?tab=default_tab&amp;search_scope=EVERYTHING&amp;vid=01CRU&amp;lang=en_US&amp;offset=0&amp;query=any,contains,991003695569702656","Catalog Record")</f>
        <v>Catalog Record</v>
      </c>
      <c r="AT57" s="6" t="str">
        <f>HYPERLINK("http://www.worldcat.org/oclc/1327605","WorldCat Record")</f>
        <v>WorldCat Record</v>
      </c>
      <c r="AU57" s="3" t="s">
        <v>837</v>
      </c>
      <c r="AV57" s="3" t="s">
        <v>838</v>
      </c>
      <c r="AW57" s="3" t="s">
        <v>839</v>
      </c>
      <c r="AX57" s="3" t="s">
        <v>839</v>
      </c>
      <c r="AY57" s="3" t="s">
        <v>840</v>
      </c>
      <c r="AZ57" s="3" t="s">
        <v>74</v>
      </c>
      <c r="BB57" s="3" t="s">
        <v>841</v>
      </c>
      <c r="BC57" s="3" t="s">
        <v>842</v>
      </c>
      <c r="BD57" s="3" t="s">
        <v>843</v>
      </c>
    </row>
    <row r="58" spans="1:56" ht="34.5" customHeight="1" x14ac:dyDescent="0.25">
      <c r="A58" s="7" t="s">
        <v>58</v>
      </c>
      <c r="B58" s="2" t="s">
        <v>844</v>
      </c>
      <c r="C58" s="2" t="s">
        <v>845</v>
      </c>
      <c r="D58" s="2" t="s">
        <v>846</v>
      </c>
      <c r="F58" s="3" t="s">
        <v>58</v>
      </c>
      <c r="G58" s="3" t="s">
        <v>59</v>
      </c>
      <c r="H58" s="3" t="s">
        <v>58</v>
      </c>
      <c r="I58" s="3" t="s">
        <v>58</v>
      </c>
      <c r="J58" s="3" t="s">
        <v>60</v>
      </c>
      <c r="K58" s="2" t="s">
        <v>847</v>
      </c>
      <c r="L58" s="2" t="s">
        <v>848</v>
      </c>
      <c r="M58" s="3" t="s">
        <v>550</v>
      </c>
      <c r="O58" s="3" t="s">
        <v>64</v>
      </c>
      <c r="P58" s="3" t="s">
        <v>65</v>
      </c>
      <c r="R58" s="3" t="s">
        <v>66</v>
      </c>
      <c r="S58" s="4">
        <v>1</v>
      </c>
      <c r="T58" s="4">
        <v>1</v>
      </c>
      <c r="U58" s="5" t="s">
        <v>299</v>
      </c>
      <c r="V58" s="5" t="s">
        <v>299</v>
      </c>
      <c r="W58" s="5" t="s">
        <v>849</v>
      </c>
      <c r="X58" s="5" t="s">
        <v>849</v>
      </c>
      <c r="Y58" s="4">
        <v>725</v>
      </c>
      <c r="Z58" s="4">
        <v>611</v>
      </c>
      <c r="AA58" s="4">
        <v>619</v>
      </c>
      <c r="AB58" s="4">
        <v>4</v>
      </c>
      <c r="AC58" s="4">
        <v>4</v>
      </c>
      <c r="AD58" s="4">
        <v>25</v>
      </c>
      <c r="AE58" s="4">
        <v>25</v>
      </c>
      <c r="AF58" s="4">
        <v>8</v>
      </c>
      <c r="AG58" s="4">
        <v>8</v>
      </c>
      <c r="AH58" s="4">
        <v>5</v>
      </c>
      <c r="AI58" s="4">
        <v>5</v>
      </c>
      <c r="AJ58" s="4">
        <v>12</v>
      </c>
      <c r="AK58" s="4">
        <v>12</v>
      </c>
      <c r="AL58" s="4">
        <v>3</v>
      </c>
      <c r="AM58" s="4">
        <v>3</v>
      </c>
      <c r="AN58" s="4">
        <v>0</v>
      </c>
      <c r="AO58" s="4">
        <v>0</v>
      </c>
      <c r="AP58" s="3" t="s">
        <v>58</v>
      </c>
      <c r="AQ58" s="3" t="s">
        <v>69</v>
      </c>
      <c r="AR58" s="6" t="str">
        <f>HYPERLINK("http://catalog.hathitrust.org/Record/000602247","HathiTrust Record")</f>
        <v>HathiTrust Record</v>
      </c>
      <c r="AS58" s="6" t="str">
        <f>HYPERLINK("https://creighton-primo.hosted.exlibrisgroup.com/primo-explore/search?tab=default_tab&amp;search_scope=EVERYTHING&amp;vid=01CRU&amp;lang=en_US&amp;offset=0&amp;query=any,contains,991001180229702656","Catalog Record")</f>
        <v>Catalog Record</v>
      </c>
      <c r="AT58" s="6" t="str">
        <f>HYPERLINK("http://www.worldcat.org/oclc/189968","WorldCat Record")</f>
        <v>WorldCat Record</v>
      </c>
      <c r="AU58" s="3" t="s">
        <v>850</v>
      </c>
      <c r="AV58" s="3" t="s">
        <v>851</v>
      </c>
      <c r="AW58" s="3" t="s">
        <v>852</v>
      </c>
      <c r="AX58" s="3" t="s">
        <v>852</v>
      </c>
      <c r="AY58" s="3" t="s">
        <v>853</v>
      </c>
      <c r="AZ58" s="3" t="s">
        <v>74</v>
      </c>
      <c r="BC58" s="3" t="s">
        <v>854</v>
      </c>
      <c r="BD58" s="3" t="s">
        <v>855</v>
      </c>
    </row>
    <row r="59" spans="1:56" ht="34.5" customHeight="1" x14ac:dyDescent="0.25">
      <c r="A59" s="7" t="s">
        <v>58</v>
      </c>
      <c r="B59" s="2" t="s">
        <v>856</v>
      </c>
      <c r="C59" s="2" t="s">
        <v>857</v>
      </c>
      <c r="D59" s="2" t="s">
        <v>858</v>
      </c>
      <c r="F59" s="3" t="s">
        <v>58</v>
      </c>
      <c r="G59" s="3" t="s">
        <v>59</v>
      </c>
      <c r="H59" s="3" t="s">
        <v>58</v>
      </c>
      <c r="I59" s="3" t="s">
        <v>58</v>
      </c>
      <c r="J59" s="3" t="s">
        <v>60</v>
      </c>
      <c r="L59" s="2" t="s">
        <v>859</v>
      </c>
      <c r="M59" s="3" t="s">
        <v>354</v>
      </c>
      <c r="O59" s="3" t="s">
        <v>64</v>
      </c>
      <c r="P59" s="3" t="s">
        <v>65</v>
      </c>
      <c r="R59" s="3" t="s">
        <v>66</v>
      </c>
      <c r="S59" s="4">
        <v>1</v>
      </c>
      <c r="T59" s="4">
        <v>1</v>
      </c>
      <c r="U59" s="5" t="s">
        <v>860</v>
      </c>
      <c r="V59" s="5" t="s">
        <v>860</v>
      </c>
      <c r="W59" s="5" t="s">
        <v>68</v>
      </c>
      <c r="X59" s="5" t="s">
        <v>68</v>
      </c>
      <c r="Y59" s="4">
        <v>959</v>
      </c>
      <c r="Z59" s="4">
        <v>888</v>
      </c>
      <c r="AA59" s="4">
        <v>1351</v>
      </c>
      <c r="AB59" s="4">
        <v>10</v>
      </c>
      <c r="AC59" s="4">
        <v>11</v>
      </c>
      <c r="AD59" s="4">
        <v>26</v>
      </c>
      <c r="AE59" s="4">
        <v>38</v>
      </c>
      <c r="AF59" s="4">
        <v>9</v>
      </c>
      <c r="AG59" s="4">
        <v>19</v>
      </c>
      <c r="AH59" s="4">
        <v>4</v>
      </c>
      <c r="AI59" s="4">
        <v>5</v>
      </c>
      <c r="AJ59" s="4">
        <v>11</v>
      </c>
      <c r="AK59" s="4">
        <v>16</v>
      </c>
      <c r="AL59" s="4">
        <v>6</v>
      </c>
      <c r="AM59" s="4">
        <v>6</v>
      </c>
      <c r="AN59" s="4">
        <v>0</v>
      </c>
      <c r="AO59" s="4">
        <v>0</v>
      </c>
      <c r="AP59" s="3" t="s">
        <v>58</v>
      </c>
      <c r="AQ59" s="3" t="s">
        <v>58</v>
      </c>
      <c r="AR59" s="6" t="str">
        <f>HYPERLINK("http://catalog.hathitrust.org/Record/101736148","HathiTrust Record")</f>
        <v>HathiTrust Record</v>
      </c>
      <c r="AS59" s="6" t="str">
        <f>HYPERLINK("https://creighton-primo.hosted.exlibrisgroup.com/primo-explore/search?tab=default_tab&amp;search_scope=EVERYTHING&amp;vid=01CRU&amp;lang=en_US&amp;offset=0&amp;query=any,contains,991003643439702656","Catalog Record")</f>
        <v>Catalog Record</v>
      </c>
      <c r="AT59" s="6" t="str">
        <f>HYPERLINK("http://www.worldcat.org/oclc/1242161","WorldCat Record")</f>
        <v>WorldCat Record</v>
      </c>
      <c r="AU59" s="3" t="s">
        <v>861</v>
      </c>
      <c r="AV59" s="3" t="s">
        <v>862</v>
      </c>
      <c r="AW59" s="3" t="s">
        <v>863</v>
      </c>
      <c r="AX59" s="3" t="s">
        <v>863</v>
      </c>
      <c r="AY59" s="3" t="s">
        <v>864</v>
      </c>
      <c r="AZ59" s="3" t="s">
        <v>74</v>
      </c>
      <c r="BC59" s="3" t="s">
        <v>865</v>
      </c>
      <c r="BD59" s="3" t="s">
        <v>866</v>
      </c>
    </row>
    <row r="60" spans="1:56" ht="34.5" customHeight="1" x14ac:dyDescent="0.25">
      <c r="A60" s="7" t="s">
        <v>58</v>
      </c>
      <c r="B60" s="2" t="s">
        <v>867</v>
      </c>
      <c r="C60" s="2" t="s">
        <v>868</v>
      </c>
      <c r="D60" s="2" t="s">
        <v>869</v>
      </c>
      <c r="F60" s="3" t="s">
        <v>58</v>
      </c>
      <c r="G60" s="3" t="s">
        <v>59</v>
      </c>
      <c r="H60" s="3" t="s">
        <v>58</v>
      </c>
      <c r="I60" s="3" t="s">
        <v>58</v>
      </c>
      <c r="J60" s="3" t="s">
        <v>60</v>
      </c>
      <c r="K60" s="2" t="s">
        <v>870</v>
      </c>
      <c r="L60" s="2" t="s">
        <v>871</v>
      </c>
      <c r="M60" s="3" t="s">
        <v>872</v>
      </c>
      <c r="O60" s="3" t="s">
        <v>64</v>
      </c>
      <c r="P60" s="3" t="s">
        <v>252</v>
      </c>
      <c r="Q60" s="2" t="s">
        <v>873</v>
      </c>
      <c r="R60" s="3" t="s">
        <v>66</v>
      </c>
      <c r="S60" s="4">
        <v>2</v>
      </c>
      <c r="T60" s="4">
        <v>2</v>
      </c>
      <c r="U60" s="5" t="s">
        <v>874</v>
      </c>
      <c r="V60" s="5" t="s">
        <v>874</v>
      </c>
      <c r="W60" s="5" t="s">
        <v>68</v>
      </c>
      <c r="X60" s="5" t="s">
        <v>68</v>
      </c>
      <c r="Y60" s="4">
        <v>321</v>
      </c>
      <c r="Z60" s="4">
        <v>274</v>
      </c>
      <c r="AA60" s="4">
        <v>1767</v>
      </c>
      <c r="AB60" s="4">
        <v>2</v>
      </c>
      <c r="AC60" s="4">
        <v>11</v>
      </c>
      <c r="AD60" s="4">
        <v>4</v>
      </c>
      <c r="AE60" s="4">
        <v>55</v>
      </c>
      <c r="AF60" s="4">
        <v>1</v>
      </c>
      <c r="AG60" s="4">
        <v>23</v>
      </c>
      <c r="AH60" s="4">
        <v>1</v>
      </c>
      <c r="AI60" s="4">
        <v>10</v>
      </c>
      <c r="AJ60" s="4">
        <v>1</v>
      </c>
      <c r="AK60" s="4">
        <v>26</v>
      </c>
      <c r="AL60" s="4">
        <v>1</v>
      </c>
      <c r="AM60" s="4">
        <v>9</v>
      </c>
      <c r="AN60" s="4">
        <v>0</v>
      </c>
      <c r="AO60" s="4">
        <v>0</v>
      </c>
      <c r="AP60" s="3" t="s">
        <v>58</v>
      </c>
      <c r="AQ60" s="3" t="s">
        <v>69</v>
      </c>
      <c r="AR60" s="6" t="str">
        <f>HYPERLINK("http://catalog.hathitrust.org/Record/000563762","HathiTrust Record")</f>
        <v>HathiTrust Record</v>
      </c>
      <c r="AS60" s="6" t="str">
        <f>HYPERLINK("https://creighton-primo.hosted.exlibrisgroup.com/primo-explore/search?tab=default_tab&amp;search_scope=EVERYTHING&amp;vid=01CRU&amp;lang=en_US&amp;offset=0&amp;query=any,contains,991003506759702656","Catalog Record")</f>
        <v>Catalog Record</v>
      </c>
      <c r="AT60" s="6" t="str">
        <f>HYPERLINK("http://www.worldcat.org/oclc/1058878","WorldCat Record")</f>
        <v>WorldCat Record</v>
      </c>
      <c r="AU60" s="3" t="s">
        <v>875</v>
      </c>
      <c r="AV60" s="3" t="s">
        <v>876</v>
      </c>
      <c r="AW60" s="3" t="s">
        <v>877</v>
      </c>
      <c r="AX60" s="3" t="s">
        <v>877</v>
      </c>
      <c r="AY60" s="3" t="s">
        <v>878</v>
      </c>
      <c r="AZ60" s="3" t="s">
        <v>74</v>
      </c>
      <c r="BC60" s="3" t="s">
        <v>879</v>
      </c>
      <c r="BD60" s="3" t="s">
        <v>880</v>
      </c>
    </row>
    <row r="61" spans="1:56" ht="34.5" customHeight="1" x14ac:dyDescent="0.25">
      <c r="A61" s="7" t="s">
        <v>58</v>
      </c>
      <c r="B61" s="2" t="s">
        <v>881</v>
      </c>
      <c r="C61" s="2" t="s">
        <v>882</v>
      </c>
      <c r="D61" s="2" t="s">
        <v>883</v>
      </c>
      <c r="F61" s="3" t="s">
        <v>58</v>
      </c>
      <c r="G61" s="3" t="s">
        <v>59</v>
      </c>
      <c r="H61" s="3" t="s">
        <v>58</v>
      </c>
      <c r="I61" s="3" t="s">
        <v>58</v>
      </c>
      <c r="J61" s="3" t="s">
        <v>60</v>
      </c>
      <c r="K61" s="2" t="s">
        <v>884</v>
      </c>
      <c r="L61" s="2" t="s">
        <v>885</v>
      </c>
      <c r="M61" s="3" t="s">
        <v>886</v>
      </c>
      <c r="N61" s="2" t="s">
        <v>887</v>
      </c>
      <c r="O61" s="3" t="s">
        <v>64</v>
      </c>
      <c r="P61" s="3" t="s">
        <v>84</v>
      </c>
      <c r="Q61" s="2" t="s">
        <v>888</v>
      </c>
      <c r="R61" s="3" t="s">
        <v>66</v>
      </c>
      <c r="S61" s="4">
        <v>1</v>
      </c>
      <c r="T61" s="4">
        <v>1</v>
      </c>
      <c r="U61" s="5" t="s">
        <v>889</v>
      </c>
      <c r="V61" s="5" t="s">
        <v>889</v>
      </c>
      <c r="W61" s="5" t="s">
        <v>68</v>
      </c>
      <c r="X61" s="5" t="s">
        <v>68</v>
      </c>
      <c r="Y61" s="4">
        <v>85</v>
      </c>
      <c r="Z61" s="4">
        <v>50</v>
      </c>
      <c r="AA61" s="4">
        <v>131</v>
      </c>
      <c r="AB61" s="4">
        <v>1</v>
      </c>
      <c r="AC61" s="4">
        <v>2</v>
      </c>
      <c r="AD61" s="4">
        <v>3</v>
      </c>
      <c r="AE61" s="4">
        <v>8</v>
      </c>
      <c r="AF61" s="4">
        <v>1</v>
      </c>
      <c r="AG61" s="4">
        <v>4</v>
      </c>
      <c r="AH61" s="4">
        <v>0</v>
      </c>
      <c r="AI61" s="4">
        <v>0</v>
      </c>
      <c r="AJ61" s="4">
        <v>2</v>
      </c>
      <c r="AK61" s="4">
        <v>4</v>
      </c>
      <c r="AL61" s="4">
        <v>0</v>
      </c>
      <c r="AM61" s="4">
        <v>1</v>
      </c>
      <c r="AN61" s="4">
        <v>0</v>
      </c>
      <c r="AO61" s="4">
        <v>0</v>
      </c>
      <c r="AP61" s="3" t="s">
        <v>58</v>
      </c>
      <c r="AQ61" s="3" t="s">
        <v>58</v>
      </c>
      <c r="AS61" s="6" t="str">
        <f>HYPERLINK("https://creighton-primo.hosted.exlibrisgroup.com/primo-explore/search?tab=default_tab&amp;search_scope=EVERYTHING&amp;vid=01CRU&amp;lang=en_US&amp;offset=0&amp;query=any,contains,991004231909702656","Catalog Record")</f>
        <v>Catalog Record</v>
      </c>
      <c r="AT61" s="6" t="str">
        <f>HYPERLINK("http://www.worldcat.org/oclc/2749495","WorldCat Record")</f>
        <v>WorldCat Record</v>
      </c>
      <c r="AU61" s="3" t="s">
        <v>890</v>
      </c>
      <c r="AV61" s="3" t="s">
        <v>891</v>
      </c>
      <c r="AW61" s="3" t="s">
        <v>892</v>
      </c>
      <c r="AX61" s="3" t="s">
        <v>892</v>
      </c>
      <c r="AY61" s="3" t="s">
        <v>893</v>
      </c>
      <c r="AZ61" s="3" t="s">
        <v>74</v>
      </c>
      <c r="BC61" s="3" t="s">
        <v>894</v>
      </c>
      <c r="BD61" s="3" t="s">
        <v>895</v>
      </c>
    </row>
    <row r="62" spans="1:56" ht="34.5" customHeight="1" x14ac:dyDescent="0.25">
      <c r="A62" s="7" t="s">
        <v>58</v>
      </c>
      <c r="B62" s="2" t="s">
        <v>896</v>
      </c>
      <c r="C62" s="2" t="s">
        <v>897</v>
      </c>
      <c r="D62" s="2" t="s">
        <v>898</v>
      </c>
      <c r="F62" s="3" t="s">
        <v>58</v>
      </c>
      <c r="G62" s="3" t="s">
        <v>59</v>
      </c>
      <c r="H62" s="3" t="s">
        <v>58</v>
      </c>
      <c r="I62" s="3" t="s">
        <v>58</v>
      </c>
      <c r="J62" s="3" t="s">
        <v>60</v>
      </c>
      <c r="K62" s="2" t="s">
        <v>899</v>
      </c>
      <c r="L62" s="2" t="s">
        <v>900</v>
      </c>
      <c r="M62" s="3" t="s">
        <v>901</v>
      </c>
      <c r="O62" s="3" t="s">
        <v>64</v>
      </c>
      <c r="P62" s="3" t="s">
        <v>65</v>
      </c>
      <c r="R62" s="3" t="s">
        <v>66</v>
      </c>
      <c r="S62" s="4">
        <v>1</v>
      </c>
      <c r="T62" s="4">
        <v>1</v>
      </c>
      <c r="U62" s="5" t="s">
        <v>902</v>
      </c>
      <c r="V62" s="5" t="s">
        <v>902</v>
      </c>
      <c r="W62" s="5" t="s">
        <v>902</v>
      </c>
      <c r="X62" s="5" t="s">
        <v>902</v>
      </c>
      <c r="Y62" s="4">
        <v>482</v>
      </c>
      <c r="Z62" s="4">
        <v>397</v>
      </c>
      <c r="AA62" s="4">
        <v>404</v>
      </c>
      <c r="AB62" s="4">
        <v>3</v>
      </c>
      <c r="AC62" s="4">
        <v>3</v>
      </c>
      <c r="AD62" s="4">
        <v>18</v>
      </c>
      <c r="AE62" s="4">
        <v>18</v>
      </c>
      <c r="AF62" s="4">
        <v>8</v>
      </c>
      <c r="AG62" s="4">
        <v>8</v>
      </c>
      <c r="AH62" s="4">
        <v>5</v>
      </c>
      <c r="AI62" s="4">
        <v>5</v>
      </c>
      <c r="AJ62" s="4">
        <v>10</v>
      </c>
      <c r="AK62" s="4">
        <v>10</v>
      </c>
      <c r="AL62" s="4">
        <v>2</v>
      </c>
      <c r="AM62" s="4">
        <v>2</v>
      </c>
      <c r="AN62" s="4">
        <v>0</v>
      </c>
      <c r="AO62" s="4">
        <v>0</v>
      </c>
      <c r="AP62" s="3" t="s">
        <v>58</v>
      </c>
      <c r="AQ62" s="3" t="s">
        <v>69</v>
      </c>
      <c r="AR62" s="6" t="str">
        <f>HYPERLINK("http://catalog.hathitrust.org/Record/004060488","HathiTrust Record")</f>
        <v>HathiTrust Record</v>
      </c>
      <c r="AS62" s="6" t="str">
        <f>HYPERLINK("https://creighton-primo.hosted.exlibrisgroup.com/primo-explore/search?tab=default_tab&amp;search_scope=EVERYTHING&amp;vid=01CRU&amp;lang=en_US&amp;offset=0&amp;query=any,contains,991003837439702656","Catalog Record")</f>
        <v>Catalog Record</v>
      </c>
      <c r="AT62" s="6" t="str">
        <f>HYPERLINK("http://www.worldcat.org/oclc/40954181","WorldCat Record")</f>
        <v>WorldCat Record</v>
      </c>
      <c r="AU62" s="3" t="s">
        <v>903</v>
      </c>
      <c r="AV62" s="3" t="s">
        <v>904</v>
      </c>
      <c r="AW62" s="3" t="s">
        <v>905</v>
      </c>
      <c r="AX62" s="3" t="s">
        <v>905</v>
      </c>
      <c r="AY62" s="3" t="s">
        <v>906</v>
      </c>
      <c r="AZ62" s="3" t="s">
        <v>74</v>
      </c>
      <c r="BB62" s="3" t="s">
        <v>907</v>
      </c>
      <c r="BC62" s="3" t="s">
        <v>908</v>
      </c>
      <c r="BD62" s="3" t="s">
        <v>909</v>
      </c>
    </row>
    <row r="63" spans="1:56" ht="34.5" customHeight="1" x14ac:dyDescent="0.25">
      <c r="A63" s="7" t="s">
        <v>58</v>
      </c>
      <c r="B63" s="2" t="s">
        <v>910</v>
      </c>
      <c r="C63" s="2" t="s">
        <v>911</v>
      </c>
      <c r="D63" s="2" t="s">
        <v>912</v>
      </c>
      <c r="F63" s="3" t="s">
        <v>58</v>
      </c>
      <c r="G63" s="3" t="s">
        <v>59</v>
      </c>
      <c r="H63" s="3" t="s">
        <v>58</v>
      </c>
      <c r="I63" s="3" t="s">
        <v>58</v>
      </c>
      <c r="J63" s="3" t="s">
        <v>60</v>
      </c>
      <c r="K63" s="2" t="s">
        <v>913</v>
      </c>
      <c r="L63" s="2" t="s">
        <v>914</v>
      </c>
      <c r="M63" s="3" t="s">
        <v>368</v>
      </c>
      <c r="O63" s="3" t="s">
        <v>64</v>
      </c>
      <c r="P63" s="3" t="s">
        <v>252</v>
      </c>
      <c r="R63" s="3" t="s">
        <v>66</v>
      </c>
      <c r="S63" s="4">
        <v>2</v>
      </c>
      <c r="T63" s="4">
        <v>2</v>
      </c>
      <c r="U63" s="5" t="s">
        <v>915</v>
      </c>
      <c r="V63" s="5" t="s">
        <v>915</v>
      </c>
      <c r="W63" s="5" t="s">
        <v>916</v>
      </c>
      <c r="X63" s="5" t="s">
        <v>916</v>
      </c>
      <c r="Y63" s="4">
        <v>966</v>
      </c>
      <c r="Z63" s="4">
        <v>827</v>
      </c>
      <c r="AA63" s="4">
        <v>837</v>
      </c>
      <c r="AB63" s="4">
        <v>6</v>
      </c>
      <c r="AC63" s="4">
        <v>6</v>
      </c>
      <c r="AD63" s="4">
        <v>28</v>
      </c>
      <c r="AE63" s="4">
        <v>28</v>
      </c>
      <c r="AF63" s="4">
        <v>11</v>
      </c>
      <c r="AG63" s="4">
        <v>11</v>
      </c>
      <c r="AH63" s="4">
        <v>6</v>
      </c>
      <c r="AI63" s="4">
        <v>6</v>
      </c>
      <c r="AJ63" s="4">
        <v>11</v>
      </c>
      <c r="AK63" s="4">
        <v>11</v>
      </c>
      <c r="AL63" s="4">
        <v>5</v>
      </c>
      <c r="AM63" s="4">
        <v>5</v>
      </c>
      <c r="AN63" s="4">
        <v>0</v>
      </c>
      <c r="AO63" s="4">
        <v>0</v>
      </c>
      <c r="AP63" s="3" t="s">
        <v>58</v>
      </c>
      <c r="AQ63" s="3" t="s">
        <v>69</v>
      </c>
      <c r="AR63" s="6" t="str">
        <f>HYPERLINK("http://catalog.hathitrust.org/Record/000408786","HathiTrust Record")</f>
        <v>HathiTrust Record</v>
      </c>
      <c r="AS63" s="6" t="str">
        <f>HYPERLINK("https://creighton-primo.hosted.exlibrisgroup.com/primo-explore/search?tab=default_tab&amp;search_scope=EVERYTHING&amp;vid=01CRU&amp;lang=en_US&amp;offset=0&amp;query=any,contains,991002891859702656","Catalog Record")</f>
        <v>Catalog Record</v>
      </c>
      <c r="AT63" s="6" t="str">
        <f>HYPERLINK("http://www.worldcat.org/oclc/512099","WorldCat Record")</f>
        <v>WorldCat Record</v>
      </c>
      <c r="AU63" s="3" t="s">
        <v>917</v>
      </c>
      <c r="AV63" s="3" t="s">
        <v>918</v>
      </c>
      <c r="AW63" s="3" t="s">
        <v>919</v>
      </c>
      <c r="AX63" s="3" t="s">
        <v>919</v>
      </c>
      <c r="AY63" s="3" t="s">
        <v>920</v>
      </c>
      <c r="AZ63" s="3" t="s">
        <v>74</v>
      </c>
      <c r="BC63" s="3" t="s">
        <v>921</v>
      </c>
      <c r="BD63" s="3" t="s">
        <v>922</v>
      </c>
    </row>
    <row r="64" spans="1:56" ht="34.5" customHeight="1" x14ac:dyDescent="0.25">
      <c r="A64" s="7" t="s">
        <v>58</v>
      </c>
      <c r="B64" s="2" t="s">
        <v>923</v>
      </c>
      <c r="C64" s="2" t="s">
        <v>924</v>
      </c>
      <c r="D64" s="2" t="s">
        <v>925</v>
      </c>
      <c r="F64" s="3" t="s">
        <v>58</v>
      </c>
      <c r="G64" s="3" t="s">
        <v>59</v>
      </c>
      <c r="H64" s="3" t="s">
        <v>58</v>
      </c>
      <c r="I64" s="3" t="s">
        <v>58</v>
      </c>
      <c r="J64" s="3" t="s">
        <v>60</v>
      </c>
      <c r="K64" s="2" t="s">
        <v>926</v>
      </c>
      <c r="L64" s="2" t="s">
        <v>927</v>
      </c>
      <c r="M64" s="3" t="s">
        <v>450</v>
      </c>
      <c r="O64" s="3" t="s">
        <v>64</v>
      </c>
      <c r="P64" s="3" t="s">
        <v>65</v>
      </c>
      <c r="R64" s="3" t="s">
        <v>66</v>
      </c>
      <c r="S64" s="4">
        <v>4</v>
      </c>
      <c r="T64" s="4">
        <v>4</v>
      </c>
      <c r="U64" s="5" t="s">
        <v>928</v>
      </c>
      <c r="V64" s="5" t="s">
        <v>928</v>
      </c>
      <c r="W64" s="5" t="s">
        <v>929</v>
      </c>
      <c r="X64" s="5" t="s">
        <v>929</v>
      </c>
      <c r="Y64" s="4">
        <v>107</v>
      </c>
      <c r="Z64" s="4">
        <v>98</v>
      </c>
      <c r="AA64" s="4">
        <v>296</v>
      </c>
      <c r="AB64" s="4">
        <v>1</v>
      </c>
      <c r="AC64" s="4">
        <v>3</v>
      </c>
      <c r="AD64" s="4">
        <v>5</v>
      </c>
      <c r="AE64" s="4">
        <v>15</v>
      </c>
      <c r="AF64" s="4">
        <v>2</v>
      </c>
      <c r="AG64" s="4">
        <v>4</v>
      </c>
      <c r="AH64" s="4">
        <v>3</v>
      </c>
      <c r="AI64" s="4">
        <v>5</v>
      </c>
      <c r="AJ64" s="4">
        <v>1</v>
      </c>
      <c r="AK64" s="4">
        <v>7</v>
      </c>
      <c r="AL64" s="4">
        <v>0</v>
      </c>
      <c r="AM64" s="4">
        <v>2</v>
      </c>
      <c r="AN64" s="4">
        <v>0</v>
      </c>
      <c r="AO64" s="4">
        <v>0</v>
      </c>
      <c r="AP64" s="3" t="s">
        <v>58</v>
      </c>
      <c r="AQ64" s="3" t="s">
        <v>69</v>
      </c>
      <c r="AR64" s="6" t="str">
        <f>HYPERLINK("http://catalog.hathitrust.org/Record/000085459","HathiTrust Record")</f>
        <v>HathiTrust Record</v>
      </c>
      <c r="AS64" s="6" t="str">
        <f>HYPERLINK("https://creighton-primo.hosted.exlibrisgroup.com/primo-explore/search?tab=default_tab&amp;search_scope=EVERYTHING&amp;vid=01CRU&amp;lang=en_US&amp;offset=0&amp;query=any,contains,991004351069702656","Catalog Record")</f>
        <v>Catalog Record</v>
      </c>
      <c r="AT64" s="6" t="str">
        <f>HYPERLINK("http://www.worldcat.org/oclc/3120503","WorldCat Record")</f>
        <v>WorldCat Record</v>
      </c>
      <c r="AU64" s="3" t="s">
        <v>930</v>
      </c>
      <c r="AV64" s="3" t="s">
        <v>931</v>
      </c>
      <c r="AW64" s="3" t="s">
        <v>932</v>
      </c>
      <c r="AX64" s="3" t="s">
        <v>932</v>
      </c>
      <c r="AY64" s="3" t="s">
        <v>933</v>
      </c>
      <c r="AZ64" s="3" t="s">
        <v>74</v>
      </c>
      <c r="BB64" s="3" t="s">
        <v>934</v>
      </c>
      <c r="BC64" s="3" t="s">
        <v>935</v>
      </c>
      <c r="BD64" s="3" t="s">
        <v>936</v>
      </c>
    </row>
    <row r="65" spans="1:56" ht="34.5" customHeight="1" x14ac:dyDescent="0.25">
      <c r="A65" s="7" t="s">
        <v>58</v>
      </c>
      <c r="B65" s="2" t="s">
        <v>937</v>
      </c>
      <c r="C65" s="2" t="s">
        <v>938</v>
      </c>
      <c r="D65" s="2" t="s">
        <v>939</v>
      </c>
      <c r="F65" s="3" t="s">
        <v>58</v>
      </c>
      <c r="G65" s="3" t="s">
        <v>59</v>
      </c>
      <c r="H65" s="3" t="s">
        <v>58</v>
      </c>
      <c r="I65" s="3" t="s">
        <v>58</v>
      </c>
      <c r="J65" s="3" t="s">
        <v>60</v>
      </c>
      <c r="K65" s="2" t="s">
        <v>940</v>
      </c>
      <c r="L65" s="2" t="s">
        <v>941</v>
      </c>
      <c r="M65" s="3" t="s">
        <v>237</v>
      </c>
      <c r="O65" s="3" t="s">
        <v>64</v>
      </c>
      <c r="P65" s="3" t="s">
        <v>84</v>
      </c>
      <c r="Q65" s="2" t="s">
        <v>942</v>
      </c>
      <c r="R65" s="3" t="s">
        <v>66</v>
      </c>
      <c r="S65" s="4">
        <v>1</v>
      </c>
      <c r="T65" s="4">
        <v>1</v>
      </c>
      <c r="U65" s="5" t="s">
        <v>915</v>
      </c>
      <c r="V65" s="5" t="s">
        <v>915</v>
      </c>
      <c r="W65" s="5" t="s">
        <v>781</v>
      </c>
      <c r="X65" s="5" t="s">
        <v>781</v>
      </c>
      <c r="Y65" s="4">
        <v>178</v>
      </c>
      <c r="Z65" s="4">
        <v>119</v>
      </c>
      <c r="AA65" s="4">
        <v>119</v>
      </c>
      <c r="AB65" s="4">
        <v>2</v>
      </c>
      <c r="AC65" s="4">
        <v>2</v>
      </c>
      <c r="AD65" s="4">
        <v>5</v>
      </c>
      <c r="AE65" s="4">
        <v>5</v>
      </c>
      <c r="AF65" s="4">
        <v>1</v>
      </c>
      <c r="AG65" s="4">
        <v>1</v>
      </c>
      <c r="AH65" s="4">
        <v>0</v>
      </c>
      <c r="AI65" s="4">
        <v>0</v>
      </c>
      <c r="AJ65" s="4">
        <v>4</v>
      </c>
      <c r="AK65" s="4">
        <v>4</v>
      </c>
      <c r="AL65" s="4">
        <v>1</v>
      </c>
      <c r="AM65" s="4">
        <v>1</v>
      </c>
      <c r="AN65" s="4">
        <v>0</v>
      </c>
      <c r="AO65" s="4">
        <v>0</v>
      </c>
      <c r="AP65" s="3" t="s">
        <v>58</v>
      </c>
      <c r="AQ65" s="3" t="s">
        <v>58</v>
      </c>
      <c r="AS65" s="6" t="str">
        <f>HYPERLINK("https://creighton-primo.hosted.exlibrisgroup.com/primo-explore/search?tab=default_tab&amp;search_scope=EVERYTHING&amp;vid=01CRU&amp;lang=en_US&amp;offset=0&amp;query=any,contains,991005228689702656","Catalog Record")</f>
        <v>Catalog Record</v>
      </c>
      <c r="AT65" s="6" t="str">
        <f>HYPERLINK("http://www.worldcat.org/oclc/8301957","WorldCat Record")</f>
        <v>WorldCat Record</v>
      </c>
      <c r="AU65" s="3" t="s">
        <v>943</v>
      </c>
      <c r="AV65" s="3" t="s">
        <v>944</v>
      </c>
      <c r="AW65" s="3" t="s">
        <v>945</v>
      </c>
      <c r="AX65" s="3" t="s">
        <v>945</v>
      </c>
      <c r="AY65" s="3" t="s">
        <v>946</v>
      </c>
      <c r="AZ65" s="3" t="s">
        <v>74</v>
      </c>
      <c r="BB65" s="3" t="s">
        <v>947</v>
      </c>
      <c r="BC65" s="3" t="s">
        <v>948</v>
      </c>
      <c r="BD65" s="3" t="s">
        <v>949</v>
      </c>
    </row>
    <row r="66" spans="1:56" ht="34.5" customHeight="1" x14ac:dyDescent="0.25">
      <c r="A66" s="7" t="s">
        <v>58</v>
      </c>
      <c r="B66" s="2" t="s">
        <v>950</v>
      </c>
      <c r="C66" s="2" t="s">
        <v>951</v>
      </c>
      <c r="D66" s="2" t="s">
        <v>952</v>
      </c>
      <c r="F66" s="3" t="s">
        <v>58</v>
      </c>
      <c r="G66" s="3" t="s">
        <v>59</v>
      </c>
      <c r="H66" s="3" t="s">
        <v>58</v>
      </c>
      <c r="I66" s="3" t="s">
        <v>58</v>
      </c>
      <c r="J66" s="3" t="s">
        <v>60</v>
      </c>
      <c r="K66" s="2" t="s">
        <v>953</v>
      </c>
      <c r="L66" s="2" t="s">
        <v>954</v>
      </c>
      <c r="M66" s="3" t="s">
        <v>396</v>
      </c>
      <c r="O66" s="3" t="s">
        <v>64</v>
      </c>
      <c r="P66" s="3" t="s">
        <v>955</v>
      </c>
      <c r="R66" s="3" t="s">
        <v>66</v>
      </c>
      <c r="S66" s="4">
        <v>1</v>
      </c>
      <c r="T66" s="4">
        <v>1</v>
      </c>
      <c r="U66" s="5" t="s">
        <v>956</v>
      </c>
      <c r="V66" s="5" t="s">
        <v>956</v>
      </c>
      <c r="W66" s="5" t="s">
        <v>957</v>
      </c>
      <c r="X66" s="5" t="s">
        <v>957</v>
      </c>
      <c r="Y66" s="4">
        <v>216</v>
      </c>
      <c r="Z66" s="4">
        <v>174</v>
      </c>
      <c r="AA66" s="4">
        <v>178</v>
      </c>
      <c r="AB66" s="4">
        <v>2</v>
      </c>
      <c r="AC66" s="4">
        <v>2</v>
      </c>
      <c r="AD66" s="4">
        <v>5</v>
      </c>
      <c r="AE66" s="4">
        <v>5</v>
      </c>
      <c r="AF66" s="4">
        <v>2</v>
      </c>
      <c r="AG66" s="4">
        <v>2</v>
      </c>
      <c r="AH66" s="4">
        <v>1</v>
      </c>
      <c r="AI66" s="4">
        <v>1</v>
      </c>
      <c r="AJ66" s="4">
        <v>2</v>
      </c>
      <c r="AK66" s="4">
        <v>2</v>
      </c>
      <c r="AL66" s="4">
        <v>1</v>
      </c>
      <c r="AM66" s="4">
        <v>1</v>
      </c>
      <c r="AN66" s="4">
        <v>0</v>
      </c>
      <c r="AO66" s="4">
        <v>0</v>
      </c>
      <c r="AP66" s="3" t="s">
        <v>58</v>
      </c>
      <c r="AQ66" s="3" t="s">
        <v>69</v>
      </c>
      <c r="AR66" s="6" t="str">
        <f>HYPERLINK("http://catalog.hathitrust.org/Record/002454872","HathiTrust Record")</f>
        <v>HathiTrust Record</v>
      </c>
      <c r="AS66" s="6" t="str">
        <f>HYPERLINK("https://creighton-primo.hosted.exlibrisgroup.com/primo-explore/search?tab=default_tab&amp;search_scope=EVERYTHING&amp;vid=01CRU&amp;lang=en_US&amp;offset=0&amp;query=any,contains,991001673139702656","Catalog Record")</f>
        <v>Catalog Record</v>
      </c>
      <c r="AT66" s="6" t="str">
        <f>HYPERLINK("http://www.worldcat.org/oclc/21301823","WorldCat Record")</f>
        <v>WorldCat Record</v>
      </c>
      <c r="AU66" s="3" t="s">
        <v>958</v>
      </c>
      <c r="AV66" s="3" t="s">
        <v>959</v>
      </c>
      <c r="AW66" s="3" t="s">
        <v>960</v>
      </c>
      <c r="AX66" s="3" t="s">
        <v>960</v>
      </c>
      <c r="AY66" s="3" t="s">
        <v>961</v>
      </c>
      <c r="AZ66" s="3" t="s">
        <v>74</v>
      </c>
      <c r="BB66" s="3" t="s">
        <v>962</v>
      </c>
      <c r="BC66" s="3" t="s">
        <v>963</v>
      </c>
      <c r="BD66" s="3" t="s">
        <v>964</v>
      </c>
    </row>
    <row r="67" spans="1:56" ht="34.5" customHeight="1" x14ac:dyDescent="0.25">
      <c r="A67" s="7" t="s">
        <v>58</v>
      </c>
      <c r="B67" s="2" t="s">
        <v>965</v>
      </c>
      <c r="C67" s="2" t="s">
        <v>966</v>
      </c>
      <c r="D67" s="2" t="s">
        <v>967</v>
      </c>
      <c r="F67" s="3" t="s">
        <v>58</v>
      </c>
      <c r="G67" s="3" t="s">
        <v>59</v>
      </c>
      <c r="H67" s="3" t="s">
        <v>58</v>
      </c>
      <c r="I67" s="3" t="s">
        <v>58</v>
      </c>
      <c r="J67" s="3" t="s">
        <v>60</v>
      </c>
      <c r="K67" s="2" t="s">
        <v>968</v>
      </c>
      <c r="L67" s="2" t="s">
        <v>969</v>
      </c>
      <c r="M67" s="3" t="s">
        <v>465</v>
      </c>
      <c r="O67" s="3" t="s">
        <v>64</v>
      </c>
      <c r="P67" s="3" t="s">
        <v>65</v>
      </c>
      <c r="R67" s="3" t="s">
        <v>66</v>
      </c>
      <c r="S67" s="4">
        <v>1</v>
      </c>
      <c r="T67" s="4">
        <v>1</v>
      </c>
      <c r="U67" s="5" t="s">
        <v>970</v>
      </c>
      <c r="V67" s="5" t="s">
        <v>970</v>
      </c>
      <c r="W67" s="5" t="s">
        <v>68</v>
      </c>
      <c r="X67" s="5" t="s">
        <v>68</v>
      </c>
      <c r="Y67" s="4">
        <v>183</v>
      </c>
      <c r="Z67" s="4">
        <v>163</v>
      </c>
      <c r="AA67" s="4">
        <v>166</v>
      </c>
      <c r="AB67" s="4">
        <v>3</v>
      </c>
      <c r="AC67" s="4">
        <v>3</v>
      </c>
      <c r="AD67" s="4">
        <v>12</v>
      </c>
      <c r="AE67" s="4">
        <v>12</v>
      </c>
      <c r="AF67" s="4">
        <v>2</v>
      </c>
      <c r="AG67" s="4">
        <v>2</v>
      </c>
      <c r="AH67" s="4">
        <v>3</v>
      </c>
      <c r="AI67" s="4">
        <v>3</v>
      </c>
      <c r="AJ67" s="4">
        <v>6</v>
      </c>
      <c r="AK67" s="4">
        <v>6</v>
      </c>
      <c r="AL67" s="4">
        <v>2</v>
      </c>
      <c r="AM67" s="4">
        <v>2</v>
      </c>
      <c r="AN67" s="4">
        <v>0</v>
      </c>
      <c r="AO67" s="4">
        <v>0</v>
      </c>
      <c r="AP67" s="3" t="s">
        <v>58</v>
      </c>
      <c r="AQ67" s="3" t="s">
        <v>58</v>
      </c>
      <c r="AS67" s="6" t="str">
        <f>HYPERLINK("https://creighton-primo.hosted.exlibrisgroup.com/primo-explore/search?tab=default_tab&amp;search_scope=EVERYTHING&amp;vid=01CRU&amp;lang=en_US&amp;offset=0&amp;query=any,contains,991000146849702656","Catalog Record")</f>
        <v>Catalog Record</v>
      </c>
      <c r="AT67" s="6" t="str">
        <f>HYPERLINK("http://www.worldcat.org/oclc/59032","WorldCat Record")</f>
        <v>WorldCat Record</v>
      </c>
      <c r="AU67" s="3" t="s">
        <v>971</v>
      </c>
      <c r="AV67" s="3" t="s">
        <v>972</v>
      </c>
      <c r="AW67" s="3" t="s">
        <v>973</v>
      </c>
      <c r="AX67" s="3" t="s">
        <v>973</v>
      </c>
      <c r="AY67" s="3" t="s">
        <v>974</v>
      </c>
      <c r="AZ67" s="3" t="s">
        <v>74</v>
      </c>
      <c r="BB67" s="3" t="s">
        <v>975</v>
      </c>
      <c r="BC67" s="3" t="s">
        <v>976</v>
      </c>
      <c r="BD67" s="3" t="s">
        <v>977</v>
      </c>
    </row>
    <row r="68" spans="1:56" ht="34.5" customHeight="1" x14ac:dyDescent="0.25">
      <c r="A68" s="7" t="s">
        <v>58</v>
      </c>
      <c r="B68" s="2" t="s">
        <v>978</v>
      </c>
      <c r="C68" s="2" t="s">
        <v>979</v>
      </c>
      <c r="D68" s="2" t="s">
        <v>980</v>
      </c>
      <c r="F68" s="3" t="s">
        <v>58</v>
      </c>
      <c r="G68" s="3" t="s">
        <v>59</v>
      </c>
      <c r="H68" s="3" t="s">
        <v>58</v>
      </c>
      <c r="I68" s="3" t="s">
        <v>58</v>
      </c>
      <c r="J68" s="3" t="s">
        <v>60</v>
      </c>
      <c r="K68" s="2" t="s">
        <v>981</v>
      </c>
      <c r="L68" s="2" t="s">
        <v>982</v>
      </c>
      <c r="M68" s="3" t="s">
        <v>983</v>
      </c>
      <c r="O68" s="3" t="s">
        <v>64</v>
      </c>
      <c r="P68" s="3" t="s">
        <v>238</v>
      </c>
      <c r="Q68" s="2" t="s">
        <v>984</v>
      </c>
      <c r="R68" s="3" t="s">
        <v>66</v>
      </c>
      <c r="S68" s="4">
        <v>1</v>
      </c>
      <c r="T68" s="4">
        <v>1</v>
      </c>
      <c r="U68" s="5" t="s">
        <v>985</v>
      </c>
      <c r="V68" s="5" t="s">
        <v>985</v>
      </c>
      <c r="W68" s="5" t="s">
        <v>986</v>
      </c>
      <c r="X68" s="5" t="s">
        <v>986</v>
      </c>
      <c r="Y68" s="4">
        <v>754</v>
      </c>
      <c r="Z68" s="4">
        <v>636</v>
      </c>
      <c r="AA68" s="4">
        <v>703</v>
      </c>
      <c r="AB68" s="4">
        <v>1</v>
      </c>
      <c r="AC68" s="4">
        <v>3</v>
      </c>
      <c r="AD68" s="4">
        <v>30</v>
      </c>
      <c r="AE68" s="4">
        <v>34</v>
      </c>
      <c r="AF68" s="4">
        <v>15</v>
      </c>
      <c r="AG68" s="4">
        <v>17</v>
      </c>
      <c r="AH68" s="4">
        <v>8</v>
      </c>
      <c r="AI68" s="4">
        <v>8</v>
      </c>
      <c r="AJ68" s="4">
        <v>18</v>
      </c>
      <c r="AK68" s="4">
        <v>19</v>
      </c>
      <c r="AL68" s="4">
        <v>0</v>
      </c>
      <c r="AM68" s="4">
        <v>2</v>
      </c>
      <c r="AN68" s="4">
        <v>0</v>
      </c>
      <c r="AO68" s="4">
        <v>0</v>
      </c>
      <c r="AP68" s="3" t="s">
        <v>58</v>
      </c>
      <c r="AQ68" s="3" t="s">
        <v>58</v>
      </c>
      <c r="AS68" s="6" t="str">
        <f>HYPERLINK("https://creighton-primo.hosted.exlibrisgroup.com/primo-explore/search?tab=default_tab&amp;search_scope=EVERYTHING&amp;vid=01CRU&amp;lang=en_US&amp;offset=0&amp;query=any,contains,991004807599702656","Catalog Record")</f>
        <v>Catalog Record</v>
      </c>
      <c r="AT68" s="6" t="str">
        <f>HYPERLINK("http://www.worldcat.org/oclc/5263685","WorldCat Record")</f>
        <v>WorldCat Record</v>
      </c>
      <c r="AU68" s="3" t="s">
        <v>987</v>
      </c>
      <c r="AV68" s="3" t="s">
        <v>988</v>
      </c>
      <c r="AW68" s="3" t="s">
        <v>989</v>
      </c>
      <c r="AX68" s="3" t="s">
        <v>989</v>
      </c>
      <c r="AY68" s="3" t="s">
        <v>990</v>
      </c>
      <c r="AZ68" s="3" t="s">
        <v>74</v>
      </c>
      <c r="BB68" s="3" t="s">
        <v>991</v>
      </c>
      <c r="BC68" s="3" t="s">
        <v>992</v>
      </c>
      <c r="BD68" s="3" t="s">
        <v>993</v>
      </c>
    </row>
    <row r="69" spans="1:56" ht="34.5" customHeight="1" x14ac:dyDescent="0.25">
      <c r="A69" s="7" t="s">
        <v>58</v>
      </c>
      <c r="B69" s="2" t="s">
        <v>994</v>
      </c>
      <c r="C69" s="2" t="s">
        <v>995</v>
      </c>
      <c r="D69" s="2" t="s">
        <v>996</v>
      </c>
      <c r="F69" s="3" t="s">
        <v>58</v>
      </c>
      <c r="G69" s="3" t="s">
        <v>59</v>
      </c>
      <c r="H69" s="3" t="s">
        <v>58</v>
      </c>
      <c r="I69" s="3" t="s">
        <v>58</v>
      </c>
      <c r="J69" s="3" t="s">
        <v>60</v>
      </c>
      <c r="K69" s="2" t="s">
        <v>997</v>
      </c>
      <c r="L69" s="2" t="s">
        <v>998</v>
      </c>
      <c r="M69" s="3" t="s">
        <v>607</v>
      </c>
      <c r="O69" s="3" t="s">
        <v>64</v>
      </c>
      <c r="P69" s="3" t="s">
        <v>65</v>
      </c>
      <c r="R69" s="3" t="s">
        <v>66</v>
      </c>
      <c r="S69" s="4">
        <v>1</v>
      </c>
      <c r="T69" s="4">
        <v>1</v>
      </c>
      <c r="U69" s="5" t="s">
        <v>999</v>
      </c>
      <c r="V69" s="5" t="s">
        <v>999</v>
      </c>
      <c r="W69" s="5" t="s">
        <v>1000</v>
      </c>
      <c r="X69" s="5" t="s">
        <v>1000</v>
      </c>
      <c r="Y69" s="4">
        <v>1313</v>
      </c>
      <c r="Z69" s="4">
        <v>1138</v>
      </c>
      <c r="AA69" s="4">
        <v>1201</v>
      </c>
      <c r="AB69" s="4">
        <v>4</v>
      </c>
      <c r="AC69" s="4">
        <v>4</v>
      </c>
      <c r="AD69" s="4">
        <v>39</v>
      </c>
      <c r="AE69" s="4">
        <v>40</v>
      </c>
      <c r="AF69" s="4">
        <v>18</v>
      </c>
      <c r="AG69" s="4">
        <v>19</v>
      </c>
      <c r="AH69" s="4">
        <v>8</v>
      </c>
      <c r="AI69" s="4">
        <v>8</v>
      </c>
      <c r="AJ69" s="4">
        <v>19</v>
      </c>
      <c r="AK69" s="4">
        <v>19</v>
      </c>
      <c r="AL69" s="4">
        <v>3</v>
      </c>
      <c r="AM69" s="4">
        <v>3</v>
      </c>
      <c r="AN69" s="4">
        <v>0</v>
      </c>
      <c r="AO69" s="4">
        <v>0</v>
      </c>
      <c r="AP69" s="3" t="s">
        <v>58</v>
      </c>
      <c r="AQ69" s="3" t="s">
        <v>69</v>
      </c>
      <c r="AR69" s="6" t="str">
        <f>HYPERLINK("http://catalog.hathitrust.org/Record/000561675","HathiTrust Record")</f>
        <v>HathiTrust Record</v>
      </c>
      <c r="AS69" s="6" t="str">
        <f>HYPERLINK("https://creighton-primo.hosted.exlibrisgroup.com/primo-explore/search?tab=default_tab&amp;search_scope=EVERYTHING&amp;vid=01CRU&amp;lang=en_US&amp;offset=0&amp;query=any,contains,991002390999702656","Catalog Record")</f>
        <v>Catalog Record</v>
      </c>
      <c r="AT69" s="6" t="str">
        <f>HYPERLINK("http://www.worldcat.org/oclc/332435","WorldCat Record")</f>
        <v>WorldCat Record</v>
      </c>
      <c r="AU69" s="3" t="s">
        <v>1001</v>
      </c>
      <c r="AV69" s="3" t="s">
        <v>1002</v>
      </c>
      <c r="AW69" s="3" t="s">
        <v>1003</v>
      </c>
      <c r="AX69" s="3" t="s">
        <v>1003</v>
      </c>
      <c r="AY69" s="3" t="s">
        <v>1004</v>
      </c>
      <c r="AZ69" s="3" t="s">
        <v>74</v>
      </c>
      <c r="BC69" s="3" t="s">
        <v>1005</v>
      </c>
      <c r="BD69" s="3" t="s">
        <v>1006</v>
      </c>
    </row>
    <row r="70" spans="1:56" ht="34.5" customHeight="1" x14ac:dyDescent="0.25">
      <c r="A70" s="7" t="s">
        <v>58</v>
      </c>
      <c r="B70" s="2" t="s">
        <v>1007</v>
      </c>
      <c r="C70" s="2" t="s">
        <v>1008</v>
      </c>
      <c r="D70" s="2" t="s">
        <v>1009</v>
      </c>
      <c r="F70" s="3" t="s">
        <v>58</v>
      </c>
      <c r="G70" s="3" t="s">
        <v>59</v>
      </c>
      <c r="H70" s="3" t="s">
        <v>58</v>
      </c>
      <c r="I70" s="3" t="s">
        <v>58</v>
      </c>
      <c r="J70" s="3" t="s">
        <v>60</v>
      </c>
      <c r="K70" s="2" t="s">
        <v>1010</v>
      </c>
      <c r="L70" s="2" t="s">
        <v>1011</v>
      </c>
      <c r="M70" s="3" t="s">
        <v>396</v>
      </c>
      <c r="N70" s="2" t="s">
        <v>284</v>
      </c>
      <c r="O70" s="3" t="s">
        <v>64</v>
      </c>
      <c r="P70" s="3" t="s">
        <v>65</v>
      </c>
      <c r="R70" s="3" t="s">
        <v>66</v>
      </c>
      <c r="S70" s="4">
        <v>5</v>
      </c>
      <c r="T70" s="4">
        <v>5</v>
      </c>
      <c r="U70" s="5" t="s">
        <v>1012</v>
      </c>
      <c r="V70" s="5" t="s">
        <v>1012</v>
      </c>
      <c r="W70" s="5" t="s">
        <v>1013</v>
      </c>
      <c r="X70" s="5" t="s">
        <v>1013</v>
      </c>
      <c r="Y70" s="4">
        <v>1369</v>
      </c>
      <c r="Z70" s="4">
        <v>1219</v>
      </c>
      <c r="AA70" s="4">
        <v>1293</v>
      </c>
      <c r="AB70" s="4">
        <v>8</v>
      </c>
      <c r="AC70" s="4">
        <v>9</v>
      </c>
      <c r="AD70" s="4">
        <v>39</v>
      </c>
      <c r="AE70" s="4">
        <v>40</v>
      </c>
      <c r="AF70" s="4">
        <v>15</v>
      </c>
      <c r="AG70" s="4">
        <v>15</v>
      </c>
      <c r="AH70" s="4">
        <v>9</v>
      </c>
      <c r="AI70" s="4">
        <v>9</v>
      </c>
      <c r="AJ70" s="4">
        <v>18</v>
      </c>
      <c r="AK70" s="4">
        <v>19</v>
      </c>
      <c r="AL70" s="4">
        <v>6</v>
      </c>
      <c r="AM70" s="4">
        <v>6</v>
      </c>
      <c r="AN70" s="4">
        <v>0</v>
      </c>
      <c r="AO70" s="4">
        <v>0</v>
      </c>
      <c r="AP70" s="3" t="s">
        <v>58</v>
      </c>
      <c r="AQ70" s="3" t="s">
        <v>58</v>
      </c>
      <c r="AS70" s="6" t="str">
        <f>HYPERLINK("https://creighton-primo.hosted.exlibrisgroup.com/primo-explore/search?tab=default_tab&amp;search_scope=EVERYTHING&amp;vid=01CRU&amp;lang=en_US&amp;offset=0&amp;query=any,contains,991001892459702656","Catalog Record")</f>
        <v>Catalog Record</v>
      </c>
      <c r="AT70" s="6" t="str">
        <f>HYPERLINK("http://www.worldcat.org/oclc/23900932","WorldCat Record")</f>
        <v>WorldCat Record</v>
      </c>
      <c r="AU70" s="3" t="s">
        <v>1014</v>
      </c>
      <c r="AV70" s="3" t="s">
        <v>1015</v>
      </c>
      <c r="AW70" s="3" t="s">
        <v>1016</v>
      </c>
      <c r="AX70" s="3" t="s">
        <v>1016</v>
      </c>
      <c r="AY70" s="3" t="s">
        <v>1017</v>
      </c>
      <c r="AZ70" s="3" t="s">
        <v>74</v>
      </c>
      <c r="BB70" s="3" t="s">
        <v>1018</v>
      </c>
      <c r="BC70" s="3" t="s">
        <v>1019</v>
      </c>
      <c r="BD70" s="3" t="s">
        <v>1020</v>
      </c>
    </row>
    <row r="71" spans="1:56" ht="34.5" customHeight="1" x14ac:dyDescent="0.25">
      <c r="A71" s="7" t="s">
        <v>58</v>
      </c>
      <c r="B71" s="2" t="s">
        <v>1021</v>
      </c>
      <c r="C71" s="2" t="s">
        <v>1022</v>
      </c>
      <c r="D71" s="2" t="s">
        <v>1023</v>
      </c>
      <c r="F71" s="3" t="s">
        <v>58</v>
      </c>
      <c r="G71" s="3" t="s">
        <v>59</v>
      </c>
      <c r="H71" s="3" t="s">
        <v>58</v>
      </c>
      <c r="I71" s="3" t="s">
        <v>58</v>
      </c>
      <c r="J71" s="3" t="s">
        <v>60</v>
      </c>
      <c r="K71" s="2" t="s">
        <v>1024</v>
      </c>
      <c r="L71" s="2" t="s">
        <v>1025</v>
      </c>
      <c r="M71" s="3" t="s">
        <v>146</v>
      </c>
      <c r="O71" s="3" t="s">
        <v>64</v>
      </c>
      <c r="P71" s="3" t="s">
        <v>84</v>
      </c>
      <c r="Q71" s="2" t="s">
        <v>1026</v>
      </c>
      <c r="R71" s="3" t="s">
        <v>66</v>
      </c>
      <c r="S71" s="4">
        <v>2</v>
      </c>
      <c r="T71" s="4">
        <v>2</v>
      </c>
      <c r="U71" s="5" t="s">
        <v>1027</v>
      </c>
      <c r="V71" s="5" t="s">
        <v>1027</v>
      </c>
      <c r="W71" s="5" t="s">
        <v>1028</v>
      </c>
      <c r="X71" s="5" t="s">
        <v>1028</v>
      </c>
      <c r="Y71" s="4">
        <v>305</v>
      </c>
      <c r="Z71" s="4">
        <v>204</v>
      </c>
      <c r="AA71" s="4">
        <v>210</v>
      </c>
      <c r="AB71" s="4">
        <v>2</v>
      </c>
      <c r="AC71" s="4">
        <v>2</v>
      </c>
      <c r="AD71" s="4">
        <v>7</v>
      </c>
      <c r="AE71" s="4">
        <v>7</v>
      </c>
      <c r="AF71" s="4">
        <v>1</v>
      </c>
      <c r="AG71" s="4">
        <v>1</v>
      </c>
      <c r="AH71" s="4">
        <v>2</v>
      </c>
      <c r="AI71" s="4">
        <v>2</v>
      </c>
      <c r="AJ71" s="4">
        <v>5</v>
      </c>
      <c r="AK71" s="4">
        <v>5</v>
      </c>
      <c r="AL71" s="4">
        <v>1</v>
      </c>
      <c r="AM71" s="4">
        <v>1</v>
      </c>
      <c r="AN71" s="4">
        <v>0</v>
      </c>
      <c r="AO71" s="4">
        <v>0</v>
      </c>
      <c r="AP71" s="3" t="s">
        <v>58</v>
      </c>
      <c r="AQ71" s="3" t="s">
        <v>58</v>
      </c>
      <c r="AS71" s="6" t="str">
        <f>HYPERLINK("https://creighton-primo.hosted.exlibrisgroup.com/primo-explore/search?tab=default_tab&amp;search_scope=EVERYTHING&amp;vid=01CRU&amp;lang=en_US&amp;offset=0&amp;query=any,contains,991002138909702656","Catalog Record")</f>
        <v>Catalog Record</v>
      </c>
      <c r="AT71" s="6" t="str">
        <f>HYPERLINK("http://www.worldcat.org/oclc/27430375","WorldCat Record")</f>
        <v>WorldCat Record</v>
      </c>
      <c r="AU71" s="3" t="s">
        <v>1029</v>
      </c>
      <c r="AV71" s="3" t="s">
        <v>1030</v>
      </c>
      <c r="AW71" s="3" t="s">
        <v>1031</v>
      </c>
      <c r="AX71" s="3" t="s">
        <v>1031</v>
      </c>
      <c r="AY71" s="3" t="s">
        <v>1032</v>
      </c>
      <c r="AZ71" s="3" t="s">
        <v>74</v>
      </c>
      <c r="BB71" s="3" t="s">
        <v>1033</v>
      </c>
      <c r="BC71" s="3" t="s">
        <v>1034</v>
      </c>
      <c r="BD71" s="3" t="s">
        <v>1035</v>
      </c>
    </row>
    <row r="72" spans="1:56" ht="34.5" customHeight="1" x14ac:dyDescent="0.25">
      <c r="A72" s="7" t="s">
        <v>58</v>
      </c>
      <c r="B72" s="2" t="s">
        <v>1036</v>
      </c>
      <c r="C72" s="2" t="s">
        <v>1037</v>
      </c>
      <c r="D72" s="2" t="s">
        <v>1038</v>
      </c>
      <c r="F72" s="3" t="s">
        <v>58</v>
      </c>
      <c r="G72" s="3" t="s">
        <v>59</v>
      </c>
      <c r="H72" s="3" t="s">
        <v>58</v>
      </c>
      <c r="I72" s="3" t="s">
        <v>58</v>
      </c>
      <c r="J72" s="3" t="s">
        <v>60</v>
      </c>
      <c r="K72" s="2" t="s">
        <v>1039</v>
      </c>
      <c r="L72" s="2" t="s">
        <v>1040</v>
      </c>
      <c r="M72" s="3" t="s">
        <v>146</v>
      </c>
      <c r="O72" s="3" t="s">
        <v>64</v>
      </c>
      <c r="P72" s="3" t="s">
        <v>65</v>
      </c>
      <c r="R72" s="3" t="s">
        <v>66</v>
      </c>
      <c r="S72" s="4">
        <v>11</v>
      </c>
      <c r="T72" s="4">
        <v>11</v>
      </c>
      <c r="U72" s="5" t="s">
        <v>1041</v>
      </c>
      <c r="V72" s="5" t="s">
        <v>1041</v>
      </c>
      <c r="W72" s="5" t="s">
        <v>1042</v>
      </c>
      <c r="X72" s="5" t="s">
        <v>1042</v>
      </c>
      <c r="Y72" s="4">
        <v>957</v>
      </c>
      <c r="Z72" s="4">
        <v>863</v>
      </c>
      <c r="AA72" s="4">
        <v>1295</v>
      </c>
      <c r="AB72" s="4">
        <v>6</v>
      </c>
      <c r="AC72" s="4">
        <v>9</v>
      </c>
      <c r="AD72" s="4">
        <v>26</v>
      </c>
      <c r="AE72" s="4">
        <v>39</v>
      </c>
      <c r="AF72" s="4">
        <v>10</v>
      </c>
      <c r="AG72" s="4">
        <v>15</v>
      </c>
      <c r="AH72" s="4">
        <v>6</v>
      </c>
      <c r="AI72" s="4">
        <v>8</v>
      </c>
      <c r="AJ72" s="4">
        <v>15</v>
      </c>
      <c r="AK72" s="4">
        <v>19</v>
      </c>
      <c r="AL72" s="4">
        <v>3</v>
      </c>
      <c r="AM72" s="4">
        <v>6</v>
      </c>
      <c r="AN72" s="4">
        <v>2</v>
      </c>
      <c r="AO72" s="4">
        <v>2</v>
      </c>
      <c r="AP72" s="3" t="s">
        <v>58</v>
      </c>
      <c r="AQ72" s="3" t="s">
        <v>69</v>
      </c>
      <c r="AR72" s="6" t="str">
        <f>HYPERLINK("http://catalog.hathitrust.org/Record/002641082","HathiTrust Record")</f>
        <v>HathiTrust Record</v>
      </c>
      <c r="AS72" s="6" t="str">
        <f>HYPERLINK("https://creighton-primo.hosted.exlibrisgroup.com/primo-explore/search?tab=default_tab&amp;search_scope=EVERYTHING&amp;vid=01CRU&amp;lang=en_US&amp;offset=0&amp;query=any,contains,991002151519702656","Catalog Record")</f>
        <v>Catalog Record</v>
      </c>
      <c r="AT72" s="6" t="str">
        <f>HYPERLINK("http://www.worldcat.org/oclc/27726774","WorldCat Record")</f>
        <v>WorldCat Record</v>
      </c>
      <c r="AU72" s="3" t="s">
        <v>1043</v>
      </c>
      <c r="AV72" s="3" t="s">
        <v>1044</v>
      </c>
      <c r="AW72" s="3" t="s">
        <v>1045</v>
      </c>
      <c r="AX72" s="3" t="s">
        <v>1045</v>
      </c>
      <c r="AY72" s="3" t="s">
        <v>1046</v>
      </c>
      <c r="AZ72" s="3" t="s">
        <v>74</v>
      </c>
      <c r="BB72" s="3" t="s">
        <v>1047</v>
      </c>
      <c r="BC72" s="3" t="s">
        <v>1048</v>
      </c>
      <c r="BD72" s="3" t="s">
        <v>1049</v>
      </c>
    </row>
    <row r="73" spans="1:56" ht="34.5" customHeight="1" x14ac:dyDescent="0.25">
      <c r="A73" s="7" t="s">
        <v>58</v>
      </c>
      <c r="B73" s="2" t="s">
        <v>1050</v>
      </c>
      <c r="C73" s="2" t="s">
        <v>1051</v>
      </c>
      <c r="D73" s="2" t="s">
        <v>1052</v>
      </c>
      <c r="F73" s="3" t="s">
        <v>58</v>
      </c>
      <c r="G73" s="3" t="s">
        <v>59</v>
      </c>
      <c r="H73" s="3" t="s">
        <v>58</v>
      </c>
      <c r="I73" s="3" t="s">
        <v>58</v>
      </c>
      <c r="J73" s="3" t="s">
        <v>60</v>
      </c>
      <c r="K73" s="2" t="s">
        <v>1053</v>
      </c>
      <c r="L73" s="2" t="s">
        <v>1054</v>
      </c>
      <c r="M73" s="3" t="s">
        <v>176</v>
      </c>
      <c r="N73" s="2" t="s">
        <v>1055</v>
      </c>
      <c r="O73" s="3" t="s">
        <v>64</v>
      </c>
      <c r="P73" s="3" t="s">
        <v>65</v>
      </c>
      <c r="R73" s="3" t="s">
        <v>66</v>
      </c>
      <c r="S73" s="4">
        <v>1</v>
      </c>
      <c r="T73" s="4">
        <v>1</v>
      </c>
      <c r="U73" s="5" t="s">
        <v>767</v>
      </c>
      <c r="V73" s="5" t="s">
        <v>767</v>
      </c>
      <c r="W73" s="5" t="s">
        <v>767</v>
      </c>
      <c r="X73" s="5" t="s">
        <v>767</v>
      </c>
      <c r="Y73" s="4">
        <v>183</v>
      </c>
      <c r="Z73" s="4">
        <v>171</v>
      </c>
      <c r="AA73" s="4">
        <v>222</v>
      </c>
      <c r="AB73" s="4">
        <v>1</v>
      </c>
      <c r="AC73" s="4">
        <v>2</v>
      </c>
      <c r="AD73" s="4">
        <v>6</v>
      </c>
      <c r="AE73" s="4">
        <v>8</v>
      </c>
      <c r="AF73" s="4">
        <v>2</v>
      </c>
      <c r="AG73" s="4">
        <v>2</v>
      </c>
      <c r="AH73" s="4">
        <v>1</v>
      </c>
      <c r="AI73" s="4">
        <v>1</v>
      </c>
      <c r="AJ73" s="4">
        <v>5</v>
      </c>
      <c r="AK73" s="4">
        <v>6</v>
      </c>
      <c r="AL73" s="4">
        <v>0</v>
      </c>
      <c r="AM73" s="4">
        <v>1</v>
      </c>
      <c r="AN73" s="4">
        <v>0</v>
      </c>
      <c r="AO73" s="4">
        <v>0</v>
      </c>
      <c r="AP73" s="3" t="s">
        <v>58</v>
      </c>
      <c r="AQ73" s="3" t="s">
        <v>69</v>
      </c>
      <c r="AR73" s="6" t="str">
        <f>HYPERLINK("http://catalog.hathitrust.org/Record/000885932","HathiTrust Record")</f>
        <v>HathiTrust Record</v>
      </c>
      <c r="AS73" s="6" t="str">
        <f>HYPERLINK("https://creighton-primo.hosted.exlibrisgroup.com/primo-explore/search?tab=default_tab&amp;search_scope=EVERYTHING&amp;vid=01CRU&amp;lang=en_US&amp;offset=0&amp;query=any,contains,991004425249702656","Catalog Record")</f>
        <v>Catalog Record</v>
      </c>
      <c r="AT73" s="6" t="str">
        <f>HYPERLINK("http://www.worldcat.org/oclc/18162697","WorldCat Record")</f>
        <v>WorldCat Record</v>
      </c>
      <c r="AU73" s="3" t="s">
        <v>1056</v>
      </c>
      <c r="AV73" s="3" t="s">
        <v>1057</v>
      </c>
      <c r="AW73" s="3" t="s">
        <v>1058</v>
      </c>
      <c r="AX73" s="3" t="s">
        <v>1058</v>
      </c>
      <c r="AY73" s="3" t="s">
        <v>1059</v>
      </c>
      <c r="AZ73" s="3" t="s">
        <v>74</v>
      </c>
      <c r="BB73" s="3" t="s">
        <v>1060</v>
      </c>
      <c r="BC73" s="3" t="s">
        <v>1061</v>
      </c>
      <c r="BD73" s="3" t="s">
        <v>1062</v>
      </c>
    </row>
    <row r="74" spans="1:56" ht="34.5" customHeight="1" x14ac:dyDescent="0.25">
      <c r="A74" s="7" t="s">
        <v>58</v>
      </c>
      <c r="B74" s="2" t="s">
        <v>1063</v>
      </c>
      <c r="C74" s="2" t="s">
        <v>1064</v>
      </c>
      <c r="D74" s="2" t="s">
        <v>1065</v>
      </c>
      <c r="F74" s="3" t="s">
        <v>58</v>
      </c>
      <c r="G74" s="3" t="s">
        <v>59</v>
      </c>
      <c r="H74" s="3" t="s">
        <v>58</v>
      </c>
      <c r="I74" s="3" t="s">
        <v>58</v>
      </c>
      <c r="J74" s="3" t="s">
        <v>60</v>
      </c>
      <c r="L74" s="2" t="s">
        <v>1066</v>
      </c>
      <c r="M74" s="3" t="s">
        <v>99</v>
      </c>
      <c r="O74" s="3" t="s">
        <v>64</v>
      </c>
      <c r="P74" s="3" t="s">
        <v>210</v>
      </c>
      <c r="R74" s="3" t="s">
        <v>66</v>
      </c>
      <c r="S74" s="4">
        <v>3</v>
      </c>
      <c r="T74" s="4">
        <v>3</v>
      </c>
      <c r="U74" s="5" t="s">
        <v>1067</v>
      </c>
      <c r="V74" s="5" t="s">
        <v>1067</v>
      </c>
      <c r="W74" s="5" t="s">
        <v>1068</v>
      </c>
      <c r="X74" s="5" t="s">
        <v>1068</v>
      </c>
      <c r="Y74" s="4">
        <v>473</v>
      </c>
      <c r="Z74" s="4">
        <v>401</v>
      </c>
      <c r="AA74" s="4">
        <v>412</v>
      </c>
      <c r="AB74" s="4">
        <v>2</v>
      </c>
      <c r="AC74" s="4">
        <v>2</v>
      </c>
      <c r="AD74" s="4">
        <v>7</v>
      </c>
      <c r="AE74" s="4">
        <v>7</v>
      </c>
      <c r="AF74" s="4">
        <v>3</v>
      </c>
      <c r="AG74" s="4">
        <v>3</v>
      </c>
      <c r="AH74" s="4">
        <v>1</v>
      </c>
      <c r="AI74" s="4">
        <v>1</v>
      </c>
      <c r="AJ74" s="4">
        <v>2</v>
      </c>
      <c r="AK74" s="4">
        <v>2</v>
      </c>
      <c r="AL74" s="4">
        <v>1</v>
      </c>
      <c r="AM74" s="4">
        <v>1</v>
      </c>
      <c r="AN74" s="4">
        <v>0</v>
      </c>
      <c r="AO74" s="4">
        <v>0</v>
      </c>
      <c r="AP74" s="3" t="s">
        <v>58</v>
      </c>
      <c r="AQ74" s="3" t="s">
        <v>69</v>
      </c>
      <c r="AR74" s="6" t="str">
        <f>HYPERLINK("http://catalog.hathitrust.org/Record/000743235","HathiTrust Record")</f>
        <v>HathiTrust Record</v>
      </c>
      <c r="AS74" s="6" t="str">
        <f>HYPERLINK("https://creighton-primo.hosted.exlibrisgroup.com/primo-explore/search?tab=default_tab&amp;search_scope=EVERYTHING&amp;vid=01CRU&amp;lang=en_US&amp;offset=0&amp;query=any,contains,991004942629702656","Catalog Record")</f>
        <v>Catalog Record</v>
      </c>
      <c r="AT74" s="6" t="str">
        <f>HYPERLINK("http://www.worldcat.org/oclc/6195119","WorldCat Record")</f>
        <v>WorldCat Record</v>
      </c>
      <c r="AU74" s="3" t="s">
        <v>1069</v>
      </c>
      <c r="AV74" s="3" t="s">
        <v>1070</v>
      </c>
      <c r="AW74" s="3" t="s">
        <v>1071</v>
      </c>
      <c r="AX74" s="3" t="s">
        <v>1071</v>
      </c>
      <c r="AY74" s="3" t="s">
        <v>1072</v>
      </c>
      <c r="AZ74" s="3" t="s">
        <v>74</v>
      </c>
      <c r="BB74" s="3" t="s">
        <v>1073</v>
      </c>
      <c r="BC74" s="3" t="s">
        <v>1074</v>
      </c>
      <c r="BD74" s="3" t="s">
        <v>1075</v>
      </c>
    </row>
    <row r="75" spans="1:56" ht="34.5" customHeight="1" x14ac:dyDescent="0.25">
      <c r="A75" s="7" t="s">
        <v>58</v>
      </c>
      <c r="B75" s="2" t="s">
        <v>1076</v>
      </c>
      <c r="C75" s="2" t="s">
        <v>1077</v>
      </c>
      <c r="D75" s="2" t="s">
        <v>1078</v>
      </c>
      <c r="F75" s="3" t="s">
        <v>58</v>
      </c>
      <c r="G75" s="3" t="s">
        <v>59</v>
      </c>
      <c r="H75" s="3" t="s">
        <v>58</v>
      </c>
      <c r="I75" s="3" t="s">
        <v>58</v>
      </c>
      <c r="J75" s="3" t="s">
        <v>60</v>
      </c>
      <c r="L75" s="2" t="s">
        <v>1079</v>
      </c>
      <c r="M75" s="3" t="s">
        <v>209</v>
      </c>
      <c r="O75" s="3" t="s">
        <v>64</v>
      </c>
      <c r="P75" s="3" t="s">
        <v>210</v>
      </c>
      <c r="R75" s="3" t="s">
        <v>66</v>
      </c>
      <c r="S75" s="4">
        <v>3</v>
      </c>
      <c r="T75" s="4">
        <v>3</v>
      </c>
      <c r="U75" s="5" t="s">
        <v>1080</v>
      </c>
      <c r="V75" s="5" t="s">
        <v>1080</v>
      </c>
      <c r="W75" s="5" t="s">
        <v>754</v>
      </c>
      <c r="X75" s="5" t="s">
        <v>754</v>
      </c>
      <c r="Y75" s="4">
        <v>209</v>
      </c>
      <c r="Z75" s="4">
        <v>182</v>
      </c>
      <c r="AA75" s="4">
        <v>215</v>
      </c>
      <c r="AB75" s="4">
        <v>2</v>
      </c>
      <c r="AC75" s="4">
        <v>2</v>
      </c>
      <c r="AD75" s="4">
        <v>5</v>
      </c>
      <c r="AE75" s="4">
        <v>5</v>
      </c>
      <c r="AF75" s="4">
        <v>2</v>
      </c>
      <c r="AG75" s="4">
        <v>2</v>
      </c>
      <c r="AH75" s="4">
        <v>1</v>
      </c>
      <c r="AI75" s="4">
        <v>1</v>
      </c>
      <c r="AJ75" s="4">
        <v>1</v>
      </c>
      <c r="AK75" s="4">
        <v>1</v>
      </c>
      <c r="AL75" s="4">
        <v>1</v>
      </c>
      <c r="AM75" s="4">
        <v>1</v>
      </c>
      <c r="AN75" s="4">
        <v>0</v>
      </c>
      <c r="AO75" s="4">
        <v>0</v>
      </c>
      <c r="AP75" s="3" t="s">
        <v>58</v>
      </c>
      <c r="AQ75" s="3" t="s">
        <v>69</v>
      </c>
      <c r="AR75" s="6" t="str">
        <f>HYPERLINK("http://catalog.hathitrust.org/Record/000583071","HathiTrust Record")</f>
        <v>HathiTrust Record</v>
      </c>
      <c r="AS75" s="6" t="str">
        <f>HYPERLINK("https://creighton-primo.hosted.exlibrisgroup.com/primo-explore/search?tab=default_tab&amp;search_scope=EVERYTHING&amp;vid=01CRU&amp;lang=en_US&amp;offset=0&amp;query=any,contains,991000847119702656","Catalog Record")</f>
        <v>Catalog Record</v>
      </c>
      <c r="AT75" s="6" t="str">
        <f>HYPERLINK("http://www.worldcat.org/oclc/13564704","WorldCat Record")</f>
        <v>WorldCat Record</v>
      </c>
      <c r="AU75" s="3" t="s">
        <v>1081</v>
      </c>
      <c r="AV75" s="3" t="s">
        <v>1082</v>
      </c>
      <c r="AW75" s="3" t="s">
        <v>1083</v>
      </c>
      <c r="AX75" s="3" t="s">
        <v>1083</v>
      </c>
      <c r="AY75" s="3" t="s">
        <v>1084</v>
      </c>
      <c r="AZ75" s="3" t="s">
        <v>74</v>
      </c>
      <c r="BB75" s="3" t="s">
        <v>1085</v>
      </c>
      <c r="BC75" s="3" t="s">
        <v>1086</v>
      </c>
      <c r="BD75" s="3" t="s">
        <v>1087</v>
      </c>
    </row>
    <row r="76" spans="1:56" ht="34.5" customHeight="1" x14ac:dyDescent="0.25">
      <c r="A76" s="7" t="s">
        <v>58</v>
      </c>
      <c r="B76" s="2" t="s">
        <v>1088</v>
      </c>
      <c r="C76" s="2" t="s">
        <v>1089</v>
      </c>
      <c r="D76" s="2" t="s">
        <v>1090</v>
      </c>
      <c r="F76" s="3" t="s">
        <v>58</v>
      </c>
      <c r="G76" s="3" t="s">
        <v>59</v>
      </c>
      <c r="H76" s="3" t="s">
        <v>58</v>
      </c>
      <c r="I76" s="3" t="s">
        <v>58</v>
      </c>
      <c r="J76" s="3" t="s">
        <v>60</v>
      </c>
      <c r="K76" s="2" t="s">
        <v>1091</v>
      </c>
      <c r="L76" s="2" t="s">
        <v>1092</v>
      </c>
      <c r="M76" s="3" t="s">
        <v>607</v>
      </c>
      <c r="O76" s="3" t="s">
        <v>64</v>
      </c>
      <c r="P76" s="3" t="s">
        <v>252</v>
      </c>
      <c r="R76" s="3" t="s">
        <v>66</v>
      </c>
      <c r="S76" s="4">
        <v>2</v>
      </c>
      <c r="T76" s="4">
        <v>2</v>
      </c>
      <c r="U76" s="5" t="s">
        <v>1093</v>
      </c>
      <c r="V76" s="5" t="s">
        <v>1093</v>
      </c>
      <c r="W76" s="5" t="s">
        <v>1094</v>
      </c>
      <c r="X76" s="5" t="s">
        <v>1094</v>
      </c>
      <c r="Y76" s="4">
        <v>475</v>
      </c>
      <c r="Z76" s="4">
        <v>412</v>
      </c>
      <c r="AA76" s="4">
        <v>417</v>
      </c>
      <c r="AB76" s="4">
        <v>4</v>
      </c>
      <c r="AC76" s="4">
        <v>4</v>
      </c>
      <c r="AD76" s="4">
        <v>13</v>
      </c>
      <c r="AE76" s="4">
        <v>13</v>
      </c>
      <c r="AF76" s="4">
        <v>4</v>
      </c>
      <c r="AG76" s="4">
        <v>4</v>
      </c>
      <c r="AH76" s="4">
        <v>4</v>
      </c>
      <c r="AI76" s="4">
        <v>4</v>
      </c>
      <c r="AJ76" s="4">
        <v>5</v>
      </c>
      <c r="AK76" s="4">
        <v>5</v>
      </c>
      <c r="AL76" s="4">
        <v>3</v>
      </c>
      <c r="AM76" s="4">
        <v>3</v>
      </c>
      <c r="AN76" s="4">
        <v>0</v>
      </c>
      <c r="AO76" s="4">
        <v>0</v>
      </c>
      <c r="AP76" s="3" t="s">
        <v>58</v>
      </c>
      <c r="AQ76" s="3" t="s">
        <v>58</v>
      </c>
      <c r="AS76" s="6" t="str">
        <f>HYPERLINK("https://creighton-primo.hosted.exlibrisgroup.com/primo-explore/search?tab=default_tab&amp;search_scope=EVERYTHING&amp;vid=01CRU&amp;lang=en_US&amp;offset=0&amp;query=any,contains,991002894229702656","Catalog Record")</f>
        <v>Catalog Record</v>
      </c>
      <c r="AT76" s="6" t="str">
        <f>HYPERLINK("http://www.worldcat.org/oclc/513174","WorldCat Record")</f>
        <v>WorldCat Record</v>
      </c>
      <c r="AU76" s="3" t="s">
        <v>1095</v>
      </c>
      <c r="AV76" s="3" t="s">
        <v>1096</v>
      </c>
      <c r="AW76" s="3" t="s">
        <v>1097</v>
      </c>
      <c r="AX76" s="3" t="s">
        <v>1097</v>
      </c>
      <c r="AY76" s="3" t="s">
        <v>1098</v>
      </c>
      <c r="AZ76" s="3" t="s">
        <v>74</v>
      </c>
      <c r="BC76" s="3" t="s">
        <v>1099</v>
      </c>
      <c r="BD76" s="3" t="s">
        <v>1100</v>
      </c>
    </row>
    <row r="77" spans="1:56" ht="34.5" customHeight="1" x14ac:dyDescent="0.25">
      <c r="A77" s="7" t="s">
        <v>58</v>
      </c>
      <c r="B77" s="2" t="s">
        <v>1101</v>
      </c>
      <c r="C77" s="2" t="s">
        <v>1102</v>
      </c>
      <c r="D77" s="2" t="s">
        <v>1103</v>
      </c>
      <c r="F77" s="3" t="s">
        <v>58</v>
      </c>
      <c r="G77" s="3" t="s">
        <v>59</v>
      </c>
      <c r="H77" s="3" t="s">
        <v>58</v>
      </c>
      <c r="I77" s="3" t="s">
        <v>58</v>
      </c>
      <c r="J77" s="3" t="s">
        <v>60</v>
      </c>
      <c r="K77" s="2" t="s">
        <v>1104</v>
      </c>
      <c r="L77" s="2" t="s">
        <v>1105</v>
      </c>
      <c r="M77" s="3" t="s">
        <v>368</v>
      </c>
      <c r="O77" s="3" t="s">
        <v>64</v>
      </c>
      <c r="P77" s="3" t="s">
        <v>177</v>
      </c>
      <c r="Q77" s="2" t="s">
        <v>1106</v>
      </c>
      <c r="R77" s="3" t="s">
        <v>66</v>
      </c>
      <c r="S77" s="4">
        <v>3</v>
      </c>
      <c r="T77" s="4">
        <v>3</v>
      </c>
      <c r="U77" s="5" t="s">
        <v>1107</v>
      </c>
      <c r="V77" s="5" t="s">
        <v>1107</v>
      </c>
      <c r="W77" s="5" t="s">
        <v>1108</v>
      </c>
      <c r="X77" s="5" t="s">
        <v>1108</v>
      </c>
      <c r="Y77" s="4">
        <v>419</v>
      </c>
      <c r="Z77" s="4">
        <v>340</v>
      </c>
      <c r="AA77" s="4">
        <v>368</v>
      </c>
      <c r="AB77" s="4">
        <v>1</v>
      </c>
      <c r="AC77" s="4">
        <v>2</v>
      </c>
      <c r="AD77" s="4">
        <v>12</v>
      </c>
      <c r="AE77" s="4">
        <v>13</v>
      </c>
      <c r="AF77" s="4">
        <v>2</v>
      </c>
      <c r="AG77" s="4">
        <v>2</v>
      </c>
      <c r="AH77" s="4">
        <v>4</v>
      </c>
      <c r="AI77" s="4">
        <v>4</v>
      </c>
      <c r="AJ77" s="4">
        <v>6</v>
      </c>
      <c r="AK77" s="4">
        <v>6</v>
      </c>
      <c r="AL77" s="4">
        <v>0</v>
      </c>
      <c r="AM77" s="4">
        <v>1</v>
      </c>
      <c r="AN77" s="4">
        <v>0</v>
      </c>
      <c r="AO77" s="4">
        <v>0</v>
      </c>
      <c r="AP77" s="3" t="s">
        <v>58</v>
      </c>
      <c r="AQ77" s="3" t="s">
        <v>69</v>
      </c>
      <c r="AR77" s="6" t="str">
        <f>HYPERLINK("http://catalog.hathitrust.org/Record/000409669","HathiTrust Record")</f>
        <v>HathiTrust Record</v>
      </c>
      <c r="AS77" s="6" t="str">
        <f>HYPERLINK("https://creighton-primo.hosted.exlibrisgroup.com/primo-explore/search?tab=default_tab&amp;search_scope=EVERYTHING&amp;vid=01CRU&amp;lang=en_US&amp;offset=0&amp;query=any,contains,991002096759702656","Catalog Record")</f>
        <v>Catalog Record</v>
      </c>
      <c r="AT77" s="6" t="str">
        <f>HYPERLINK("http://www.worldcat.org/oclc/265835","WorldCat Record")</f>
        <v>WorldCat Record</v>
      </c>
      <c r="AU77" s="3" t="s">
        <v>1109</v>
      </c>
      <c r="AV77" s="3" t="s">
        <v>1110</v>
      </c>
      <c r="AW77" s="3" t="s">
        <v>1111</v>
      </c>
      <c r="AX77" s="3" t="s">
        <v>1111</v>
      </c>
      <c r="AY77" s="3" t="s">
        <v>1112</v>
      </c>
      <c r="AZ77" s="3" t="s">
        <v>74</v>
      </c>
      <c r="BC77" s="3" t="s">
        <v>1113</v>
      </c>
      <c r="BD77" s="3" t="s">
        <v>1114</v>
      </c>
    </row>
    <row r="78" spans="1:56" ht="34.5" customHeight="1" x14ac:dyDescent="0.25">
      <c r="A78" s="7" t="s">
        <v>58</v>
      </c>
      <c r="B78" s="2" t="s">
        <v>1115</v>
      </c>
      <c r="C78" s="2" t="s">
        <v>1116</v>
      </c>
      <c r="D78" s="2" t="s">
        <v>1117</v>
      </c>
      <c r="F78" s="3" t="s">
        <v>58</v>
      </c>
      <c r="G78" s="3" t="s">
        <v>59</v>
      </c>
      <c r="H78" s="3" t="s">
        <v>58</v>
      </c>
      <c r="I78" s="3" t="s">
        <v>58</v>
      </c>
      <c r="J78" s="3" t="s">
        <v>60</v>
      </c>
      <c r="K78" s="2" t="s">
        <v>1118</v>
      </c>
      <c r="L78" s="2" t="s">
        <v>1119</v>
      </c>
      <c r="M78" s="3" t="s">
        <v>494</v>
      </c>
      <c r="O78" s="3" t="s">
        <v>64</v>
      </c>
      <c r="P78" s="3" t="s">
        <v>65</v>
      </c>
      <c r="Q78" s="2" t="s">
        <v>1120</v>
      </c>
      <c r="R78" s="3" t="s">
        <v>66</v>
      </c>
      <c r="S78" s="4">
        <v>1</v>
      </c>
      <c r="T78" s="4">
        <v>1</v>
      </c>
      <c r="U78" s="5" t="s">
        <v>1121</v>
      </c>
      <c r="V78" s="5" t="s">
        <v>1121</v>
      </c>
      <c r="W78" s="5" t="s">
        <v>102</v>
      </c>
      <c r="X78" s="5" t="s">
        <v>102</v>
      </c>
      <c r="Y78" s="4">
        <v>271</v>
      </c>
      <c r="Z78" s="4">
        <v>248</v>
      </c>
      <c r="AA78" s="4">
        <v>308</v>
      </c>
      <c r="AB78" s="4">
        <v>2</v>
      </c>
      <c r="AC78" s="4">
        <v>2</v>
      </c>
      <c r="AD78" s="4">
        <v>13</v>
      </c>
      <c r="AE78" s="4">
        <v>15</v>
      </c>
      <c r="AF78" s="4">
        <v>4</v>
      </c>
      <c r="AG78" s="4">
        <v>5</v>
      </c>
      <c r="AH78" s="4">
        <v>4</v>
      </c>
      <c r="AI78" s="4">
        <v>4</v>
      </c>
      <c r="AJ78" s="4">
        <v>6</v>
      </c>
      <c r="AK78" s="4">
        <v>8</v>
      </c>
      <c r="AL78" s="4">
        <v>1</v>
      </c>
      <c r="AM78" s="4">
        <v>1</v>
      </c>
      <c r="AN78" s="4">
        <v>0</v>
      </c>
      <c r="AO78" s="4">
        <v>0</v>
      </c>
      <c r="AP78" s="3" t="s">
        <v>69</v>
      </c>
      <c r="AQ78" s="3" t="s">
        <v>58</v>
      </c>
      <c r="AR78" s="6" t="str">
        <f>HYPERLINK("http://catalog.hathitrust.org/Record/006219262","HathiTrust Record")</f>
        <v>HathiTrust Record</v>
      </c>
      <c r="AS78" s="6" t="str">
        <f>HYPERLINK("https://creighton-primo.hosted.exlibrisgroup.com/primo-explore/search?tab=default_tab&amp;search_scope=EVERYTHING&amp;vid=01CRU&amp;lang=en_US&amp;offset=0&amp;query=any,contains,991003569769702656","Catalog Record")</f>
        <v>Catalog Record</v>
      </c>
      <c r="AT78" s="6" t="str">
        <f>HYPERLINK("http://www.worldcat.org/oclc/1144621","WorldCat Record")</f>
        <v>WorldCat Record</v>
      </c>
      <c r="AU78" s="3" t="s">
        <v>1122</v>
      </c>
      <c r="AV78" s="3" t="s">
        <v>1123</v>
      </c>
      <c r="AW78" s="3" t="s">
        <v>1124</v>
      </c>
      <c r="AX78" s="3" t="s">
        <v>1124</v>
      </c>
      <c r="AY78" s="3" t="s">
        <v>1125</v>
      </c>
      <c r="AZ78" s="3" t="s">
        <v>74</v>
      </c>
      <c r="BB78" s="3" t="s">
        <v>1126</v>
      </c>
      <c r="BC78" s="3" t="s">
        <v>1127</v>
      </c>
      <c r="BD78" s="3" t="s">
        <v>1128</v>
      </c>
    </row>
    <row r="79" spans="1:56" ht="34.5" customHeight="1" x14ac:dyDescent="0.25">
      <c r="A79" s="7" t="s">
        <v>58</v>
      </c>
      <c r="B79" s="2" t="s">
        <v>1129</v>
      </c>
      <c r="C79" s="2" t="s">
        <v>1130</v>
      </c>
      <c r="D79" s="2" t="s">
        <v>1131</v>
      </c>
      <c r="F79" s="3" t="s">
        <v>58</v>
      </c>
      <c r="G79" s="3" t="s">
        <v>59</v>
      </c>
      <c r="H79" s="3" t="s">
        <v>58</v>
      </c>
      <c r="I79" s="3" t="s">
        <v>58</v>
      </c>
      <c r="J79" s="3" t="s">
        <v>60</v>
      </c>
      <c r="K79" s="2" t="s">
        <v>1132</v>
      </c>
      <c r="L79" s="2" t="s">
        <v>1133</v>
      </c>
      <c r="M79" s="3" t="s">
        <v>1134</v>
      </c>
      <c r="O79" s="3" t="s">
        <v>64</v>
      </c>
      <c r="P79" s="3" t="s">
        <v>84</v>
      </c>
      <c r="R79" s="3" t="s">
        <v>66</v>
      </c>
      <c r="S79" s="4">
        <v>9</v>
      </c>
      <c r="T79" s="4">
        <v>9</v>
      </c>
      <c r="U79" s="5" t="s">
        <v>1107</v>
      </c>
      <c r="V79" s="5" t="s">
        <v>1107</v>
      </c>
      <c r="W79" s="5" t="s">
        <v>1135</v>
      </c>
      <c r="X79" s="5" t="s">
        <v>1135</v>
      </c>
      <c r="Y79" s="4">
        <v>239</v>
      </c>
      <c r="Z79" s="4">
        <v>170</v>
      </c>
      <c r="AA79" s="4">
        <v>543</v>
      </c>
      <c r="AB79" s="4">
        <v>3</v>
      </c>
      <c r="AC79" s="4">
        <v>5</v>
      </c>
      <c r="AD79" s="4">
        <v>7</v>
      </c>
      <c r="AE79" s="4">
        <v>22</v>
      </c>
      <c r="AF79" s="4">
        <v>2</v>
      </c>
      <c r="AG79" s="4">
        <v>8</v>
      </c>
      <c r="AH79" s="4">
        <v>2</v>
      </c>
      <c r="AI79" s="4">
        <v>6</v>
      </c>
      <c r="AJ79" s="4">
        <v>3</v>
      </c>
      <c r="AK79" s="4">
        <v>12</v>
      </c>
      <c r="AL79" s="4">
        <v>2</v>
      </c>
      <c r="AM79" s="4">
        <v>4</v>
      </c>
      <c r="AN79" s="4">
        <v>0</v>
      </c>
      <c r="AO79" s="4">
        <v>0</v>
      </c>
      <c r="AP79" s="3" t="s">
        <v>58</v>
      </c>
      <c r="AQ79" s="3" t="s">
        <v>58</v>
      </c>
      <c r="AS79" s="6" t="str">
        <f>HYPERLINK("https://creighton-primo.hosted.exlibrisgroup.com/primo-explore/search?tab=default_tab&amp;search_scope=EVERYTHING&amp;vid=01CRU&amp;lang=en_US&amp;offset=0&amp;query=any,contains,991003517829702656","Catalog Record")</f>
        <v>Catalog Record</v>
      </c>
      <c r="AT79" s="6" t="str">
        <f>HYPERLINK("http://www.worldcat.org/oclc/1076246","WorldCat Record")</f>
        <v>WorldCat Record</v>
      </c>
      <c r="AU79" s="3" t="s">
        <v>1136</v>
      </c>
      <c r="AV79" s="3" t="s">
        <v>1137</v>
      </c>
      <c r="AW79" s="3" t="s">
        <v>1138</v>
      </c>
      <c r="AX79" s="3" t="s">
        <v>1138</v>
      </c>
      <c r="AY79" s="3" t="s">
        <v>1139</v>
      </c>
      <c r="AZ79" s="3" t="s">
        <v>74</v>
      </c>
      <c r="BC79" s="3" t="s">
        <v>1140</v>
      </c>
      <c r="BD79" s="3" t="s">
        <v>1141</v>
      </c>
    </row>
    <row r="80" spans="1:56" ht="34.5" customHeight="1" x14ac:dyDescent="0.25">
      <c r="A80" s="7" t="s">
        <v>58</v>
      </c>
      <c r="B80" s="2" t="s">
        <v>1142</v>
      </c>
      <c r="C80" s="2" t="s">
        <v>1143</v>
      </c>
      <c r="D80" s="2" t="s">
        <v>1144</v>
      </c>
      <c r="F80" s="3" t="s">
        <v>58</v>
      </c>
      <c r="G80" s="3" t="s">
        <v>59</v>
      </c>
      <c r="H80" s="3" t="s">
        <v>58</v>
      </c>
      <c r="I80" s="3" t="s">
        <v>58</v>
      </c>
      <c r="J80" s="3" t="s">
        <v>60</v>
      </c>
      <c r="K80" s="2" t="s">
        <v>1145</v>
      </c>
      <c r="L80" s="2" t="s">
        <v>1146</v>
      </c>
      <c r="M80" s="3" t="s">
        <v>382</v>
      </c>
      <c r="O80" s="3" t="s">
        <v>64</v>
      </c>
      <c r="P80" s="3" t="s">
        <v>252</v>
      </c>
      <c r="R80" s="3" t="s">
        <v>66</v>
      </c>
      <c r="S80" s="4">
        <v>1</v>
      </c>
      <c r="T80" s="4">
        <v>1</v>
      </c>
      <c r="U80" s="5" t="s">
        <v>1147</v>
      </c>
      <c r="V80" s="5" t="s">
        <v>1147</v>
      </c>
      <c r="W80" s="5" t="s">
        <v>1147</v>
      </c>
      <c r="X80" s="5" t="s">
        <v>1147</v>
      </c>
      <c r="Y80" s="4">
        <v>617</v>
      </c>
      <c r="Z80" s="4">
        <v>431</v>
      </c>
      <c r="AA80" s="4">
        <v>437</v>
      </c>
      <c r="AB80" s="4">
        <v>2</v>
      </c>
      <c r="AC80" s="4">
        <v>2</v>
      </c>
      <c r="AD80" s="4">
        <v>16</v>
      </c>
      <c r="AE80" s="4">
        <v>16</v>
      </c>
      <c r="AF80" s="4">
        <v>4</v>
      </c>
      <c r="AG80" s="4">
        <v>4</v>
      </c>
      <c r="AH80" s="4">
        <v>4</v>
      </c>
      <c r="AI80" s="4">
        <v>4</v>
      </c>
      <c r="AJ80" s="4">
        <v>10</v>
      </c>
      <c r="AK80" s="4">
        <v>10</v>
      </c>
      <c r="AL80" s="4">
        <v>1</v>
      </c>
      <c r="AM80" s="4">
        <v>1</v>
      </c>
      <c r="AN80" s="4">
        <v>0</v>
      </c>
      <c r="AO80" s="4">
        <v>0</v>
      </c>
      <c r="AP80" s="3" t="s">
        <v>58</v>
      </c>
      <c r="AQ80" s="3" t="s">
        <v>58</v>
      </c>
      <c r="AS80" s="6" t="str">
        <f>HYPERLINK("https://creighton-primo.hosted.exlibrisgroup.com/primo-explore/search?tab=default_tab&amp;search_scope=EVERYTHING&amp;vid=01CRU&amp;lang=en_US&amp;offset=0&amp;query=any,contains,991000109079702656","Catalog Record")</f>
        <v>Catalog Record</v>
      </c>
      <c r="AT80" s="6" t="str">
        <f>HYPERLINK("http://www.worldcat.org/oclc/13330006","WorldCat Record")</f>
        <v>WorldCat Record</v>
      </c>
      <c r="AU80" s="3" t="s">
        <v>1148</v>
      </c>
      <c r="AV80" s="3" t="s">
        <v>1149</v>
      </c>
      <c r="AW80" s="3" t="s">
        <v>1150</v>
      </c>
      <c r="AX80" s="3" t="s">
        <v>1150</v>
      </c>
      <c r="AY80" s="3" t="s">
        <v>1151</v>
      </c>
      <c r="AZ80" s="3" t="s">
        <v>74</v>
      </c>
      <c r="BB80" s="3" t="s">
        <v>1152</v>
      </c>
      <c r="BC80" s="3" t="s">
        <v>1153</v>
      </c>
      <c r="BD80" s="3" t="s">
        <v>1154</v>
      </c>
    </row>
    <row r="81" spans="1:56" ht="34.5" customHeight="1" x14ac:dyDescent="0.25">
      <c r="A81" s="7" t="s">
        <v>58</v>
      </c>
      <c r="B81" s="2" t="s">
        <v>1155</v>
      </c>
      <c r="C81" s="2" t="s">
        <v>1156</v>
      </c>
      <c r="D81" s="2" t="s">
        <v>1157</v>
      </c>
      <c r="F81" s="3" t="s">
        <v>58</v>
      </c>
      <c r="G81" s="3" t="s">
        <v>59</v>
      </c>
      <c r="H81" s="3" t="s">
        <v>58</v>
      </c>
      <c r="I81" s="3" t="s">
        <v>58</v>
      </c>
      <c r="J81" s="3" t="s">
        <v>60</v>
      </c>
      <c r="K81" s="2" t="s">
        <v>1158</v>
      </c>
      <c r="L81" s="2" t="s">
        <v>1159</v>
      </c>
      <c r="M81" s="3" t="s">
        <v>479</v>
      </c>
      <c r="O81" s="3" t="s">
        <v>64</v>
      </c>
      <c r="P81" s="3" t="s">
        <v>1160</v>
      </c>
      <c r="Q81" s="2" t="s">
        <v>1161</v>
      </c>
      <c r="R81" s="3" t="s">
        <v>66</v>
      </c>
      <c r="S81" s="4">
        <v>3</v>
      </c>
      <c r="T81" s="4">
        <v>3</v>
      </c>
      <c r="U81" s="5" t="s">
        <v>1162</v>
      </c>
      <c r="V81" s="5" t="s">
        <v>1162</v>
      </c>
      <c r="W81" s="5" t="s">
        <v>1163</v>
      </c>
      <c r="X81" s="5" t="s">
        <v>1163</v>
      </c>
      <c r="Y81" s="4">
        <v>140</v>
      </c>
      <c r="Z81" s="4">
        <v>94</v>
      </c>
      <c r="AA81" s="4">
        <v>97</v>
      </c>
      <c r="AB81" s="4">
        <v>2</v>
      </c>
      <c r="AC81" s="4">
        <v>2</v>
      </c>
      <c r="AD81" s="4">
        <v>5</v>
      </c>
      <c r="AE81" s="4">
        <v>5</v>
      </c>
      <c r="AF81" s="4">
        <v>2</v>
      </c>
      <c r="AG81" s="4">
        <v>2</v>
      </c>
      <c r="AH81" s="4">
        <v>1</v>
      </c>
      <c r="AI81" s="4">
        <v>1</v>
      </c>
      <c r="AJ81" s="4">
        <v>3</v>
      </c>
      <c r="AK81" s="4">
        <v>3</v>
      </c>
      <c r="AL81" s="4">
        <v>1</v>
      </c>
      <c r="AM81" s="4">
        <v>1</v>
      </c>
      <c r="AN81" s="4">
        <v>0</v>
      </c>
      <c r="AO81" s="4">
        <v>0</v>
      </c>
      <c r="AP81" s="3" t="s">
        <v>58</v>
      </c>
      <c r="AQ81" s="3" t="s">
        <v>69</v>
      </c>
      <c r="AR81" s="6" t="str">
        <f>HYPERLINK("http://catalog.hathitrust.org/Record/003452495","HathiTrust Record")</f>
        <v>HathiTrust Record</v>
      </c>
      <c r="AS81" s="6" t="str">
        <f>HYPERLINK("https://creighton-primo.hosted.exlibrisgroup.com/primo-explore/search?tab=default_tab&amp;search_scope=EVERYTHING&amp;vid=01CRU&amp;lang=en_US&amp;offset=0&amp;query=any,contains,991003606169702656","Catalog Record")</f>
        <v>Catalog Record</v>
      </c>
      <c r="AT81" s="6" t="str">
        <f>HYPERLINK("http://www.worldcat.org/oclc/43731848","WorldCat Record")</f>
        <v>WorldCat Record</v>
      </c>
      <c r="AU81" s="3" t="s">
        <v>1164</v>
      </c>
      <c r="AV81" s="3" t="s">
        <v>1165</v>
      </c>
      <c r="AW81" s="3" t="s">
        <v>1166</v>
      </c>
      <c r="AX81" s="3" t="s">
        <v>1166</v>
      </c>
      <c r="AY81" s="3" t="s">
        <v>1167</v>
      </c>
      <c r="AZ81" s="3" t="s">
        <v>74</v>
      </c>
      <c r="BB81" s="3" t="s">
        <v>1168</v>
      </c>
      <c r="BC81" s="3" t="s">
        <v>1169</v>
      </c>
      <c r="BD81" s="3" t="s">
        <v>1170</v>
      </c>
    </row>
    <row r="82" spans="1:56" ht="34.5" customHeight="1" x14ac:dyDescent="0.25">
      <c r="A82" s="7" t="s">
        <v>58</v>
      </c>
      <c r="B82" s="2" t="s">
        <v>1171</v>
      </c>
      <c r="C82" s="2" t="s">
        <v>1172</v>
      </c>
      <c r="D82" s="2" t="s">
        <v>1173</v>
      </c>
      <c r="F82" s="3" t="s">
        <v>58</v>
      </c>
      <c r="G82" s="3" t="s">
        <v>59</v>
      </c>
      <c r="H82" s="3" t="s">
        <v>58</v>
      </c>
      <c r="I82" s="3" t="s">
        <v>58</v>
      </c>
      <c r="J82" s="3" t="s">
        <v>60</v>
      </c>
      <c r="K82" s="2" t="s">
        <v>1174</v>
      </c>
      <c r="L82" s="2" t="s">
        <v>1175</v>
      </c>
      <c r="M82" s="3" t="s">
        <v>450</v>
      </c>
      <c r="O82" s="3" t="s">
        <v>64</v>
      </c>
      <c r="P82" s="3" t="s">
        <v>84</v>
      </c>
      <c r="Q82" s="2" t="s">
        <v>1176</v>
      </c>
      <c r="R82" s="3" t="s">
        <v>66</v>
      </c>
      <c r="S82" s="4">
        <v>4</v>
      </c>
      <c r="T82" s="4">
        <v>4</v>
      </c>
      <c r="U82" s="5" t="s">
        <v>1177</v>
      </c>
      <c r="V82" s="5" t="s">
        <v>1177</v>
      </c>
      <c r="W82" s="5" t="s">
        <v>1178</v>
      </c>
      <c r="X82" s="5" t="s">
        <v>1178</v>
      </c>
      <c r="Y82" s="4">
        <v>232</v>
      </c>
      <c r="Z82" s="4">
        <v>75</v>
      </c>
      <c r="AA82" s="4">
        <v>77</v>
      </c>
      <c r="AB82" s="4">
        <v>2</v>
      </c>
      <c r="AC82" s="4">
        <v>2</v>
      </c>
      <c r="AD82" s="4">
        <v>4</v>
      </c>
      <c r="AE82" s="4">
        <v>4</v>
      </c>
      <c r="AF82" s="4">
        <v>1</v>
      </c>
      <c r="AG82" s="4">
        <v>1</v>
      </c>
      <c r="AH82" s="4">
        <v>0</v>
      </c>
      <c r="AI82" s="4">
        <v>0</v>
      </c>
      <c r="AJ82" s="4">
        <v>2</v>
      </c>
      <c r="AK82" s="4">
        <v>2</v>
      </c>
      <c r="AL82" s="4">
        <v>1</v>
      </c>
      <c r="AM82" s="4">
        <v>1</v>
      </c>
      <c r="AN82" s="4">
        <v>0</v>
      </c>
      <c r="AO82" s="4">
        <v>0</v>
      </c>
      <c r="AP82" s="3" t="s">
        <v>58</v>
      </c>
      <c r="AQ82" s="3" t="s">
        <v>69</v>
      </c>
      <c r="AR82" s="6" t="str">
        <f>HYPERLINK("http://catalog.hathitrust.org/Record/007476899","HathiTrust Record")</f>
        <v>HathiTrust Record</v>
      </c>
      <c r="AS82" s="6" t="str">
        <f>HYPERLINK("https://creighton-primo.hosted.exlibrisgroup.com/primo-explore/search?tab=default_tab&amp;search_scope=EVERYTHING&amp;vid=01CRU&amp;lang=en_US&amp;offset=0&amp;query=any,contains,991004375099702656","Catalog Record")</f>
        <v>Catalog Record</v>
      </c>
      <c r="AT82" s="6" t="str">
        <f>HYPERLINK("http://www.worldcat.org/oclc/3204413","WorldCat Record")</f>
        <v>WorldCat Record</v>
      </c>
      <c r="AU82" s="3" t="s">
        <v>1179</v>
      </c>
      <c r="AV82" s="3" t="s">
        <v>1180</v>
      </c>
      <c r="AW82" s="3" t="s">
        <v>1181</v>
      </c>
      <c r="AX82" s="3" t="s">
        <v>1181</v>
      </c>
      <c r="AY82" s="3" t="s">
        <v>1182</v>
      </c>
      <c r="AZ82" s="3" t="s">
        <v>74</v>
      </c>
      <c r="BB82" s="3" t="s">
        <v>1183</v>
      </c>
      <c r="BC82" s="3" t="s">
        <v>1184</v>
      </c>
      <c r="BD82" s="3" t="s">
        <v>1185</v>
      </c>
    </row>
    <row r="83" spans="1:56" ht="34.5" customHeight="1" x14ac:dyDescent="0.25">
      <c r="A83" s="7" t="s">
        <v>58</v>
      </c>
      <c r="B83" s="2" t="s">
        <v>1186</v>
      </c>
      <c r="C83" s="2" t="s">
        <v>1187</v>
      </c>
      <c r="D83" s="2" t="s">
        <v>1188</v>
      </c>
      <c r="F83" s="3" t="s">
        <v>58</v>
      </c>
      <c r="G83" s="3" t="s">
        <v>59</v>
      </c>
      <c r="H83" s="3" t="s">
        <v>58</v>
      </c>
      <c r="I83" s="3" t="s">
        <v>58</v>
      </c>
      <c r="J83" s="3" t="s">
        <v>60</v>
      </c>
      <c r="K83" s="2" t="s">
        <v>1189</v>
      </c>
      <c r="L83" s="2" t="s">
        <v>1190</v>
      </c>
      <c r="M83" s="3" t="s">
        <v>1191</v>
      </c>
      <c r="N83" s="2" t="s">
        <v>1192</v>
      </c>
      <c r="O83" s="3" t="s">
        <v>64</v>
      </c>
      <c r="P83" s="3" t="s">
        <v>84</v>
      </c>
      <c r="R83" s="3" t="s">
        <v>66</v>
      </c>
      <c r="S83" s="4">
        <v>11</v>
      </c>
      <c r="T83" s="4">
        <v>11</v>
      </c>
      <c r="U83" s="5" t="s">
        <v>1177</v>
      </c>
      <c r="V83" s="5" t="s">
        <v>1177</v>
      </c>
      <c r="W83" s="5" t="s">
        <v>1193</v>
      </c>
      <c r="X83" s="5" t="s">
        <v>1193</v>
      </c>
      <c r="Y83" s="4">
        <v>417</v>
      </c>
      <c r="Z83" s="4">
        <v>361</v>
      </c>
      <c r="AA83" s="4">
        <v>611</v>
      </c>
      <c r="AB83" s="4">
        <v>3</v>
      </c>
      <c r="AC83" s="4">
        <v>4</v>
      </c>
      <c r="AD83" s="4">
        <v>20</v>
      </c>
      <c r="AE83" s="4">
        <v>34</v>
      </c>
      <c r="AF83" s="4">
        <v>6</v>
      </c>
      <c r="AG83" s="4">
        <v>14</v>
      </c>
      <c r="AH83" s="4">
        <v>6</v>
      </c>
      <c r="AI83" s="4">
        <v>9</v>
      </c>
      <c r="AJ83" s="4">
        <v>11</v>
      </c>
      <c r="AK83" s="4">
        <v>18</v>
      </c>
      <c r="AL83" s="4">
        <v>2</v>
      </c>
      <c r="AM83" s="4">
        <v>2</v>
      </c>
      <c r="AN83" s="4">
        <v>0</v>
      </c>
      <c r="AO83" s="4">
        <v>0</v>
      </c>
      <c r="AP83" s="3" t="s">
        <v>58</v>
      </c>
      <c r="AQ83" s="3" t="s">
        <v>69</v>
      </c>
      <c r="AR83" s="6" t="str">
        <f>HYPERLINK("http://catalog.hathitrust.org/Record/000409145","HathiTrust Record")</f>
        <v>HathiTrust Record</v>
      </c>
      <c r="AS83" s="6" t="str">
        <f>HYPERLINK("https://creighton-primo.hosted.exlibrisgroup.com/primo-explore/search?tab=default_tab&amp;search_scope=EVERYTHING&amp;vid=01CRU&amp;lang=en_US&amp;offset=0&amp;query=any,contains,991003507049702656","Catalog Record")</f>
        <v>Catalog Record</v>
      </c>
      <c r="AT83" s="6" t="str">
        <f>HYPERLINK("http://www.worldcat.org/oclc/1059513","WorldCat Record")</f>
        <v>WorldCat Record</v>
      </c>
      <c r="AU83" s="3" t="s">
        <v>1194</v>
      </c>
      <c r="AV83" s="3" t="s">
        <v>1195</v>
      </c>
      <c r="AW83" s="3" t="s">
        <v>1196</v>
      </c>
      <c r="AX83" s="3" t="s">
        <v>1196</v>
      </c>
      <c r="AY83" s="3" t="s">
        <v>1197</v>
      </c>
      <c r="AZ83" s="3" t="s">
        <v>74</v>
      </c>
      <c r="BC83" s="3" t="s">
        <v>1198</v>
      </c>
      <c r="BD83" s="3" t="s">
        <v>1199</v>
      </c>
    </row>
    <row r="84" spans="1:56" ht="34.5" customHeight="1" x14ac:dyDescent="0.25">
      <c r="A84" s="7" t="s">
        <v>58</v>
      </c>
      <c r="B84" s="2" t="s">
        <v>1200</v>
      </c>
      <c r="C84" s="2" t="s">
        <v>1201</v>
      </c>
      <c r="D84" s="2" t="s">
        <v>1202</v>
      </c>
      <c r="F84" s="3" t="s">
        <v>58</v>
      </c>
      <c r="G84" s="3" t="s">
        <v>59</v>
      </c>
      <c r="H84" s="3" t="s">
        <v>58</v>
      </c>
      <c r="I84" s="3" t="s">
        <v>58</v>
      </c>
      <c r="J84" s="3" t="s">
        <v>60</v>
      </c>
      <c r="K84" s="2" t="s">
        <v>1203</v>
      </c>
      <c r="L84" s="2" t="s">
        <v>1204</v>
      </c>
      <c r="M84" s="3" t="s">
        <v>224</v>
      </c>
      <c r="N84" s="2" t="s">
        <v>1205</v>
      </c>
      <c r="O84" s="3" t="s">
        <v>64</v>
      </c>
      <c r="P84" s="3" t="s">
        <v>84</v>
      </c>
      <c r="Q84" s="2" t="s">
        <v>1206</v>
      </c>
      <c r="R84" s="3" t="s">
        <v>66</v>
      </c>
      <c r="S84" s="4">
        <v>17</v>
      </c>
      <c r="T84" s="4">
        <v>17</v>
      </c>
      <c r="U84" s="5" t="s">
        <v>1177</v>
      </c>
      <c r="V84" s="5" t="s">
        <v>1177</v>
      </c>
      <c r="W84" s="5" t="s">
        <v>1207</v>
      </c>
      <c r="X84" s="5" t="s">
        <v>1207</v>
      </c>
      <c r="Y84" s="4">
        <v>493</v>
      </c>
      <c r="Z84" s="4">
        <v>367</v>
      </c>
      <c r="AA84" s="4">
        <v>368</v>
      </c>
      <c r="AB84" s="4">
        <v>5</v>
      </c>
      <c r="AC84" s="4">
        <v>5</v>
      </c>
      <c r="AD84" s="4">
        <v>20</v>
      </c>
      <c r="AE84" s="4">
        <v>20</v>
      </c>
      <c r="AF84" s="4">
        <v>7</v>
      </c>
      <c r="AG84" s="4">
        <v>7</v>
      </c>
      <c r="AH84" s="4">
        <v>5</v>
      </c>
      <c r="AI84" s="4">
        <v>5</v>
      </c>
      <c r="AJ84" s="4">
        <v>9</v>
      </c>
      <c r="AK84" s="4">
        <v>9</v>
      </c>
      <c r="AL84" s="4">
        <v>3</v>
      </c>
      <c r="AM84" s="4">
        <v>3</v>
      </c>
      <c r="AN84" s="4">
        <v>0</v>
      </c>
      <c r="AO84" s="4">
        <v>0</v>
      </c>
      <c r="AP84" s="3" t="s">
        <v>58</v>
      </c>
      <c r="AQ84" s="3" t="s">
        <v>69</v>
      </c>
      <c r="AR84" s="6" t="str">
        <f>HYPERLINK("http://catalog.hathitrust.org/Record/000339709","HathiTrust Record")</f>
        <v>HathiTrust Record</v>
      </c>
      <c r="AS84" s="6" t="str">
        <f>HYPERLINK("https://creighton-primo.hosted.exlibrisgroup.com/primo-explore/search?tab=default_tab&amp;search_scope=EVERYTHING&amp;vid=01CRU&amp;lang=en_US&amp;offset=0&amp;query=any,contains,991000096209702656","Catalog Record")</f>
        <v>Catalog Record</v>
      </c>
      <c r="AT84" s="6" t="str">
        <f>HYPERLINK("http://www.worldcat.org/oclc/8929121","WorldCat Record")</f>
        <v>WorldCat Record</v>
      </c>
      <c r="AU84" s="3" t="s">
        <v>1208</v>
      </c>
      <c r="AV84" s="3" t="s">
        <v>1209</v>
      </c>
      <c r="AW84" s="3" t="s">
        <v>1210</v>
      </c>
      <c r="AX84" s="3" t="s">
        <v>1210</v>
      </c>
      <c r="AY84" s="3" t="s">
        <v>1211</v>
      </c>
      <c r="AZ84" s="3" t="s">
        <v>74</v>
      </c>
      <c r="BB84" s="3" t="s">
        <v>1212</v>
      </c>
      <c r="BC84" s="3" t="s">
        <v>1213</v>
      </c>
      <c r="BD84" s="3" t="s">
        <v>1214</v>
      </c>
    </row>
    <row r="85" spans="1:56" ht="34.5" customHeight="1" x14ac:dyDescent="0.25">
      <c r="A85" s="7" t="s">
        <v>58</v>
      </c>
      <c r="B85" s="2" t="s">
        <v>1215</v>
      </c>
      <c r="C85" s="2" t="s">
        <v>1216</v>
      </c>
      <c r="D85" s="2" t="s">
        <v>1217</v>
      </c>
      <c r="F85" s="3" t="s">
        <v>58</v>
      </c>
      <c r="G85" s="3" t="s">
        <v>59</v>
      </c>
      <c r="H85" s="3" t="s">
        <v>58</v>
      </c>
      <c r="I85" s="3" t="s">
        <v>58</v>
      </c>
      <c r="J85" s="3" t="s">
        <v>60</v>
      </c>
      <c r="K85" s="2" t="s">
        <v>1203</v>
      </c>
      <c r="L85" s="2" t="s">
        <v>1218</v>
      </c>
      <c r="M85" s="3" t="s">
        <v>339</v>
      </c>
      <c r="N85" s="2" t="s">
        <v>1219</v>
      </c>
      <c r="O85" s="3" t="s">
        <v>64</v>
      </c>
      <c r="P85" s="3" t="s">
        <v>147</v>
      </c>
      <c r="Q85" s="2" t="s">
        <v>340</v>
      </c>
      <c r="R85" s="3" t="s">
        <v>66</v>
      </c>
      <c r="S85" s="4">
        <v>11</v>
      </c>
      <c r="T85" s="4">
        <v>11</v>
      </c>
      <c r="U85" s="5" t="s">
        <v>1220</v>
      </c>
      <c r="V85" s="5" t="s">
        <v>1220</v>
      </c>
      <c r="W85" s="5" t="s">
        <v>1221</v>
      </c>
      <c r="X85" s="5" t="s">
        <v>1221</v>
      </c>
      <c r="Y85" s="4">
        <v>780</v>
      </c>
      <c r="Z85" s="4">
        <v>599</v>
      </c>
      <c r="AA85" s="4">
        <v>1328</v>
      </c>
      <c r="AB85" s="4">
        <v>3</v>
      </c>
      <c r="AC85" s="4">
        <v>7</v>
      </c>
      <c r="AD85" s="4">
        <v>28</v>
      </c>
      <c r="AE85" s="4">
        <v>49</v>
      </c>
      <c r="AF85" s="4">
        <v>13</v>
      </c>
      <c r="AG85" s="4">
        <v>23</v>
      </c>
      <c r="AH85" s="4">
        <v>5</v>
      </c>
      <c r="AI85" s="4">
        <v>9</v>
      </c>
      <c r="AJ85" s="4">
        <v>18</v>
      </c>
      <c r="AK85" s="4">
        <v>24</v>
      </c>
      <c r="AL85" s="4">
        <v>2</v>
      </c>
      <c r="AM85" s="4">
        <v>6</v>
      </c>
      <c r="AN85" s="4">
        <v>0</v>
      </c>
      <c r="AO85" s="4">
        <v>0</v>
      </c>
      <c r="AP85" s="3" t="s">
        <v>58</v>
      </c>
      <c r="AQ85" s="3" t="s">
        <v>58</v>
      </c>
      <c r="AS85" s="6" t="str">
        <f>HYPERLINK("https://creighton-primo.hosted.exlibrisgroup.com/primo-explore/search?tab=default_tab&amp;search_scope=EVERYTHING&amp;vid=01CRU&amp;lang=en_US&amp;offset=0&amp;query=any,contains,991003647109702656","Catalog Record")</f>
        <v>Catalog Record</v>
      </c>
      <c r="AT85" s="6" t="str">
        <f>HYPERLINK("http://www.worldcat.org/oclc/34024605","WorldCat Record")</f>
        <v>WorldCat Record</v>
      </c>
      <c r="AU85" s="3" t="s">
        <v>1222</v>
      </c>
      <c r="AV85" s="3" t="s">
        <v>1223</v>
      </c>
      <c r="AW85" s="3" t="s">
        <v>1224</v>
      </c>
      <c r="AX85" s="3" t="s">
        <v>1224</v>
      </c>
      <c r="AY85" s="3" t="s">
        <v>1225</v>
      </c>
      <c r="AZ85" s="3" t="s">
        <v>74</v>
      </c>
      <c r="BB85" s="3" t="s">
        <v>1226</v>
      </c>
      <c r="BC85" s="3" t="s">
        <v>1227</v>
      </c>
      <c r="BD85" s="3" t="s">
        <v>1228</v>
      </c>
    </row>
    <row r="86" spans="1:56" ht="34.5" customHeight="1" x14ac:dyDescent="0.25">
      <c r="A86" s="7" t="s">
        <v>58</v>
      </c>
      <c r="B86" s="2" t="s">
        <v>1229</v>
      </c>
      <c r="C86" s="2" t="s">
        <v>1230</v>
      </c>
      <c r="D86" s="2" t="s">
        <v>1231</v>
      </c>
      <c r="F86" s="3" t="s">
        <v>58</v>
      </c>
      <c r="G86" s="3" t="s">
        <v>59</v>
      </c>
      <c r="H86" s="3" t="s">
        <v>58</v>
      </c>
      <c r="I86" s="3" t="s">
        <v>58</v>
      </c>
      <c r="J86" s="3" t="s">
        <v>60</v>
      </c>
      <c r="K86" s="2" t="s">
        <v>1232</v>
      </c>
      <c r="L86" s="2" t="s">
        <v>1233</v>
      </c>
      <c r="M86" s="3" t="s">
        <v>1234</v>
      </c>
      <c r="O86" s="3" t="s">
        <v>64</v>
      </c>
      <c r="P86" s="3" t="s">
        <v>65</v>
      </c>
      <c r="Q86" s="2" t="s">
        <v>634</v>
      </c>
      <c r="R86" s="3" t="s">
        <v>66</v>
      </c>
      <c r="S86" s="4">
        <v>7</v>
      </c>
      <c r="T86" s="4">
        <v>7</v>
      </c>
      <c r="U86" s="5" t="s">
        <v>1235</v>
      </c>
      <c r="V86" s="5" t="s">
        <v>1235</v>
      </c>
      <c r="W86" s="5" t="s">
        <v>1236</v>
      </c>
      <c r="X86" s="5" t="s">
        <v>1236</v>
      </c>
      <c r="Y86" s="4">
        <v>1145</v>
      </c>
      <c r="Z86" s="4">
        <v>1060</v>
      </c>
      <c r="AA86" s="4">
        <v>1265</v>
      </c>
      <c r="AB86" s="4">
        <v>8</v>
      </c>
      <c r="AC86" s="4">
        <v>8</v>
      </c>
      <c r="AD86" s="4">
        <v>36</v>
      </c>
      <c r="AE86" s="4">
        <v>41</v>
      </c>
      <c r="AF86" s="4">
        <v>16</v>
      </c>
      <c r="AG86" s="4">
        <v>20</v>
      </c>
      <c r="AH86" s="4">
        <v>4</v>
      </c>
      <c r="AI86" s="4">
        <v>4</v>
      </c>
      <c r="AJ86" s="4">
        <v>19</v>
      </c>
      <c r="AK86" s="4">
        <v>21</v>
      </c>
      <c r="AL86" s="4">
        <v>6</v>
      </c>
      <c r="AM86" s="4">
        <v>6</v>
      </c>
      <c r="AN86" s="4">
        <v>0</v>
      </c>
      <c r="AO86" s="4">
        <v>0</v>
      </c>
      <c r="AP86" s="3" t="s">
        <v>58</v>
      </c>
      <c r="AQ86" s="3" t="s">
        <v>69</v>
      </c>
      <c r="AR86" s="6" t="str">
        <f>HYPERLINK("http://catalog.hathitrust.org/Record/000409153","HathiTrust Record")</f>
        <v>HathiTrust Record</v>
      </c>
      <c r="AS86" s="6" t="str">
        <f>HYPERLINK("https://creighton-primo.hosted.exlibrisgroup.com/primo-explore/search?tab=default_tab&amp;search_scope=EVERYTHING&amp;vid=01CRU&amp;lang=en_US&amp;offset=0&amp;query=any,contains,991002892299702656","Catalog Record")</f>
        <v>Catalog Record</v>
      </c>
      <c r="AT86" s="6" t="str">
        <f>HYPERLINK("http://www.worldcat.org/oclc/512301","WorldCat Record")</f>
        <v>WorldCat Record</v>
      </c>
      <c r="AU86" s="3" t="s">
        <v>1237</v>
      </c>
      <c r="AV86" s="3" t="s">
        <v>1238</v>
      </c>
      <c r="AW86" s="3" t="s">
        <v>1239</v>
      </c>
      <c r="AX86" s="3" t="s">
        <v>1239</v>
      </c>
      <c r="AY86" s="3" t="s">
        <v>1240</v>
      </c>
      <c r="AZ86" s="3" t="s">
        <v>74</v>
      </c>
      <c r="BC86" s="3" t="s">
        <v>1241</v>
      </c>
      <c r="BD86" s="3" t="s">
        <v>1242</v>
      </c>
    </row>
    <row r="87" spans="1:56" ht="34.5" customHeight="1" x14ac:dyDescent="0.25">
      <c r="A87" s="7" t="s">
        <v>58</v>
      </c>
      <c r="B87" s="2" t="s">
        <v>1243</v>
      </c>
      <c r="C87" s="2" t="s">
        <v>1244</v>
      </c>
      <c r="D87" s="2" t="s">
        <v>1245</v>
      </c>
      <c r="F87" s="3" t="s">
        <v>58</v>
      </c>
      <c r="G87" s="3" t="s">
        <v>59</v>
      </c>
      <c r="H87" s="3" t="s">
        <v>58</v>
      </c>
      <c r="I87" s="3" t="s">
        <v>58</v>
      </c>
      <c r="J87" s="3" t="s">
        <v>60</v>
      </c>
      <c r="K87" s="2" t="s">
        <v>1246</v>
      </c>
      <c r="L87" s="2" t="s">
        <v>1247</v>
      </c>
      <c r="M87" s="3" t="s">
        <v>1248</v>
      </c>
      <c r="O87" s="3" t="s">
        <v>64</v>
      </c>
      <c r="P87" s="3" t="s">
        <v>670</v>
      </c>
      <c r="R87" s="3" t="s">
        <v>66</v>
      </c>
      <c r="S87" s="4">
        <v>7</v>
      </c>
      <c r="T87" s="4">
        <v>7</v>
      </c>
      <c r="U87" s="5" t="s">
        <v>1249</v>
      </c>
      <c r="V87" s="5" t="s">
        <v>1249</v>
      </c>
      <c r="W87" s="5" t="s">
        <v>1250</v>
      </c>
      <c r="X87" s="5" t="s">
        <v>1250</v>
      </c>
      <c r="Y87" s="4">
        <v>175</v>
      </c>
      <c r="Z87" s="4">
        <v>155</v>
      </c>
      <c r="AA87" s="4">
        <v>308</v>
      </c>
      <c r="AB87" s="4">
        <v>4</v>
      </c>
      <c r="AC87" s="4">
        <v>4</v>
      </c>
      <c r="AD87" s="4">
        <v>3</v>
      </c>
      <c r="AE87" s="4">
        <v>4</v>
      </c>
      <c r="AF87" s="4">
        <v>0</v>
      </c>
      <c r="AG87" s="4">
        <v>0</v>
      </c>
      <c r="AH87" s="4">
        <v>0</v>
      </c>
      <c r="AI87" s="4">
        <v>0</v>
      </c>
      <c r="AJ87" s="4">
        <v>0</v>
      </c>
      <c r="AK87" s="4">
        <v>1</v>
      </c>
      <c r="AL87" s="4">
        <v>3</v>
      </c>
      <c r="AM87" s="4">
        <v>3</v>
      </c>
      <c r="AN87" s="4">
        <v>0</v>
      </c>
      <c r="AO87" s="4">
        <v>0</v>
      </c>
      <c r="AP87" s="3" t="s">
        <v>69</v>
      </c>
      <c r="AQ87" s="3" t="s">
        <v>58</v>
      </c>
      <c r="AR87" s="6" t="str">
        <f>HYPERLINK("http://catalog.hathitrust.org/Record/000562860","HathiTrust Record")</f>
        <v>HathiTrust Record</v>
      </c>
      <c r="AS87" s="6" t="str">
        <f>HYPERLINK("https://creighton-primo.hosted.exlibrisgroup.com/primo-explore/search?tab=default_tab&amp;search_scope=EVERYTHING&amp;vid=01CRU&amp;lang=en_US&amp;offset=0&amp;query=any,contains,991003665729702656","Catalog Record")</f>
        <v>Catalog Record</v>
      </c>
      <c r="AT87" s="6" t="str">
        <f>HYPERLINK("http://www.worldcat.org/oclc/1279101","WorldCat Record")</f>
        <v>WorldCat Record</v>
      </c>
      <c r="AU87" s="3" t="s">
        <v>1251</v>
      </c>
      <c r="AV87" s="3" t="s">
        <v>1252</v>
      </c>
      <c r="AW87" s="3" t="s">
        <v>1253</v>
      </c>
      <c r="AX87" s="3" t="s">
        <v>1253</v>
      </c>
      <c r="AY87" s="3" t="s">
        <v>1254</v>
      </c>
      <c r="AZ87" s="3" t="s">
        <v>74</v>
      </c>
      <c r="BC87" s="3" t="s">
        <v>1255</v>
      </c>
      <c r="BD87" s="3" t="s">
        <v>1256</v>
      </c>
    </row>
    <row r="88" spans="1:56" ht="34.5" customHeight="1" x14ac:dyDescent="0.25">
      <c r="A88" s="7" t="s">
        <v>58</v>
      </c>
      <c r="B88" s="2" t="s">
        <v>1257</v>
      </c>
      <c r="C88" s="2" t="s">
        <v>1258</v>
      </c>
      <c r="D88" s="2" t="s">
        <v>1259</v>
      </c>
      <c r="F88" s="3" t="s">
        <v>58</v>
      </c>
      <c r="G88" s="3" t="s">
        <v>59</v>
      </c>
      <c r="H88" s="3" t="s">
        <v>58</v>
      </c>
      <c r="I88" s="3" t="s">
        <v>58</v>
      </c>
      <c r="J88" s="3" t="s">
        <v>60</v>
      </c>
      <c r="K88" s="2" t="s">
        <v>1260</v>
      </c>
      <c r="L88" s="2" t="s">
        <v>1261</v>
      </c>
      <c r="M88" s="3" t="s">
        <v>224</v>
      </c>
      <c r="O88" s="3" t="s">
        <v>64</v>
      </c>
      <c r="P88" s="3" t="s">
        <v>65</v>
      </c>
      <c r="R88" s="3" t="s">
        <v>66</v>
      </c>
      <c r="S88" s="4">
        <v>2</v>
      </c>
      <c r="T88" s="4">
        <v>2</v>
      </c>
      <c r="U88" s="5" t="s">
        <v>1249</v>
      </c>
      <c r="V88" s="5" t="s">
        <v>1249</v>
      </c>
      <c r="W88" s="5" t="s">
        <v>1262</v>
      </c>
      <c r="X88" s="5" t="s">
        <v>1262</v>
      </c>
      <c r="Y88" s="4">
        <v>203</v>
      </c>
      <c r="Z88" s="4">
        <v>167</v>
      </c>
      <c r="AA88" s="4">
        <v>169</v>
      </c>
      <c r="AB88" s="4">
        <v>3</v>
      </c>
      <c r="AC88" s="4">
        <v>3</v>
      </c>
      <c r="AD88" s="4">
        <v>4</v>
      </c>
      <c r="AE88" s="4">
        <v>4</v>
      </c>
      <c r="AF88" s="4">
        <v>2</v>
      </c>
      <c r="AG88" s="4">
        <v>2</v>
      </c>
      <c r="AH88" s="4">
        <v>0</v>
      </c>
      <c r="AI88" s="4">
        <v>0</v>
      </c>
      <c r="AJ88" s="4">
        <v>1</v>
      </c>
      <c r="AK88" s="4">
        <v>1</v>
      </c>
      <c r="AL88" s="4">
        <v>2</v>
      </c>
      <c r="AM88" s="4">
        <v>2</v>
      </c>
      <c r="AN88" s="4">
        <v>0</v>
      </c>
      <c r="AO88" s="4">
        <v>0</v>
      </c>
      <c r="AP88" s="3" t="s">
        <v>58</v>
      </c>
      <c r="AQ88" s="3" t="s">
        <v>69</v>
      </c>
      <c r="AR88" s="6" t="str">
        <f>HYPERLINK("http://catalog.hathitrust.org/Record/000776737","HathiTrust Record")</f>
        <v>HathiTrust Record</v>
      </c>
      <c r="AS88" s="6" t="str">
        <f>HYPERLINK("https://creighton-primo.hosted.exlibrisgroup.com/primo-explore/search?tab=default_tab&amp;search_scope=EVERYTHING&amp;vid=01CRU&amp;lang=en_US&amp;offset=0&amp;query=any,contains,991003306929702656","Catalog Record")</f>
        <v>Catalog Record</v>
      </c>
      <c r="AT88" s="6" t="str">
        <f>HYPERLINK("http://www.worldcat.org/oclc/9081511","WorldCat Record")</f>
        <v>WorldCat Record</v>
      </c>
      <c r="AU88" s="3" t="s">
        <v>1263</v>
      </c>
      <c r="AV88" s="3" t="s">
        <v>1264</v>
      </c>
      <c r="AW88" s="3" t="s">
        <v>1265</v>
      </c>
      <c r="AX88" s="3" t="s">
        <v>1265</v>
      </c>
      <c r="AY88" s="3" t="s">
        <v>1266</v>
      </c>
      <c r="AZ88" s="3" t="s">
        <v>74</v>
      </c>
      <c r="BB88" s="3" t="s">
        <v>1267</v>
      </c>
      <c r="BC88" s="3" t="s">
        <v>1268</v>
      </c>
      <c r="BD88" s="3" t="s">
        <v>1269</v>
      </c>
    </row>
    <row r="89" spans="1:56" ht="34.5" customHeight="1" x14ac:dyDescent="0.25">
      <c r="A89" s="7" t="s">
        <v>58</v>
      </c>
      <c r="B89" s="2" t="s">
        <v>1270</v>
      </c>
      <c r="C89" s="2" t="s">
        <v>1271</v>
      </c>
      <c r="D89" s="2" t="s">
        <v>1272</v>
      </c>
      <c r="F89" s="3" t="s">
        <v>58</v>
      </c>
      <c r="G89" s="3" t="s">
        <v>59</v>
      </c>
      <c r="H89" s="3" t="s">
        <v>58</v>
      </c>
      <c r="I89" s="3" t="s">
        <v>58</v>
      </c>
      <c r="J89" s="3" t="s">
        <v>60</v>
      </c>
      <c r="K89" s="2" t="s">
        <v>1273</v>
      </c>
      <c r="L89" s="2" t="s">
        <v>1274</v>
      </c>
      <c r="M89" s="3" t="s">
        <v>146</v>
      </c>
      <c r="O89" s="3" t="s">
        <v>64</v>
      </c>
      <c r="P89" s="3" t="s">
        <v>65</v>
      </c>
      <c r="R89" s="3" t="s">
        <v>66</v>
      </c>
      <c r="S89" s="4">
        <v>1</v>
      </c>
      <c r="T89" s="4">
        <v>1</v>
      </c>
      <c r="U89" s="5" t="s">
        <v>1275</v>
      </c>
      <c r="V89" s="5" t="s">
        <v>1275</v>
      </c>
      <c r="W89" s="5" t="s">
        <v>1275</v>
      </c>
      <c r="X89" s="5" t="s">
        <v>1275</v>
      </c>
      <c r="Y89" s="4">
        <v>311</v>
      </c>
      <c r="Z89" s="4">
        <v>218</v>
      </c>
      <c r="AA89" s="4">
        <v>222</v>
      </c>
      <c r="AB89" s="4">
        <v>2</v>
      </c>
      <c r="AC89" s="4">
        <v>2</v>
      </c>
      <c r="AD89" s="4">
        <v>7</v>
      </c>
      <c r="AE89" s="4">
        <v>8</v>
      </c>
      <c r="AF89" s="4">
        <v>1</v>
      </c>
      <c r="AG89" s="4">
        <v>1</v>
      </c>
      <c r="AH89" s="4">
        <v>2</v>
      </c>
      <c r="AI89" s="4">
        <v>3</v>
      </c>
      <c r="AJ89" s="4">
        <v>3</v>
      </c>
      <c r="AK89" s="4">
        <v>4</v>
      </c>
      <c r="AL89" s="4">
        <v>1</v>
      </c>
      <c r="AM89" s="4">
        <v>1</v>
      </c>
      <c r="AN89" s="4">
        <v>0</v>
      </c>
      <c r="AO89" s="4">
        <v>0</v>
      </c>
      <c r="AP89" s="3" t="s">
        <v>58</v>
      </c>
      <c r="AQ89" s="3" t="s">
        <v>69</v>
      </c>
      <c r="AR89" s="6" t="str">
        <f>HYPERLINK("http://catalog.hathitrust.org/Record/002654713","HathiTrust Record")</f>
        <v>HathiTrust Record</v>
      </c>
      <c r="AS89" s="6" t="str">
        <f>HYPERLINK("https://creighton-primo.hosted.exlibrisgroup.com/primo-explore/search?tab=default_tab&amp;search_scope=EVERYTHING&amp;vid=01CRU&amp;lang=en_US&amp;offset=0&amp;query=any,contains,991005350459702656","Catalog Record")</f>
        <v>Catalog Record</v>
      </c>
      <c r="AT89" s="6" t="str">
        <f>HYPERLINK("http://www.worldcat.org/oclc/25553180","WorldCat Record")</f>
        <v>WorldCat Record</v>
      </c>
      <c r="AU89" s="3" t="s">
        <v>1276</v>
      </c>
      <c r="AV89" s="3" t="s">
        <v>1277</v>
      </c>
      <c r="AW89" s="3" t="s">
        <v>1278</v>
      </c>
      <c r="AX89" s="3" t="s">
        <v>1278</v>
      </c>
      <c r="AY89" s="3" t="s">
        <v>1279</v>
      </c>
      <c r="AZ89" s="3" t="s">
        <v>74</v>
      </c>
      <c r="BB89" s="3" t="s">
        <v>1280</v>
      </c>
      <c r="BC89" s="3" t="s">
        <v>1281</v>
      </c>
      <c r="BD89" s="3" t="s">
        <v>1282</v>
      </c>
    </row>
    <row r="90" spans="1:56" ht="34.5" customHeight="1" x14ac:dyDescent="0.25">
      <c r="A90" s="7" t="s">
        <v>58</v>
      </c>
      <c r="B90" s="2" t="s">
        <v>1283</v>
      </c>
      <c r="C90" s="2" t="s">
        <v>1284</v>
      </c>
      <c r="D90" s="2" t="s">
        <v>1285</v>
      </c>
      <c r="F90" s="3" t="s">
        <v>58</v>
      </c>
      <c r="G90" s="3" t="s">
        <v>59</v>
      </c>
      <c r="H90" s="3" t="s">
        <v>58</v>
      </c>
      <c r="I90" s="3" t="s">
        <v>58</v>
      </c>
      <c r="J90" s="3" t="s">
        <v>60</v>
      </c>
      <c r="K90" s="2" t="s">
        <v>1286</v>
      </c>
      <c r="L90" s="2" t="s">
        <v>1287</v>
      </c>
      <c r="M90" s="3" t="s">
        <v>1288</v>
      </c>
      <c r="O90" s="3" t="s">
        <v>64</v>
      </c>
      <c r="P90" s="3" t="s">
        <v>84</v>
      </c>
      <c r="R90" s="3" t="s">
        <v>66</v>
      </c>
      <c r="S90" s="4">
        <v>2</v>
      </c>
      <c r="T90" s="4">
        <v>2</v>
      </c>
      <c r="U90" s="5" t="s">
        <v>1289</v>
      </c>
      <c r="V90" s="5" t="s">
        <v>1289</v>
      </c>
      <c r="W90" s="5" t="s">
        <v>1290</v>
      </c>
      <c r="X90" s="5" t="s">
        <v>1290</v>
      </c>
      <c r="Y90" s="4">
        <v>444</v>
      </c>
      <c r="Z90" s="4">
        <v>366</v>
      </c>
      <c r="AA90" s="4">
        <v>390</v>
      </c>
      <c r="AB90" s="4">
        <v>3</v>
      </c>
      <c r="AC90" s="4">
        <v>3</v>
      </c>
      <c r="AD90" s="4">
        <v>12</v>
      </c>
      <c r="AE90" s="4">
        <v>12</v>
      </c>
      <c r="AF90" s="4">
        <v>2</v>
      </c>
      <c r="AG90" s="4">
        <v>2</v>
      </c>
      <c r="AH90" s="4">
        <v>2</v>
      </c>
      <c r="AI90" s="4">
        <v>2</v>
      </c>
      <c r="AJ90" s="4">
        <v>6</v>
      </c>
      <c r="AK90" s="4">
        <v>6</v>
      </c>
      <c r="AL90" s="4">
        <v>2</v>
      </c>
      <c r="AM90" s="4">
        <v>2</v>
      </c>
      <c r="AN90" s="4">
        <v>0</v>
      </c>
      <c r="AO90" s="4">
        <v>0</v>
      </c>
      <c r="AP90" s="3" t="s">
        <v>58</v>
      </c>
      <c r="AQ90" s="3" t="s">
        <v>69</v>
      </c>
      <c r="AR90" s="6" t="str">
        <f>HYPERLINK("http://catalog.hathitrust.org/Record/008509562","HathiTrust Record")</f>
        <v>HathiTrust Record</v>
      </c>
      <c r="AS90" s="6" t="str">
        <f>HYPERLINK("https://creighton-primo.hosted.exlibrisgroup.com/primo-explore/search?tab=default_tab&amp;search_scope=EVERYTHING&amp;vid=01CRU&amp;lang=en_US&amp;offset=0&amp;query=any,contains,991001612239702656","Catalog Record")</f>
        <v>Catalog Record</v>
      </c>
      <c r="AT90" s="6" t="str">
        <f>HYPERLINK("http://www.worldcat.org/oclc/20753952","WorldCat Record")</f>
        <v>WorldCat Record</v>
      </c>
      <c r="AU90" s="3" t="s">
        <v>1291</v>
      </c>
      <c r="AV90" s="3" t="s">
        <v>1292</v>
      </c>
      <c r="AW90" s="3" t="s">
        <v>1293</v>
      </c>
      <c r="AX90" s="3" t="s">
        <v>1293</v>
      </c>
      <c r="AY90" s="3" t="s">
        <v>1294</v>
      </c>
      <c r="AZ90" s="3" t="s">
        <v>74</v>
      </c>
      <c r="BB90" s="3" t="s">
        <v>1295</v>
      </c>
      <c r="BC90" s="3" t="s">
        <v>1296</v>
      </c>
      <c r="BD90" s="3" t="s">
        <v>1297</v>
      </c>
    </row>
    <row r="91" spans="1:56" ht="34.5" customHeight="1" x14ac:dyDescent="0.25">
      <c r="A91" s="7" t="s">
        <v>58</v>
      </c>
      <c r="B91" s="2" t="s">
        <v>1298</v>
      </c>
      <c r="C91" s="2" t="s">
        <v>1299</v>
      </c>
      <c r="D91" s="2" t="s">
        <v>1300</v>
      </c>
      <c r="F91" s="3" t="s">
        <v>58</v>
      </c>
      <c r="G91" s="3" t="s">
        <v>59</v>
      </c>
      <c r="H91" s="3" t="s">
        <v>58</v>
      </c>
      <c r="I91" s="3" t="s">
        <v>58</v>
      </c>
      <c r="J91" s="3" t="s">
        <v>60</v>
      </c>
      <c r="K91" s="2" t="s">
        <v>1301</v>
      </c>
      <c r="L91" s="2" t="s">
        <v>1302</v>
      </c>
      <c r="M91" s="3" t="s">
        <v>1303</v>
      </c>
      <c r="O91" s="3" t="s">
        <v>64</v>
      </c>
      <c r="P91" s="3" t="s">
        <v>84</v>
      </c>
      <c r="R91" s="3" t="s">
        <v>66</v>
      </c>
      <c r="S91" s="4">
        <v>5</v>
      </c>
      <c r="T91" s="4">
        <v>5</v>
      </c>
      <c r="U91" s="5" t="s">
        <v>1304</v>
      </c>
      <c r="V91" s="5" t="s">
        <v>1304</v>
      </c>
      <c r="W91" s="5" t="s">
        <v>1305</v>
      </c>
      <c r="X91" s="5" t="s">
        <v>1305</v>
      </c>
      <c r="Y91" s="4">
        <v>97</v>
      </c>
      <c r="Z91" s="4">
        <v>15</v>
      </c>
      <c r="AA91" s="4">
        <v>136</v>
      </c>
      <c r="AB91" s="4">
        <v>1</v>
      </c>
      <c r="AC91" s="4">
        <v>3</v>
      </c>
      <c r="AD91" s="4">
        <v>0</v>
      </c>
      <c r="AE91" s="4">
        <v>3</v>
      </c>
      <c r="AF91" s="4">
        <v>0</v>
      </c>
      <c r="AG91" s="4">
        <v>0</v>
      </c>
      <c r="AH91" s="4">
        <v>0</v>
      </c>
      <c r="AI91" s="4">
        <v>0</v>
      </c>
      <c r="AJ91" s="4">
        <v>0</v>
      </c>
      <c r="AK91" s="4">
        <v>1</v>
      </c>
      <c r="AL91" s="4">
        <v>0</v>
      </c>
      <c r="AM91" s="4">
        <v>2</v>
      </c>
      <c r="AN91" s="4">
        <v>0</v>
      </c>
      <c r="AO91" s="4">
        <v>0</v>
      </c>
      <c r="AP91" s="3" t="s">
        <v>58</v>
      </c>
      <c r="AQ91" s="3" t="s">
        <v>58</v>
      </c>
      <c r="AS91" s="6" t="str">
        <f>HYPERLINK("https://creighton-primo.hosted.exlibrisgroup.com/primo-explore/search?tab=default_tab&amp;search_scope=EVERYTHING&amp;vid=01CRU&amp;lang=en_US&amp;offset=0&amp;query=any,contains,991002096969702656","Catalog Record")</f>
        <v>Catalog Record</v>
      </c>
      <c r="AT91" s="6" t="str">
        <f>HYPERLINK("http://www.worldcat.org/oclc/122691272","WorldCat Record")</f>
        <v>WorldCat Record</v>
      </c>
      <c r="AU91" s="3" t="s">
        <v>1306</v>
      </c>
      <c r="AV91" s="3" t="s">
        <v>1307</v>
      </c>
      <c r="AW91" s="3" t="s">
        <v>1308</v>
      </c>
      <c r="AX91" s="3" t="s">
        <v>1308</v>
      </c>
      <c r="AY91" s="3" t="s">
        <v>1309</v>
      </c>
      <c r="AZ91" s="3" t="s">
        <v>74</v>
      </c>
      <c r="BB91" s="3" t="s">
        <v>1310</v>
      </c>
      <c r="BC91" s="3" t="s">
        <v>1311</v>
      </c>
      <c r="BD91" s="3" t="s">
        <v>1312</v>
      </c>
    </row>
    <row r="92" spans="1:56" ht="34.5" customHeight="1" x14ac:dyDescent="0.25">
      <c r="A92" s="7" t="s">
        <v>58</v>
      </c>
      <c r="B92" s="2" t="s">
        <v>1313</v>
      </c>
      <c r="C92" s="2" t="s">
        <v>1314</v>
      </c>
      <c r="D92" s="2" t="s">
        <v>1315</v>
      </c>
      <c r="F92" s="3" t="s">
        <v>58</v>
      </c>
      <c r="G92" s="3" t="s">
        <v>59</v>
      </c>
      <c r="H92" s="3" t="s">
        <v>58</v>
      </c>
      <c r="I92" s="3" t="s">
        <v>58</v>
      </c>
      <c r="J92" s="3" t="s">
        <v>60</v>
      </c>
      <c r="K92" s="2" t="s">
        <v>1010</v>
      </c>
      <c r="L92" s="2" t="s">
        <v>1316</v>
      </c>
      <c r="M92" s="3" t="s">
        <v>983</v>
      </c>
      <c r="N92" s="2" t="s">
        <v>1317</v>
      </c>
      <c r="O92" s="3" t="s">
        <v>64</v>
      </c>
      <c r="P92" s="3" t="s">
        <v>147</v>
      </c>
      <c r="R92" s="3" t="s">
        <v>66</v>
      </c>
      <c r="S92" s="4">
        <v>16</v>
      </c>
      <c r="T92" s="4">
        <v>16</v>
      </c>
      <c r="U92" s="5" t="s">
        <v>1318</v>
      </c>
      <c r="V92" s="5" t="s">
        <v>1318</v>
      </c>
      <c r="W92" s="5" t="s">
        <v>1319</v>
      </c>
      <c r="X92" s="5" t="s">
        <v>1319</v>
      </c>
      <c r="Y92" s="4">
        <v>568</v>
      </c>
      <c r="Z92" s="4">
        <v>472</v>
      </c>
      <c r="AA92" s="4">
        <v>1313</v>
      </c>
      <c r="AB92" s="4">
        <v>5</v>
      </c>
      <c r="AC92" s="4">
        <v>13</v>
      </c>
      <c r="AD92" s="4">
        <v>24</v>
      </c>
      <c r="AE92" s="4">
        <v>53</v>
      </c>
      <c r="AF92" s="4">
        <v>11</v>
      </c>
      <c r="AG92" s="4">
        <v>23</v>
      </c>
      <c r="AH92" s="4">
        <v>5</v>
      </c>
      <c r="AI92" s="4">
        <v>11</v>
      </c>
      <c r="AJ92" s="4">
        <v>11</v>
      </c>
      <c r="AK92" s="4">
        <v>22</v>
      </c>
      <c r="AL92" s="4">
        <v>3</v>
      </c>
      <c r="AM92" s="4">
        <v>10</v>
      </c>
      <c r="AN92" s="4">
        <v>0</v>
      </c>
      <c r="AO92" s="4">
        <v>0</v>
      </c>
      <c r="AP92" s="3" t="s">
        <v>58</v>
      </c>
      <c r="AQ92" s="3" t="s">
        <v>58</v>
      </c>
      <c r="AS92" s="6" t="str">
        <f>HYPERLINK("https://creighton-primo.hosted.exlibrisgroup.com/primo-explore/search?tab=default_tab&amp;search_scope=EVERYTHING&amp;vid=01CRU&amp;lang=en_US&amp;offset=0&amp;query=any,contains,991004749659702656","Catalog Record")</f>
        <v>Catalog Record</v>
      </c>
      <c r="AT92" s="6" t="str">
        <f>HYPERLINK("http://www.worldcat.org/oclc/4933030","WorldCat Record")</f>
        <v>WorldCat Record</v>
      </c>
      <c r="AU92" s="3" t="s">
        <v>1320</v>
      </c>
      <c r="AV92" s="3" t="s">
        <v>1321</v>
      </c>
      <c r="AW92" s="3" t="s">
        <v>1322</v>
      </c>
      <c r="AX92" s="3" t="s">
        <v>1322</v>
      </c>
      <c r="AY92" s="3" t="s">
        <v>1323</v>
      </c>
      <c r="AZ92" s="3" t="s">
        <v>74</v>
      </c>
      <c r="BB92" s="3" t="s">
        <v>1324</v>
      </c>
      <c r="BC92" s="3" t="s">
        <v>1325</v>
      </c>
      <c r="BD92" s="3" t="s">
        <v>1326</v>
      </c>
    </row>
    <row r="93" spans="1:56" ht="34.5" customHeight="1" x14ac:dyDescent="0.25">
      <c r="A93" s="7" t="s">
        <v>58</v>
      </c>
      <c r="B93" s="2" t="s">
        <v>1327</v>
      </c>
      <c r="C93" s="2" t="s">
        <v>1328</v>
      </c>
      <c r="D93" s="2" t="s">
        <v>1329</v>
      </c>
      <c r="F93" s="3" t="s">
        <v>58</v>
      </c>
      <c r="G93" s="3" t="s">
        <v>59</v>
      </c>
      <c r="H93" s="3" t="s">
        <v>58</v>
      </c>
      <c r="I93" s="3" t="s">
        <v>58</v>
      </c>
      <c r="J93" s="3" t="s">
        <v>60</v>
      </c>
      <c r="K93" s="2" t="s">
        <v>1330</v>
      </c>
      <c r="L93" s="2" t="s">
        <v>1331</v>
      </c>
      <c r="M93" s="3" t="s">
        <v>99</v>
      </c>
      <c r="O93" s="3" t="s">
        <v>64</v>
      </c>
      <c r="P93" s="3" t="s">
        <v>65</v>
      </c>
      <c r="R93" s="3" t="s">
        <v>66</v>
      </c>
      <c r="S93" s="4">
        <v>1</v>
      </c>
      <c r="T93" s="4">
        <v>1</v>
      </c>
      <c r="U93" s="5" t="s">
        <v>1249</v>
      </c>
      <c r="V93" s="5" t="s">
        <v>1249</v>
      </c>
      <c r="W93" s="5" t="s">
        <v>1332</v>
      </c>
      <c r="X93" s="5" t="s">
        <v>1332</v>
      </c>
      <c r="Y93" s="4">
        <v>224</v>
      </c>
      <c r="Z93" s="4">
        <v>169</v>
      </c>
      <c r="AA93" s="4">
        <v>176</v>
      </c>
      <c r="AB93" s="4">
        <v>2</v>
      </c>
      <c r="AC93" s="4">
        <v>2</v>
      </c>
      <c r="AD93" s="4">
        <v>3</v>
      </c>
      <c r="AE93" s="4">
        <v>3</v>
      </c>
      <c r="AF93" s="4">
        <v>1</v>
      </c>
      <c r="AG93" s="4">
        <v>1</v>
      </c>
      <c r="AH93" s="4">
        <v>0</v>
      </c>
      <c r="AI93" s="4">
        <v>0</v>
      </c>
      <c r="AJ93" s="4">
        <v>1</v>
      </c>
      <c r="AK93" s="4">
        <v>1</v>
      </c>
      <c r="AL93" s="4">
        <v>1</v>
      </c>
      <c r="AM93" s="4">
        <v>1</v>
      </c>
      <c r="AN93" s="4">
        <v>0</v>
      </c>
      <c r="AO93" s="4">
        <v>0</v>
      </c>
      <c r="AP93" s="3" t="s">
        <v>58</v>
      </c>
      <c r="AQ93" s="3" t="s">
        <v>69</v>
      </c>
      <c r="AR93" s="6" t="str">
        <f>HYPERLINK("http://catalog.hathitrust.org/Record/000710084","HathiTrust Record")</f>
        <v>HathiTrust Record</v>
      </c>
      <c r="AS93" s="6" t="str">
        <f>HYPERLINK("https://creighton-primo.hosted.exlibrisgroup.com/primo-explore/search?tab=default_tab&amp;search_scope=EVERYTHING&amp;vid=01CRU&amp;lang=en_US&amp;offset=0&amp;query=any,contains,991004757999702656","Catalog Record")</f>
        <v>Catalog Record</v>
      </c>
      <c r="AT93" s="6" t="str">
        <f>HYPERLINK("http://www.worldcat.org/oclc/4983044","WorldCat Record")</f>
        <v>WorldCat Record</v>
      </c>
      <c r="AU93" s="3" t="s">
        <v>1333</v>
      </c>
      <c r="AV93" s="3" t="s">
        <v>1334</v>
      </c>
      <c r="AW93" s="3" t="s">
        <v>1335</v>
      </c>
      <c r="AX93" s="3" t="s">
        <v>1335</v>
      </c>
      <c r="AY93" s="3" t="s">
        <v>1336</v>
      </c>
      <c r="AZ93" s="3" t="s">
        <v>74</v>
      </c>
      <c r="BB93" s="3" t="s">
        <v>1337</v>
      </c>
      <c r="BC93" s="3" t="s">
        <v>1338</v>
      </c>
      <c r="BD93" s="3" t="s">
        <v>1339</v>
      </c>
    </row>
    <row r="94" spans="1:56" ht="34.5" customHeight="1" x14ac:dyDescent="0.25">
      <c r="A94" s="7" t="s">
        <v>58</v>
      </c>
      <c r="B94" s="2" t="s">
        <v>1340</v>
      </c>
      <c r="C94" s="2" t="s">
        <v>1341</v>
      </c>
      <c r="D94" s="2" t="s">
        <v>1342</v>
      </c>
      <c r="F94" s="3" t="s">
        <v>58</v>
      </c>
      <c r="G94" s="3" t="s">
        <v>59</v>
      </c>
      <c r="H94" s="3" t="s">
        <v>58</v>
      </c>
      <c r="I94" s="3" t="s">
        <v>58</v>
      </c>
      <c r="J94" s="3" t="s">
        <v>60</v>
      </c>
      <c r="K94" s="2" t="s">
        <v>1343</v>
      </c>
      <c r="L94" s="2" t="s">
        <v>1344</v>
      </c>
      <c r="M94" s="3" t="s">
        <v>162</v>
      </c>
      <c r="O94" s="3" t="s">
        <v>64</v>
      </c>
      <c r="P94" s="3" t="s">
        <v>65</v>
      </c>
      <c r="R94" s="3" t="s">
        <v>66</v>
      </c>
      <c r="S94" s="4">
        <v>3</v>
      </c>
      <c r="T94" s="4">
        <v>3</v>
      </c>
      <c r="U94" s="5" t="s">
        <v>1249</v>
      </c>
      <c r="V94" s="5" t="s">
        <v>1249</v>
      </c>
      <c r="W94" s="5" t="s">
        <v>754</v>
      </c>
      <c r="X94" s="5" t="s">
        <v>754</v>
      </c>
      <c r="Y94" s="4">
        <v>402</v>
      </c>
      <c r="Z94" s="4">
        <v>310</v>
      </c>
      <c r="AA94" s="4">
        <v>385</v>
      </c>
      <c r="AB94" s="4">
        <v>2</v>
      </c>
      <c r="AC94" s="4">
        <v>2</v>
      </c>
      <c r="AD94" s="4">
        <v>15</v>
      </c>
      <c r="AE94" s="4">
        <v>18</v>
      </c>
      <c r="AF94" s="4">
        <v>6</v>
      </c>
      <c r="AG94" s="4">
        <v>9</v>
      </c>
      <c r="AH94" s="4">
        <v>4</v>
      </c>
      <c r="AI94" s="4">
        <v>4</v>
      </c>
      <c r="AJ94" s="4">
        <v>6</v>
      </c>
      <c r="AK94" s="4">
        <v>7</v>
      </c>
      <c r="AL94" s="4">
        <v>1</v>
      </c>
      <c r="AM94" s="4">
        <v>1</v>
      </c>
      <c r="AN94" s="4">
        <v>0</v>
      </c>
      <c r="AO94" s="4">
        <v>0</v>
      </c>
      <c r="AP94" s="3" t="s">
        <v>58</v>
      </c>
      <c r="AQ94" s="3" t="s">
        <v>69</v>
      </c>
      <c r="AR94" s="6" t="str">
        <f>HYPERLINK("http://catalog.hathitrust.org/Record/000244305","HathiTrust Record")</f>
        <v>HathiTrust Record</v>
      </c>
      <c r="AS94" s="6" t="str">
        <f>HYPERLINK("https://creighton-primo.hosted.exlibrisgroup.com/primo-explore/search?tab=default_tab&amp;search_scope=EVERYTHING&amp;vid=01CRU&amp;lang=en_US&amp;offset=0&amp;query=any,contains,991000227969702656","Catalog Record")</f>
        <v>Catalog Record</v>
      </c>
      <c r="AT94" s="6" t="str">
        <f>HYPERLINK("http://www.worldcat.org/oclc/9622028","WorldCat Record")</f>
        <v>WorldCat Record</v>
      </c>
      <c r="AU94" s="3" t="s">
        <v>1345</v>
      </c>
      <c r="AV94" s="3" t="s">
        <v>1346</v>
      </c>
      <c r="AW94" s="3" t="s">
        <v>1347</v>
      </c>
      <c r="AX94" s="3" t="s">
        <v>1347</v>
      </c>
      <c r="AY94" s="3" t="s">
        <v>1348</v>
      </c>
      <c r="AZ94" s="3" t="s">
        <v>74</v>
      </c>
      <c r="BB94" s="3" t="s">
        <v>1349</v>
      </c>
      <c r="BC94" s="3" t="s">
        <v>1350</v>
      </c>
      <c r="BD94" s="3" t="s">
        <v>1351</v>
      </c>
    </row>
    <row r="95" spans="1:56" ht="34.5" customHeight="1" x14ac:dyDescent="0.25">
      <c r="A95" s="7" t="s">
        <v>58</v>
      </c>
      <c r="B95" s="2" t="s">
        <v>1352</v>
      </c>
      <c r="C95" s="2" t="s">
        <v>1353</v>
      </c>
      <c r="D95" s="2" t="s">
        <v>1354</v>
      </c>
      <c r="F95" s="3" t="s">
        <v>58</v>
      </c>
      <c r="G95" s="3" t="s">
        <v>59</v>
      </c>
      <c r="H95" s="3" t="s">
        <v>58</v>
      </c>
      <c r="I95" s="3" t="s">
        <v>58</v>
      </c>
      <c r="J95" s="3" t="s">
        <v>60</v>
      </c>
      <c r="K95" s="2" t="s">
        <v>1355</v>
      </c>
      <c r="L95" s="2" t="s">
        <v>1356</v>
      </c>
      <c r="M95" s="3" t="s">
        <v>1357</v>
      </c>
      <c r="N95" s="2" t="s">
        <v>1358</v>
      </c>
      <c r="O95" s="3" t="s">
        <v>64</v>
      </c>
      <c r="P95" s="3" t="s">
        <v>65</v>
      </c>
      <c r="Q95" s="2" t="s">
        <v>1359</v>
      </c>
      <c r="R95" s="3" t="s">
        <v>66</v>
      </c>
      <c r="S95" s="4">
        <v>4</v>
      </c>
      <c r="T95" s="4">
        <v>4</v>
      </c>
      <c r="U95" s="5" t="s">
        <v>1360</v>
      </c>
      <c r="V95" s="5" t="s">
        <v>1360</v>
      </c>
      <c r="W95" s="5" t="s">
        <v>1361</v>
      </c>
      <c r="X95" s="5" t="s">
        <v>1361</v>
      </c>
      <c r="Y95" s="4">
        <v>455</v>
      </c>
      <c r="Z95" s="4">
        <v>403</v>
      </c>
      <c r="AA95" s="4">
        <v>637</v>
      </c>
      <c r="AB95" s="4">
        <v>3</v>
      </c>
      <c r="AC95" s="4">
        <v>4</v>
      </c>
      <c r="AD95" s="4">
        <v>16</v>
      </c>
      <c r="AE95" s="4">
        <v>27</v>
      </c>
      <c r="AF95" s="4">
        <v>7</v>
      </c>
      <c r="AG95" s="4">
        <v>10</v>
      </c>
      <c r="AH95" s="4">
        <v>5</v>
      </c>
      <c r="AI95" s="4">
        <v>7</v>
      </c>
      <c r="AJ95" s="4">
        <v>5</v>
      </c>
      <c r="AK95" s="4">
        <v>13</v>
      </c>
      <c r="AL95" s="4">
        <v>2</v>
      </c>
      <c r="AM95" s="4">
        <v>3</v>
      </c>
      <c r="AN95" s="4">
        <v>0</v>
      </c>
      <c r="AO95" s="4">
        <v>0</v>
      </c>
      <c r="AP95" s="3" t="s">
        <v>58</v>
      </c>
      <c r="AQ95" s="3" t="s">
        <v>58</v>
      </c>
      <c r="AS95" s="6" t="str">
        <f>HYPERLINK("https://creighton-primo.hosted.exlibrisgroup.com/primo-explore/search?tab=default_tab&amp;search_scope=EVERYTHING&amp;vid=01CRU&amp;lang=en_US&amp;offset=0&amp;query=any,contains,991001510909702656","Catalog Record")</f>
        <v>Catalog Record</v>
      </c>
      <c r="AT95" s="6" t="str">
        <f>HYPERLINK("http://www.worldcat.org/oclc/19888256","WorldCat Record")</f>
        <v>WorldCat Record</v>
      </c>
      <c r="AU95" s="3" t="s">
        <v>1362</v>
      </c>
      <c r="AV95" s="3" t="s">
        <v>1363</v>
      </c>
      <c r="AW95" s="3" t="s">
        <v>1364</v>
      </c>
      <c r="AX95" s="3" t="s">
        <v>1364</v>
      </c>
      <c r="AY95" s="3" t="s">
        <v>1365</v>
      </c>
      <c r="AZ95" s="3" t="s">
        <v>74</v>
      </c>
      <c r="BB95" s="3" t="s">
        <v>1366</v>
      </c>
      <c r="BC95" s="3" t="s">
        <v>1367</v>
      </c>
      <c r="BD95" s="3" t="s">
        <v>1368</v>
      </c>
    </row>
    <row r="96" spans="1:56" ht="34.5" customHeight="1" x14ac:dyDescent="0.25">
      <c r="A96" s="7" t="s">
        <v>58</v>
      </c>
      <c r="B96" s="2" t="s">
        <v>1369</v>
      </c>
      <c r="C96" s="2" t="s">
        <v>1370</v>
      </c>
      <c r="D96" s="2" t="s">
        <v>1371</v>
      </c>
      <c r="F96" s="3" t="s">
        <v>58</v>
      </c>
      <c r="G96" s="3" t="s">
        <v>59</v>
      </c>
      <c r="H96" s="3" t="s">
        <v>58</v>
      </c>
      <c r="I96" s="3" t="s">
        <v>58</v>
      </c>
      <c r="J96" s="3" t="s">
        <v>60</v>
      </c>
      <c r="K96" s="2" t="s">
        <v>1372</v>
      </c>
      <c r="L96" s="2" t="s">
        <v>1373</v>
      </c>
      <c r="M96" s="3" t="s">
        <v>1374</v>
      </c>
      <c r="O96" s="3" t="s">
        <v>64</v>
      </c>
      <c r="P96" s="3" t="s">
        <v>65</v>
      </c>
      <c r="R96" s="3" t="s">
        <v>66</v>
      </c>
      <c r="S96" s="4">
        <v>0</v>
      </c>
      <c r="T96" s="4">
        <v>0</v>
      </c>
      <c r="U96" s="5" t="s">
        <v>1375</v>
      </c>
      <c r="V96" s="5" t="s">
        <v>1375</v>
      </c>
      <c r="W96" s="5" t="s">
        <v>68</v>
      </c>
      <c r="X96" s="5" t="s">
        <v>68</v>
      </c>
      <c r="Y96" s="4">
        <v>544</v>
      </c>
      <c r="Z96" s="4">
        <v>481</v>
      </c>
      <c r="AA96" s="4">
        <v>498</v>
      </c>
      <c r="AB96" s="4">
        <v>5</v>
      </c>
      <c r="AC96" s="4">
        <v>5</v>
      </c>
      <c r="AD96" s="4">
        <v>19</v>
      </c>
      <c r="AE96" s="4">
        <v>19</v>
      </c>
      <c r="AF96" s="4">
        <v>8</v>
      </c>
      <c r="AG96" s="4">
        <v>8</v>
      </c>
      <c r="AH96" s="4">
        <v>3</v>
      </c>
      <c r="AI96" s="4">
        <v>3</v>
      </c>
      <c r="AJ96" s="4">
        <v>9</v>
      </c>
      <c r="AK96" s="4">
        <v>9</v>
      </c>
      <c r="AL96" s="4">
        <v>4</v>
      </c>
      <c r="AM96" s="4">
        <v>4</v>
      </c>
      <c r="AN96" s="4">
        <v>0</v>
      </c>
      <c r="AO96" s="4">
        <v>0</v>
      </c>
      <c r="AP96" s="3" t="s">
        <v>58</v>
      </c>
      <c r="AQ96" s="3" t="s">
        <v>69</v>
      </c>
      <c r="AR96" s="6" t="str">
        <f>HYPERLINK("http://catalog.hathitrust.org/Record/000564319","HathiTrust Record")</f>
        <v>HathiTrust Record</v>
      </c>
      <c r="AS96" s="6" t="str">
        <f>HYPERLINK("https://creighton-primo.hosted.exlibrisgroup.com/primo-explore/search?tab=default_tab&amp;search_scope=EVERYTHING&amp;vid=01CRU&amp;lang=en_US&amp;offset=0&amp;query=any,contains,991001370229702656","Catalog Record")</f>
        <v>Catalog Record</v>
      </c>
      <c r="AT96" s="6" t="str">
        <f>HYPERLINK("http://www.worldcat.org/oclc/223370","WorldCat Record")</f>
        <v>WorldCat Record</v>
      </c>
      <c r="AU96" s="3" t="s">
        <v>1376</v>
      </c>
      <c r="AV96" s="3" t="s">
        <v>1377</v>
      </c>
      <c r="AW96" s="3" t="s">
        <v>1378</v>
      </c>
      <c r="AX96" s="3" t="s">
        <v>1378</v>
      </c>
      <c r="AY96" s="3" t="s">
        <v>1379</v>
      </c>
      <c r="AZ96" s="3" t="s">
        <v>74</v>
      </c>
      <c r="BC96" s="3" t="s">
        <v>1380</v>
      </c>
      <c r="BD96" s="3" t="s">
        <v>1381</v>
      </c>
    </row>
    <row r="97" spans="1:56" ht="34.5" customHeight="1" x14ac:dyDescent="0.25">
      <c r="A97" s="7" t="s">
        <v>58</v>
      </c>
      <c r="B97" s="2" t="s">
        <v>1382</v>
      </c>
      <c r="C97" s="2" t="s">
        <v>1383</v>
      </c>
      <c r="D97" s="2" t="s">
        <v>1384</v>
      </c>
      <c r="F97" s="3" t="s">
        <v>58</v>
      </c>
      <c r="G97" s="3" t="s">
        <v>59</v>
      </c>
      <c r="H97" s="3" t="s">
        <v>58</v>
      </c>
      <c r="I97" s="3" t="s">
        <v>58</v>
      </c>
      <c r="J97" s="3" t="s">
        <v>60</v>
      </c>
      <c r="K97" s="2" t="s">
        <v>1385</v>
      </c>
      <c r="L97" s="2" t="s">
        <v>1386</v>
      </c>
      <c r="M97" s="3" t="s">
        <v>1387</v>
      </c>
      <c r="O97" s="3" t="s">
        <v>64</v>
      </c>
      <c r="P97" s="3" t="s">
        <v>955</v>
      </c>
      <c r="Q97" s="2" t="s">
        <v>1388</v>
      </c>
      <c r="R97" s="3" t="s">
        <v>66</v>
      </c>
      <c r="S97" s="4">
        <v>1</v>
      </c>
      <c r="T97" s="4">
        <v>1</v>
      </c>
      <c r="U97" s="5" t="s">
        <v>1389</v>
      </c>
      <c r="V97" s="5" t="s">
        <v>1389</v>
      </c>
      <c r="W97" s="5" t="s">
        <v>1390</v>
      </c>
      <c r="X97" s="5" t="s">
        <v>1390</v>
      </c>
      <c r="Y97" s="4">
        <v>217</v>
      </c>
      <c r="Z97" s="4">
        <v>171</v>
      </c>
      <c r="AA97" s="4">
        <v>353</v>
      </c>
      <c r="AB97" s="4">
        <v>2</v>
      </c>
      <c r="AC97" s="4">
        <v>3</v>
      </c>
      <c r="AD97" s="4">
        <v>7</v>
      </c>
      <c r="AE97" s="4">
        <v>21</v>
      </c>
      <c r="AF97" s="4">
        <v>2</v>
      </c>
      <c r="AG97" s="4">
        <v>7</v>
      </c>
      <c r="AH97" s="4">
        <v>0</v>
      </c>
      <c r="AI97" s="4">
        <v>6</v>
      </c>
      <c r="AJ97" s="4">
        <v>4</v>
      </c>
      <c r="AK97" s="4">
        <v>10</v>
      </c>
      <c r="AL97" s="4">
        <v>1</v>
      </c>
      <c r="AM97" s="4">
        <v>2</v>
      </c>
      <c r="AN97" s="4">
        <v>0</v>
      </c>
      <c r="AO97" s="4">
        <v>0</v>
      </c>
      <c r="AP97" s="3" t="s">
        <v>58</v>
      </c>
      <c r="AQ97" s="3" t="s">
        <v>69</v>
      </c>
      <c r="AR97" s="6" t="str">
        <f>HYPERLINK("http://catalog.hathitrust.org/Record/002047643","HathiTrust Record")</f>
        <v>HathiTrust Record</v>
      </c>
      <c r="AS97" s="6" t="str">
        <f>HYPERLINK("https://creighton-primo.hosted.exlibrisgroup.com/primo-explore/search?tab=default_tab&amp;search_scope=EVERYTHING&amp;vid=01CRU&amp;lang=en_US&amp;offset=0&amp;query=any,contains,991003125589702656","Catalog Record")</f>
        <v>Catalog Record</v>
      </c>
      <c r="AT97" s="6" t="str">
        <f>HYPERLINK("http://www.worldcat.org/oclc/670105","WorldCat Record")</f>
        <v>WorldCat Record</v>
      </c>
      <c r="AU97" s="3" t="s">
        <v>1391</v>
      </c>
      <c r="AV97" s="3" t="s">
        <v>1392</v>
      </c>
      <c r="AW97" s="3" t="s">
        <v>1393</v>
      </c>
      <c r="AX97" s="3" t="s">
        <v>1393</v>
      </c>
      <c r="AY97" s="3" t="s">
        <v>1394</v>
      </c>
      <c r="AZ97" s="3" t="s">
        <v>74</v>
      </c>
      <c r="BC97" s="3" t="s">
        <v>1395</v>
      </c>
      <c r="BD97" s="3" t="s">
        <v>1396</v>
      </c>
    </row>
    <row r="98" spans="1:56" ht="34.5" customHeight="1" x14ac:dyDescent="0.25">
      <c r="A98" s="7" t="s">
        <v>58</v>
      </c>
      <c r="B98" s="2" t="s">
        <v>1397</v>
      </c>
      <c r="C98" s="2" t="s">
        <v>1398</v>
      </c>
      <c r="D98" s="2" t="s">
        <v>1399</v>
      </c>
      <c r="F98" s="3" t="s">
        <v>58</v>
      </c>
      <c r="G98" s="3" t="s">
        <v>59</v>
      </c>
      <c r="H98" s="3" t="s">
        <v>58</v>
      </c>
      <c r="I98" s="3" t="s">
        <v>58</v>
      </c>
      <c r="J98" s="3" t="s">
        <v>60</v>
      </c>
      <c r="K98" s="2" t="s">
        <v>1400</v>
      </c>
      <c r="L98" s="2" t="s">
        <v>1401</v>
      </c>
      <c r="M98" s="3" t="s">
        <v>1234</v>
      </c>
      <c r="O98" s="3" t="s">
        <v>64</v>
      </c>
      <c r="P98" s="3" t="s">
        <v>238</v>
      </c>
      <c r="R98" s="3" t="s">
        <v>66</v>
      </c>
      <c r="S98" s="4">
        <v>4</v>
      </c>
      <c r="T98" s="4">
        <v>4</v>
      </c>
      <c r="U98" s="5" t="s">
        <v>1402</v>
      </c>
      <c r="V98" s="5" t="s">
        <v>1402</v>
      </c>
      <c r="W98" s="5" t="s">
        <v>1403</v>
      </c>
      <c r="X98" s="5" t="s">
        <v>1403</v>
      </c>
      <c r="Y98" s="4">
        <v>884</v>
      </c>
      <c r="Z98" s="4">
        <v>723</v>
      </c>
      <c r="AA98" s="4">
        <v>749</v>
      </c>
      <c r="AB98" s="4">
        <v>9</v>
      </c>
      <c r="AC98" s="4">
        <v>9</v>
      </c>
      <c r="AD98" s="4">
        <v>37</v>
      </c>
      <c r="AE98" s="4">
        <v>37</v>
      </c>
      <c r="AF98" s="4">
        <v>16</v>
      </c>
      <c r="AG98" s="4">
        <v>16</v>
      </c>
      <c r="AH98" s="4">
        <v>11</v>
      </c>
      <c r="AI98" s="4">
        <v>11</v>
      </c>
      <c r="AJ98" s="4">
        <v>14</v>
      </c>
      <c r="AK98" s="4">
        <v>14</v>
      </c>
      <c r="AL98" s="4">
        <v>7</v>
      </c>
      <c r="AM98" s="4">
        <v>7</v>
      </c>
      <c r="AN98" s="4">
        <v>0</v>
      </c>
      <c r="AO98" s="4">
        <v>0</v>
      </c>
      <c r="AP98" s="3" t="s">
        <v>58</v>
      </c>
      <c r="AQ98" s="3" t="s">
        <v>58</v>
      </c>
      <c r="AR98" s="6" t="str">
        <f>HYPERLINK("http://catalog.hathitrust.org/Record/000610532","HathiTrust Record")</f>
        <v>HathiTrust Record</v>
      </c>
      <c r="AS98" s="6" t="str">
        <f>HYPERLINK("https://creighton-primo.hosted.exlibrisgroup.com/primo-explore/search?tab=default_tab&amp;search_scope=EVERYTHING&amp;vid=01CRU&amp;lang=en_US&amp;offset=0&amp;query=any,contains,991002891919702656","Catalog Record")</f>
        <v>Catalog Record</v>
      </c>
      <c r="AT98" s="6" t="str">
        <f>HYPERLINK("http://www.worldcat.org/oclc/512110","WorldCat Record")</f>
        <v>WorldCat Record</v>
      </c>
      <c r="AU98" s="3" t="s">
        <v>1404</v>
      </c>
      <c r="AV98" s="3" t="s">
        <v>1405</v>
      </c>
      <c r="AW98" s="3" t="s">
        <v>1406</v>
      </c>
      <c r="AX98" s="3" t="s">
        <v>1406</v>
      </c>
      <c r="AY98" s="3" t="s">
        <v>1407</v>
      </c>
      <c r="AZ98" s="3" t="s">
        <v>74</v>
      </c>
      <c r="BC98" s="3" t="s">
        <v>1408</v>
      </c>
      <c r="BD98" s="3" t="s">
        <v>1409</v>
      </c>
    </row>
    <row r="99" spans="1:56" ht="34.5" customHeight="1" x14ac:dyDescent="0.25">
      <c r="A99" s="7" t="s">
        <v>58</v>
      </c>
      <c r="B99" s="2" t="s">
        <v>1410</v>
      </c>
      <c r="C99" s="2" t="s">
        <v>1411</v>
      </c>
      <c r="D99" s="2" t="s">
        <v>1412</v>
      </c>
      <c r="F99" s="3" t="s">
        <v>58</v>
      </c>
      <c r="G99" s="3" t="s">
        <v>59</v>
      </c>
      <c r="H99" s="3" t="s">
        <v>58</v>
      </c>
      <c r="I99" s="3" t="s">
        <v>58</v>
      </c>
      <c r="J99" s="3" t="s">
        <v>60</v>
      </c>
      <c r="K99" s="2" t="s">
        <v>1413</v>
      </c>
      <c r="L99" s="2" t="s">
        <v>1414</v>
      </c>
      <c r="M99" s="3" t="s">
        <v>382</v>
      </c>
      <c r="N99" s="2" t="s">
        <v>284</v>
      </c>
      <c r="O99" s="3" t="s">
        <v>64</v>
      </c>
      <c r="P99" s="3" t="s">
        <v>65</v>
      </c>
      <c r="R99" s="3" t="s">
        <v>66</v>
      </c>
      <c r="S99" s="4">
        <v>1</v>
      </c>
      <c r="T99" s="4">
        <v>1</v>
      </c>
      <c r="U99" s="5" t="s">
        <v>1415</v>
      </c>
      <c r="V99" s="5" t="s">
        <v>1415</v>
      </c>
      <c r="W99" s="5" t="s">
        <v>1416</v>
      </c>
      <c r="X99" s="5" t="s">
        <v>1416</v>
      </c>
      <c r="Y99" s="4">
        <v>665</v>
      </c>
      <c r="Z99" s="4">
        <v>625</v>
      </c>
      <c r="AA99" s="4">
        <v>635</v>
      </c>
      <c r="AB99" s="4">
        <v>3</v>
      </c>
      <c r="AC99" s="4">
        <v>3</v>
      </c>
      <c r="AD99" s="4">
        <v>13</v>
      </c>
      <c r="AE99" s="4">
        <v>13</v>
      </c>
      <c r="AF99" s="4">
        <v>5</v>
      </c>
      <c r="AG99" s="4">
        <v>5</v>
      </c>
      <c r="AH99" s="4">
        <v>3</v>
      </c>
      <c r="AI99" s="4">
        <v>3</v>
      </c>
      <c r="AJ99" s="4">
        <v>5</v>
      </c>
      <c r="AK99" s="4">
        <v>5</v>
      </c>
      <c r="AL99" s="4">
        <v>1</v>
      </c>
      <c r="AM99" s="4">
        <v>1</v>
      </c>
      <c r="AN99" s="4">
        <v>0</v>
      </c>
      <c r="AO99" s="4">
        <v>0</v>
      </c>
      <c r="AP99" s="3" t="s">
        <v>58</v>
      </c>
      <c r="AQ99" s="3" t="s">
        <v>69</v>
      </c>
      <c r="AR99" s="6" t="str">
        <f>HYPERLINK("http://catalog.hathitrust.org/Record/000807692","HathiTrust Record")</f>
        <v>HathiTrust Record</v>
      </c>
      <c r="AS99" s="6" t="str">
        <f>HYPERLINK("https://creighton-primo.hosted.exlibrisgroup.com/primo-explore/search?tab=default_tab&amp;search_scope=EVERYTHING&amp;vid=01CRU&amp;lang=en_US&amp;offset=0&amp;query=any,contains,991000798929702656","Catalog Record")</f>
        <v>Catalog Record</v>
      </c>
      <c r="AT99" s="6" t="str">
        <f>HYPERLINK("http://www.worldcat.org/oclc/13215677","WorldCat Record")</f>
        <v>WorldCat Record</v>
      </c>
      <c r="AU99" s="3" t="s">
        <v>1417</v>
      </c>
      <c r="AV99" s="3" t="s">
        <v>1418</v>
      </c>
      <c r="AW99" s="3" t="s">
        <v>1419</v>
      </c>
      <c r="AX99" s="3" t="s">
        <v>1419</v>
      </c>
      <c r="AY99" s="3" t="s">
        <v>1420</v>
      </c>
      <c r="AZ99" s="3" t="s">
        <v>74</v>
      </c>
      <c r="BB99" s="3" t="s">
        <v>1421</v>
      </c>
      <c r="BC99" s="3" t="s">
        <v>1422</v>
      </c>
      <c r="BD99" s="3" t="s">
        <v>1423</v>
      </c>
    </row>
    <row r="100" spans="1:56" ht="34.5" customHeight="1" x14ac:dyDescent="0.25">
      <c r="A100" s="7" t="s">
        <v>58</v>
      </c>
      <c r="B100" s="2" t="s">
        <v>1424</v>
      </c>
      <c r="C100" s="2" t="s">
        <v>1425</v>
      </c>
      <c r="D100" s="2" t="s">
        <v>1426</v>
      </c>
      <c r="F100" s="3" t="s">
        <v>58</v>
      </c>
      <c r="G100" s="3" t="s">
        <v>59</v>
      </c>
      <c r="H100" s="3" t="s">
        <v>58</v>
      </c>
      <c r="I100" s="3" t="s">
        <v>58</v>
      </c>
      <c r="J100" s="3" t="s">
        <v>60</v>
      </c>
      <c r="K100" s="2" t="s">
        <v>1427</v>
      </c>
      <c r="L100" s="2" t="s">
        <v>1428</v>
      </c>
      <c r="M100" s="3" t="s">
        <v>1429</v>
      </c>
      <c r="N100" s="2" t="s">
        <v>1430</v>
      </c>
      <c r="O100" s="3" t="s">
        <v>64</v>
      </c>
      <c r="P100" s="3" t="s">
        <v>670</v>
      </c>
      <c r="R100" s="3" t="s">
        <v>66</v>
      </c>
      <c r="S100" s="4">
        <v>1</v>
      </c>
      <c r="T100" s="4">
        <v>1</v>
      </c>
      <c r="U100" s="5" t="s">
        <v>1431</v>
      </c>
      <c r="V100" s="5" t="s">
        <v>1431</v>
      </c>
      <c r="W100" s="5" t="s">
        <v>68</v>
      </c>
      <c r="X100" s="5" t="s">
        <v>68</v>
      </c>
      <c r="Y100" s="4">
        <v>288</v>
      </c>
      <c r="Z100" s="4">
        <v>249</v>
      </c>
      <c r="AA100" s="4">
        <v>634</v>
      </c>
      <c r="AB100" s="4">
        <v>5</v>
      </c>
      <c r="AC100" s="4">
        <v>7</v>
      </c>
      <c r="AD100" s="4">
        <v>14</v>
      </c>
      <c r="AE100" s="4">
        <v>29</v>
      </c>
      <c r="AF100" s="4">
        <v>3</v>
      </c>
      <c r="AG100" s="4">
        <v>8</v>
      </c>
      <c r="AH100" s="4">
        <v>1</v>
      </c>
      <c r="AI100" s="4">
        <v>6</v>
      </c>
      <c r="AJ100" s="4">
        <v>8</v>
      </c>
      <c r="AK100" s="4">
        <v>15</v>
      </c>
      <c r="AL100" s="4">
        <v>4</v>
      </c>
      <c r="AM100" s="4">
        <v>5</v>
      </c>
      <c r="AN100" s="4">
        <v>0</v>
      </c>
      <c r="AO100" s="4">
        <v>0</v>
      </c>
      <c r="AP100" s="3" t="s">
        <v>58</v>
      </c>
      <c r="AQ100" s="3" t="s">
        <v>58</v>
      </c>
      <c r="AS100" s="6" t="str">
        <f>HYPERLINK("https://creighton-primo.hosted.exlibrisgroup.com/primo-explore/search?tab=default_tab&amp;search_scope=EVERYTHING&amp;vid=01CRU&amp;lang=en_US&amp;offset=0&amp;query=any,contains,991002015149702656","Catalog Record")</f>
        <v>Catalog Record</v>
      </c>
      <c r="AT100" s="6" t="str">
        <f>HYPERLINK("http://www.worldcat.org/oclc/259100","WorldCat Record")</f>
        <v>WorldCat Record</v>
      </c>
      <c r="AU100" s="3" t="s">
        <v>1432</v>
      </c>
      <c r="AV100" s="3" t="s">
        <v>1433</v>
      </c>
      <c r="AW100" s="3" t="s">
        <v>1434</v>
      </c>
      <c r="AX100" s="3" t="s">
        <v>1434</v>
      </c>
      <c r="AY100" s="3" t="s">
        <v>1435</v>
      </c>
      <c r="AZ100" s="3" t="s">
        <v>74</v>
      </c>
      <c r="BC100" s="3" t="s">
        <v>1436</v>
      </c>
      <c r="BD100" s="3" t="s">
        <v>1437</v>
      </c>
    </row>
    <row r="101" spans="1:56" ht="34.5" customHeight="1" x14ac:dyDescent="0.25">
      <c r="A101" s="7" t="s">
        <v>58</v>
      </c>
      <c r="B101" s="2" t="s">
        <v>1438</v>
      </c>
      <c r="C101" s="2" t="s">
        <v>1439</v>
      </c>
      <c r="D101" s="2" t="s">
        <v>1440</v>
      </c>
      <c r="F101" s="3" t="s">
        <v>58</v>
      </c>
      <c r="G101" s="3" t="s">
        <v>59</v>
      </c>
      <c r="H101" s="3" t="s">
        <v>58</v>
      </c>
      <c r="I101" s="3" t="s">
        <v>58</v>
      </c>
      <c r="J101" s="3" t="s">
        <v>60</v>
      </c>
      <c r="L101" s="2" t="s">
        <v>1441</v>
      </c>
      <c r="M101" s="3" t="s">
        <v>450</v>
      </c>
      <c r="O101" s="3" t="s">
        <v>64</v>
      </c>
      <c r="P101" s="3" t="s">
        <v>268</v>
      </c>
      <c r="Q101" s="2" t="s">
        <v>1442</v>
      </c>
      <c r="R101" s="3" t="s">
        <v>66</v>
      </c>
      <c r="S101" s="4">
        <v>4</v>
      </c>
      <c r="T101" s="4">
        <v>4</v>
      </c>
      <c r="U101" s="5" t="s">
        <v>1443</v>
      </c>
      <c r="V101" s="5" t="s">
        <v>1443</v>
      </c>
      <c r="W101" s="5" t="s">
        <v>68</v>
      </c>
      <c r="X101" s="5" t="s">
        <v>68</v>
      </c>
      <c r="Y101" s="4">
        <v>366</v>
      </c>
      <c r="Z101" s="4">
        <v>285</v>
      </c>
      <c r="AA101" s="4">
        <v>292</v>
      </c>
      <c r="AB101" s="4">
        <v>2</v>
      </c>
      <c r="AC101" s="4">
        <v>2</v>
      </c>
      <c r="AD101" s="4">
        <v>10</v>
      </c>
      <c r="AE101" s="4">
        <v>10</v>
      </c>
      <c r="AF101" s="4">
        <v>5</v>
      </c>
      <c r="AG101" s="4">
        <v>5</v>
      </c>
      <c r="AH101" s="4">
        <v>1</v>
      </c>
      <c r="AI101" s="4">
        <v>1</v>
      </c>
      <c r="AJ101" s="4">
        <v>4</v>
      </c>
      <c r="AK101" s="4">
        <v>4</v>
      </c>
      <c r="AL101" s="4">
        <v>1</v>
      </c>
      <c r="AM101" s="4">
        <v>1</v>
      </c>
      <c r="AN101" s="4">
        <v>0</v>
      </c>
      <c r="AO101" s="4">
        <v>0</v>
      </c>
      <c r="AP101" s="3" t="s">
        <v>58</v>
      </c>
      <c r="AQ101" s="3" t="s">
        <v>69</v>
      </c>
      <c r="AR101" s="6" t="str">
        <f>HYPERLINK("http://catalog.hathitrust.org/Record/005778110","HathiTrust Record")</f>
        <v>HathiTrust Record</v>
      </c>
      <c r="AS101" s="6" t="str">
        <f>HYPERLINK("https://creighton-primo.hosted.exlibrisgroup.com/primo-explore/search?tab=default_tab&amp;search_scope=EVERYTHING&amp;vid=01CRU&amp;lang=en_US&amp;offset=0&amp;query=any,contains,991004307979702656","Catalog Record")</f>
        <v>Catalog Record</v>
      </c>
      <c r="AT101" s="6" t="str">
        <f>HYPERLINK("http://www.worldcat.org/oclc/2984898","WorldCat Record")</f>
        <v>WorldCat Record</v>
      </c>
      <c r="AU101" s="3" t="s">
        <v>1444</v>
      </c>
      <c r="AV101" s="3" t="s">
        <v>1445</v>
      </c>
      <c r="AW101" s="3" t="s">
        <v>1446</v>
      </c>
      <c r="AX101" s="3" t="s">
        <v>1446</v>
      </c>
      <c r="AY101" s="3" t="s">
        <v>1447</v>
      </c>
      <c r="AZ101" s="3" t="s">
        <v>74</v>
      </c>
      <c r="BB101" s="3" t="s">
        <v>1448</v>
      </c>
      <c r="BC101" s="3" t="s">
        <v>1449</v>
      </c>
      <c r="BD101" s="3" t="s">
        <v>1450</v>
      </c>
    </row>
    <row r="102" spans="1:56" ht="34.5" customHeight="1" x14ac:dyDescent="0.25">
      <c r="A102" s="7" t="s">
        <v>58</v>
      </c>
      <c r="B102" s="2" t="s">
        <v>1451</v>
      </c>
      <c r="C102" s="2" t="s">
        <v>1452</v>
      </c>
      <c r="D102" s="2" t="s">
        <v>1453</v>
      </c>
      <c r="F102" s="3" t="s">
        <v>58</v>
      </c>
      <c r="G102" s="3" t="s">
        <v>59</v>
      </c>
      <c r="H102" s="3" t="s">
        <v>58</v>
      </c>
      <c r="I102" s="3" t="s">
        <v>58</v>
      </c>
      <c r="J102" s="3" t="s">
        <v>60</v>
      </c>
      <c r="K102" s="2" t="s">
        <v>1454</v>
      </c>
      <c r="L102" s="2" t="s">
        <v>1455</v>
      </c>
      <c r="M102" s="3" t="s">
        <v>1429</v>
      </c>
      <c r="O102" s="3" t="s">
        <v>64</v>
      </c>
      <c r="P102" s="3" t="s">
        <v>65</v>
      </c>
      <c r="R102" s="3" t="s">
        <v>66</v>
      </c>
      <c r="S102" s="4">
        <v>3</v>
      </c>
      <c r="T102" s="4">
        <v>3</v>
      </c>
      <c r="U102" s="5" t="s">
        <v>1456</v>
      </c>
      <c r="V102" s="5" t="s">
        <v>1456</v>
      </c>
      <c r="W102" s="5" t="s">
        <v>68</v>
      </c>
      <c r="X102" s="5" t="s">
        <v>68</v>
      </c>
      <c r="Y102" s="4">
        <v>252</v>
      </c>
      <c r="Z102" s="4">
        <v>196</v>
      </c>
      <c r="AA102" s="4">
        <v>202</v>
      </c>
      <c r="AB102" s="4">
        <v>2</v>
      </c>
      <c r="AC102" s="4">
        <v>2</v>
      </c>
      <c r="AD102" s="4">
        <v>3</v>
      </c>
      <c r="AE102" s="4">
        <v>3</v>
      </c>
      <c r="AF102" s="4">
        <v>1</v>
      </c>
      <c r="AG102" s="4">
        <v>1</v>
      </c>
      <c r="AH102" s="4">
        <v>0</v>
      </c>
      <c r="AI102" s="4">
        <v>0</v>
      </c>
      <c r="AJ102" s="4">
        <v>1</v>
      </c>
      <c r="AK102" s="4">
        <v>1</v>
      </c>
      <c r="AL102" s="4">
        <v>1</v>
      </c>
      <c r="AM102" s="4">
        <v>1</v>
      </c>
      <c r="AN102" s="4">
        <v>0</v>
      </c>
      <c r="AO102" s="4">
        <v>0</v>
      </c>
      <c r="AP102" s="3" t="s">
        <v>58</v>
      </c>
      <c r="AQ102" s="3" t="s">
        <v>69</v>
      </c>
      <c r="AR102" s="6" t="str">
        <f>HYPERLINK("http://catalog.hathitrust.org/Record/101739362","HathiTrust Record")</f>
        <v>HathiTrust Record</v>
      </c>
      <c r="AS102" s="6" t="str">
        <f>HYPERLINK("https://creighton-primo.hosted.exlibrisgroup.com/primo-explore/search?tab=default_tab&amp;search_scope=EVERYTHING&amp;vid=01CRU&amp;lang=en_US&amp;offset=0&amp;query=any,contains,991003773829702656","Catalog Record")</f>
        <v>Catalog Record</v>
      </c>
      <c r="AT102" s="6" t="str">
        <f>HYPERLINK("http://www.worldcat.org/oclc/1477063","WorldCat Record")</f>
        <v>WorldCat Record</v>
      </c>
      <c r="AU102" s="3" t="s">
        <v>1457</v>
      </c>
      <c r="AV102" s="3" t="s">
        <v>1458</v>
      </c>
      <c r="AW102" s="3" t="s">
        <v>1459</v>
      </c>
      <c r="AX102" s="3" t="s">
        <v>1459</v>
      </c>
      <c r="AY102" s="3" t="s">
        <v>1460</v>
      </c>
      <c r="AZ102" s="3" t="s">
        <v>74</v>
      </c>
      <c r="BC102" s="3" t="s">
        <v>1461</v>
      </c>
      <c r="BD102" s="3" t="s">
        <v>1462</v>
      </c>
    </row>
    <row r="103" spans="1:56" ht="34.5" customHeight="1" x14ac:dyDescent="0.25">
      <c r="A103" s="7" t="s">
        <v>58</v>
      </c>
      <c r="B103" s="2" t="s">
        <v>1463</v>
      </c>
      <c r="C103" s="2" t="s">
        <v>1464</v>
      </c>
      <c r="D103" s="2" t="s">
        <v>1465</v>
      </c>
      <c r="F103" s="3" t="s">
        <v>58</v>
      </c>
      <c r="G103" s="3" t="s">
        <v>59</v>
      </c>
      <c r="H103" s="3" t="s">
        <v>58</v>
      </c>
      <c r="I103" s="3" t="s">
        <v>58</v>
      </c>
      <c r="J103" s="3" t="s">
        <v>60</v>
      </c>
      <c r="K103" s="2" t="s">
        <v>1466</v>
      </c>
      <c r="L103" s="2" t="s">
        <v>1467</v>
      </c>
      <c r="M103" s="3" t="s">
        <v>1191</v>
      </c>
      <c r="O103" s="3" t="s">
        <v>64</v>
      </c>
      <c r="P103" s="3" t="s">
        <v>65</v>
      </c>
      <c r="R103" s="3" t="s">
        <v>66</v>
      </c>
      <c r="S103" s="4">
        <v>5</v>
      </c>
      <c r="T103" s="4">
        <v>5</v>
      </c>
      <c r="U103" s="5" t="s">
        <v>1456</v>
      </c>
      <c r="V103" s="5" t="s">
        <v>1456</v>
      </c>
      <c r="W103" s="5" t="s">
        <v>68</v>
      </c>
      <c r="X103" s="5" t="s">
        <v>68</v>
      </c>
      <c r="Y103" s="4">
        <v>461</v>
      </c>
      <c r="Z103" s="4">
        <v>378</v>
      </c>
      <c r="AA103" s="4">
        <v>471</v>
      </c>
      <c r="AB103" s="4">
        <v>6</v>
      </c>
      <c r="AC103" s="4">
        <v>7</v>
      </c>
      <c r="AD103" s="4">
        <v>17</v>
      </c>
      <c r="AE103" s="4">
        <v>20</v>
      </c>
      <c r="AF103" s="4">
        <v>6</v>
      </c>
      <c r="AG103" s="4">
        <v>8</v>
      </c>
      <c r="AH103" s="4">
        <v>4</v>
      </c>
      <c r="AI103" s="4">
        <v>4</v>
      </c>
      <c r="AJ103" s="4">
        <v>4</v>
      </c>
      <c r="AK103" s="4">
        <v>5</v>
      </c>
      <c r="AL103" s="4">
        <v>5</v>
      </c>
      <c r="AM103" s="4">
        <v>5</v>
      </c>
      <c r="AN103" s="4">
        <v>0</v>
      </c>
      <c r="AO103" s="4">
        <v>0</v>
      </c>
      <c r="AP103" s="3" t="s">
        <v>58</v>
      </c>
      <c r="AQ103" s="3" t="s">
        <v>69</v>
      </c>
      <c r="AR103" s="6" t="str">
        <f>HYPERLINK("http://catalog.hathitrust.org/Record/000564704","HathiTrust Record")</f>
        <v>HathiTrust Record</v>
      </c>
      <c r="AS103" s="6" t="str">
        <f>HYPERLINK("https://creighton-primo.hosted.exlibrisgroup.com/primo-explore/search?tab=default_tab&amp;search_scope=EVERYTHING&amp;vid=01CRU&amp;lang=en_US&amp;offset=0&amp;query=any,contains,991004477689702656","Catalog Record")</f>
        <v>Catalog Record</v>
      </c>
      <c r="AT103" s="6" t="str">
        <f>HYPERLINK("http://www.worldcat.org/oclc/3611972","WorldCat Record")</f>
        <v>WorldCat Record</v>
      </c>
      <c r="AU103" s="3" t="s">
        <v>1468</v>
      </c>
      <c r="AV103" s="3" t="s">
        <v>1469</v>
      </c>
      <c r="AW103" s="3" t="s">
        <v>1470</v>
      </c>
      <c r="AX103" s="3" t="s">
        <v>1470</v>
      </c>
      <c r="AY103" s="3" t="s">
        <v>1471</v>
      </c>
      <c r="AZ103" s="3" t="s">
        <v>74</v>
      </c>
      <c r="BC103" s="3" t="s">
        <v>1472</v>
      </c>
      <c r="BD103" s="3" t="s">
        <v>1473</v>
      </c>
    </row>
    <row r="104" spans="1:56" ht="34.5" customHeight="1" x14ac:dyDescent="0.25">
      <c r="A104" s="7" t="s">
        <v>58</v>
      </c>
      <c r="B104" s="2" t="s">
        <v>1474</v>
      </c>
      <c r="C104" s="2" t="s">
        <v>1475</v>
      </c>
      <c r="D104" s="2" t="s">
        <v>1476</v>
      </c>
      <c r="F104" s="3" t="s">
        <v>58</v>
      </c>
      <c r="G104" s="3" t="s">
        <v>59</v>
      </c>
      <c r="H104" s="3" t="s">
        <v>58</v>
      </c>
      <c r="I104" s="3" t="s">
        <v>58</v>
      </c>
      <c r="J104" s="3" t="s">
        <v>60</v>
      </c>
      <c r="K104" s="2" t="s">
        <v>1466</v>
      </c>
      <c r="L104" s="2" t="s">
        <v>1477</v>
      </c>
      <c r="M104" s="3" t="s">
        <v>1478</v>
      </c>
      <c r="O104" s="3" t="s">
        <v>64</v>
      </c>
      <c r="P104" s="3" t="s">
        <v>65</v>
      </c>
      <c r="R104" s="3" t="s">
        <v>66</v>
      </c>
      <c r="S104" s="4">
        <v>3</v>
      </c>
      <c r="T104" s="4">
        <v>3</v>
      </c>
      <c r="U104" s="5" t="s">
        <v>1456</v>
      </c>
      <c r="V104" s="5" t="s">
        <v>1456</v>
      </c>
      <c r="W104" s="5" t="s">
        <v>68</v>
      </c>
      <c r="X104" s="5" t="s">
        <v>68</v>
      </c>
      <c r="Y104" s="4">
        <v>273</v>
      </c>
      <c r="Z104" s="4">
        <v>229</v>
      </c>
      <c r="AA104" s="4">
        <v>239</v>
      </c>
      <c r="AB104" s="4">
        <v>2</v>
      </c>
      <c r="AC104" s="4">
        <v>2</v>
      </c>
      <c r="AD104" s="4">
        <v>6</v>
      </c>
      <c r="AE104" s="4">
        <v>6</v>
      </c>
      <c r="AF104" s="4">
        <v>2</v>
      </c>
      <c r="AG104" s="4">
        <v>2</v>
      </c>
      <c r="AH104" s="4">
        <v>2</v>
      </c>
      <c r="AI104" s="4">
        <v>2</v>
      </c>
      <c r="AJ104" s="4">
        <v>2</v>
      </c>
      <c r="AK104" s="4">
        <v>2</v>
      </c>
      <c r="AL104" s="4">
        <v>1</v>
      </c>
      <c r="AM104" s="4">
        <v>1</v>
      </c>
      <c r="AN104" s="4">
        <v>0</v>
      </c>
      <c r="AO104" s="4">
        <v>0</v>
      </c>
      <c r="AP104" s="3" t="s">
        <v>58</v>
      </c>
      <c r="AQ104" s="3" t="s">
        <v>69</v>
      </c>
      <c r="AR104" s="6" t="str">
        <f>HYPERLINK("http://catalog.hathitrust.org/Record/000564705","HathiTrust Record")</f>
        <v>HathiTrust Record</v>
      </c>
      <c r="AS104" s="6" t="str">
        <f>HYPERLINK("https://creighton-primo.hosted.exlibrisgroup.com/primo-explore/search?tab=default_tab&amp;search_scope=EVERYTHING&amp;vid=01CRU&amp;lang=en_US&amp;offset=0&amp;query=any,contains,991003543719702656","Catalog Record")</f>
        <v>Catalog Record</v>
      </c>
      <c r="AT104" s="6" t="str">
        <f>HYPERLINK("http://www.worldcat.org/oclc/1109790","WorldCat Record")</f>
        <v>WorldCat Record</v>
      </c>
      <c r="AU104" s="3" t="s">
        <v>1479</v>
      </c>
      <c r="AV104" s="3" t="s">
        <v>1480</v>
      </c>
      <c r="AW104" s="3" t="s">
        <v>1481</v>
      </c>
      <c r="AX104" s="3" t="s">
        <v>1481</v>
      </c>
      <c r="AY104" s="3" t="s">
        <v>1482</v>
      </c>
      <c r="AZ104" s="3" t="s">
        <v>74</v>
      </c>
      <c r="BC104" s="3" t="s">
        <v>1483</v>
      </c>
      <c r="BD104" s="3" t="s">
        <v>1484</v>
      </c>
    </row>
    <row r="105" spans="1:56" ht="34.5" customHeight="1" x14ac:dyDescent="0.25">
      <c r="A105" s="7" t="s">
        <v>58</v>
      </c>
      <c r="B105" s="2" t="s">
        <v>1485</v>
      </c>
      <c r="C105" s="2" t="s">
        <v>1486</v>
      </c>
      <c r="D105" s="2" t="s">
        <v>1487</v>
      </c>
      <c r="F105" s="3" t="s">
        <v>58</v>
      </c>
      <c r="G105" s="3" t="s">
        <v>59</v>
      </c>
      <c r="H105" s="3" t="s">
        <v>58</v>
      </c>
      <c r="I105" s="3" t="s">
        <v>58</v>
      </c>
      <c r="J105" s="3" t="s">
        <v>60</v>
      </c>
      <c r="K105" s="2" t="s">
        <v>1488</v>
      </c>
      <c r="L105" s="2" t="s">
        <v>1489</v>
      </c>
      <c r="M105" s="3" t="s">
        <v>146</v>
      </c>
      <c r="O105" s="3" t="s">
        <v>64</v>
      </c>
      <c r="P105" s="3" t="s">
        <v>1490</v>
      </c>
      <c r="Q105" s="2" t="s">
        <v>1491</v>
      </c>
      <c r="R105" s="3" t="s">
        <v>66</v>
      </c>
      <c r="S105" s="4">
        <v>4</v>
      </c>
      <c r="T105" s="4">
        <v>4</v>
      </c>
      <c r="U105" s="5" t="s">
        <v>1492</v>
      </c>
      <c r="V105" s="5" t="s">
        <v>1492</v>
      </c>
      <c r="W105" s="5" t="s">
        <v>1493</v>
      </c>
      <c r="X105" s="5" t="s">
        <v>1493</v>
      </c>
      <c r="Y105" s="4">
        <v>262</v>
      </c>
      <c r="Z105" s="4">
        <v>173</v>
      </c>
      <c r="AA105" s="4">
        <v>213</v>
      </c>
      <c r="AB105" s="4">
        <v>3</v>
      </c>
      <c r="AC105" s="4">
        <v>3</v>
      </c>
      <c r="AD105" s="4">
        <v>9</v>
      </c>
      <c r="AE105" s="4">
        <v>11</v>
      </c>
      <c r="AF105" s="4">
        <v>2</v>
      </c>
      <c r="AG105" s="4">
        <v>4</v>
      </c>
      <c r="AH105" s="4">
        <v>2</v>
      </c>
      <c r="AI105" s="4">
        <v>2</v>
      </c>
      <c r="AJ105" s="4">
        <v>5</v>
      </c>
      <c r="AK105" s="4">
        <v>6</v>
      </c>
      <c r="AL105" s="4">
        <v>2</v>
      </c>
      <c r="AM105" s="4">
        <v>2</v>
      </c>
      <c r="AN105" s="4">
        <v>0</v>
      </c>
      <c r="AO105" s="4">
        <v>0</v>
      </c>
      <c r="AP105" s="3" t="s">
        <v>58</v>
      </c>
      <c r="AQ105" s="3" t="s">
        <v>69</v>
      </c>
      <c r="AR105" s="6" t="str">
        <f>HYPERLINK("http://catalog.hathitrust.org/Record/002627794","HathiTrust Record")</f>
        <v>HathiTrust Record</v>
      </c>
      <c r="AS105" s="6" t="str">
        <f>HYPERLINK("https://creighton-primo.hosted.exlibrisgroup.com/primo-explore/search?tab=default_tab&amp;search_scope=EVERYTHING&amp;vid=01CRU&amp;lang=en_US&amp;offset=0&amp;query=any,contains,991002059839702656","Catalog Record")</f>
        <v>Catalog Record</v>
      </c>
      <c r="AT105" s="6" t="str">
        <f>HYPERLINK("http://www.worldcat.org/oclc/26361711","WorldCat Record")</f>
        <v>WorldCat Record</v>
      </c>
      <c r="AU105" s="3" t="s">
        <v>1494</v>
      </c>
      <c r="AV105" s="3" t="s">
        <v>1495</v>
      </c>
      <c r="AW105" s="3" t="s">
        <v>1496</v>
      </c>
      <c r="AX105" s="3" t="s">
        <v>1496</v>
      </c>
      <c r="AY105" s="3" t="s">
        <v>1497</v>
      </c>
      <c r="AZ105" s="3" t="s">
        <v>74</v>
      </c>
      <c r="BB105" s="3" t="s">
        <v>1498</v>
      </c>
      <c r="BC105" s="3" t="s">
        <v>1499</v>
      </c>
      <c r="BD105" s="3" t="s">
        <v>1500</v>
      </c>
    </row>
    <row r="106" spans="1:56" ht="34.5" customHeight="1" x14ac:dyDescent="0.25">
      <c r="A106" s="7" t="s">
        <v>58</v>
      </c>
      <c r="B106" s="2" t="s">
        <v>1501</v>
      </c>
      <c r="C106" s="2" t="s">
        <v>1502</v>
      </c>
      <c r="D106" s="2" t="s">
        <v>1503</v>
      </c>
      <c r="F106" s="3" t="s">
        <v>58</v>
      </c>
      <c r="G106" s="3" t="s">
        <v>59</v>
      </c>
      <c r="H106" s="3" t="s">
        <v>58</v>
      </c>
      <c r="I106" s="3" t="s">
        <v>58</v>
      </c>
      <c r="J106" s="3" t="s">
        <v>60</v>
      </c>
      <c r="K106" s="2" t="s">
        <v>1504</v>
      </c>
      <c r="L106" s="2" t="s">
        <v>1505</v>
      </c>
      <c r="M106" s="3" t="s">
        <v>1506</v>
      </c>
      <c r="N106" s="2" t="s">
        <v>1507</v>
      </c>
      <c r="O106" s="3" t="s">
        <v>64</v>
      </c>
      <c r="P106" s="3" t="s">
        <v>84</v>
      </c>
      <c r="Q106" s="2" t="s">
        <v>1206</v>
      </c>
      <c r="R106" s="3" t="s">
        <v>66</v>
      </c>
      <c r="S106" s="4">
        <v>3</v>
      </c>
      <c r="T106" s="4">
        <v>3</v>
      </c>
      <c r="U106" s="5" t="s">
        <v>1508</v>
      </c>
      <c r="V106" s="5" t="s">
        <v>1508</v>
      </c>
      <c r="W106" s="5" t="s">
        <v>102</v>
      </c>
      <c r="X106" s="5" t="s">
        <v>102</v>
      </c>
      <c r="Y106" s="4">
        <v>743</v>
      </c>
      <c r="Z106" s="4">
        <v>598</v>
      </c>
      <c r="AA106" s="4">
        <v>743</v>
      </c>
      <c r="AB106" s="4">
        <v>4</v>
      </c>
      <c r="AC106" s="4">
        <v>4</v>
      </c>
      <c r="AD106" s="4">
        <v>31</v>
      </c>
      <c r="AE106" s="4">
        <v>37</v>
      </c>
      <c r="AF106" s="4">
        <v>16</v>
      </c>
      <c r="AG106" s="4">
        <v>19</v>
      </c>
      <c r="AH106" s="4">
        <v>8</v>
      </c>
      <c r="AI106" s="4">
        <v>10</v>
      </c>
      <c r="AJ106" s="4">
        <v>14</v>
      </c>
      <c r="AK106" s="4">
        <v>16</v>
      </c>
      <c r="AL106" s="4">
        <v>3</v>
      </c>
      <c r="AM106" s="4">
        <v>3</v>
      </c>
      <c r="AN106" s="4">
        <v>0</v>
      </c>
      <c r="AO106" s="4">
        <v>0</v>
      </c>
      <c r="AP106" s="3" t="s">
        <v>58</v>
      </c>
      <c r="AQ106" s="3" t="s">
        <v>69</v>
      </c>
      <c r="AR106" s="6" t="str">
        <f>HYPERLINK("http://catalog.hathitrust.org/Record/000093460","HathiTrust Record")</f>
        <v>HathiTrust Record</v>
      </c>
      <c r="AS106" s="6" t="str">
        <f>HYPERLINK("https://creighton-primo.hosted.exlibrisgroup.com/primo-explore/search?tab=default_tab&amp;search_scope=EVERYTHING&amp;vid=01CRU&amp;lang=en_US&amp;offset=0&amp;query=any,contains,991004492279702656","Catalog Record")</f>
        <v>Catalog Record</v>
      </c>
      <c r="AT106" s="6" t="str">
        <f>HYPERLINK("http://www.worldcat.org/oclc/3669573","WorldCat Record")</f>
        <v>WorldCat Record</v>
      </c>
      <c r="AU106" s="3" t="s">
        <v>1509</v>
      </c>
      <c r="AV106" s="3" t="s">
        <v>1510</v>
      </c>
      <c r="AW106" s="3" t="s">
        <v>1511</v>
      </c>
      <c r="AX106" s="3" t="s">
        <v>1511</v>
      </c>
      <c r="AY106" s="3" t="s">
        <v>1512</v>
      </c>
      <c r="AZ106" s="3" t="s">
        <v>74</v>
      </c>
      <c r="BB106" s="3" t="s">
        <v>1513</v>
      </c>
      <c r="BC106" s="3" t="s">
        <v>1514</v>
      </c>
      <c r="BD106" s="3" t="s">
        <v>1515</v>
      </c>
    </row>
    <row r="107" spans="1:56" ht="34.5" customHeight="1" x14ac:dyDescent="0.25">
      <c r="A107" s="7" t="s">
        <v>58</v>
      </c>
      <c r="B107" s="2" t="s">
        <v>1516</v>
      </c>
      <c r="C107" s="2" t="s">
        <v>1517</v>
      </c>
      <c r="D107" s="2" t="s">
        <v>1518</v>
      </c>
      <c r="F107" s="3" t="s">
        <v>58</v>
      </c>
      <c r="G107" s="3" t="s">
        <v>59</v>
      </c>
      <c r="H107" s="3" t="s">
        <v>58</v>
      </c>
      <c r="I107" s="3" t="s">
        <v>58</v>
      </c>
      <c r="J107" s="3" t="s">
        <v>60</v>
      </c>
      <c r="K107" s="2" t="s">
        <v>1519</v>
      </c>
      <c r="L107" s="2" t="s">
        <v>1520</v>
      </c>
      <c r="M107" s="3" t="s">
        <v>794</v>
      </c>
      <c r="O107" s="3" t="s">
        <v>64</v>
      </c>
      <c r="P107" s="3" t="s">
        <v>252</v>
      </c>
      <c r="R107" s="3" t="s">
        <v>66</v>
      </c>
      <c r="S107" s="4">
        <v>1</v>
      </c>
      <c r="T107" s="4">
        <v>1</v>
      </c>
      <c r="U107" s="5" t="s">
        <v>1521</v>
      </c>
      <c r="V107" s="5" t="s">
        <v>1521</v>
      </c>
      <c r="W107" s="5" t="s">
        <v>1521</v>
      </c>
      <c r="X107" s="5" t="s">
        <v>1521</v>
      </c>
      <c r="Y107" s="4">
        <v>216</v>
      </c>
      <c r="Z107" s="4">
        <v>208</v>
      </c>
      <c r="AA107" s="4">
        <v>209</v>
      </c>
      <c r="AB107" s="4">
        <v>2</v>
      </c>
      <c r="AC107" s="4">
        <v>2</v>
      </c>
      <c r="AD107" s="4">
        <v>10</v>
      </c>
      <c r="AE107" s="4">
        <v>10</v>
      </c>
      <c r="AF107" s="4">
        <v>2</v>
      </c>
      <c r="AG107" s="4">
        <v>2</v>
      </c>
      <c r="AH107" s="4">
        <v>2</v>
      </c>
      <c r="AI107" s="4">
        <v>2</v>
      </c>
      <c r="AJ107" s="4">
        <v>7</v>
      </c>
      <c r="AK107" s="4">
        <v>7</v>
      </c>
      <c r="AL107" s="4">
        <v>1</v>
      </c>
      <c r="AM107" s="4">
        <v>1</v>
      </c>
      <c r="AN107" s="4">
        <v>0</v>
      </c>
      <c r="AO107" s="4">
        <v>0</v>
      </c>
      <c r="AP107" s="3" t="s">
        <v>58</v>
      </c>
      <c r="AQ107" s="3" t="s">
        <v>69</v>
      </c>
      <c r="AR107" s="6" t="str">
        <f>HYPERLINK("http://catalog.hathitrust.org/Record/000604869","HathiTrust Record")</f>
        <v>HathiTrust Record</v>
      </c>
      <c r="AS107" s="6" t="str">
        <f>HYPERLINK("https://creighton-primo.hosted.exlibrisgroup.com/primo-explore/search?tab=default_tab&amp;search_scope=EVERYTHING&amp;vid=01CRU&amp;lang=en_US&amp;offset=0&amp;query=any,contains,991004546269702656","Catalog Record")</f>
        <v>Catalog Record</v>
      </c>
      <c r="AT107" s="6" t="str">
        <f>HYPERLINK("http://www.worldcat.org/oclc/1022389","WorldCat Record")</f>
        <v>WorldCat Record</v>
      </c>
      <c r="AU107" s="3" t="s">
        <v>1522</v>
      </c>
      <c r="AV107" s="3" t="s">
        <v>1523</v>
      </c>
      <c r="AW107" s="3" t="s">
        <v>1524</v>
      </c>
      <c r="AX107" s="3" t="s">
        <v>1524</v>
      </c>
      <c r="AY107" s="3" t="s">
        <v>1525</v>
      </c>
      <c r="AZ107" s="3" t="s">
        <v>74</v>
      </c>
      <c r="BC107" s="3" t="s">
        <v>1526</v>
      </c>
      <c r="BD107" s="3" t="s">
        <v>1527</v>
      </c>
    </row>
    <row r="108" spans="1:56" ht="34.5" customHeight="1" x14ac:dyDescent="0.25">
      <c r="A108" s="7" t="s">
        <v>58</v>
      </c>
      <c r="B108" s="2" t="s">
        <v>1528</v>
      </c>
      <c r="C108" s="2" t="s">
        <v>1529</v>
      </c>
      <c r="D108" s="2" t="s">
        <v>1530</v>
      </c>
      <c r="F108" s="3" t="s">
        <v>58</v>
      </c>
      <c r="G108" s="3" t="s">
        <v>59</v>
      </c>
      <c r="H108" s="3" t="s">
        <v>58</v>
      </c>
      <c r="I108" s="3" t="s">
        <v>58</v>
      </c>
      <c r="J108" s="3" t="s">
        <v>60</v>
      </c>
      <c r="K108" s="2" t="s">
        <v>1531</v>
      </c>
      <c r="L108" s="2" t="s">
        <v>1532</v>
      </c>
      <c r="M108" s="3" t="s">
        <v>886</v>
      </c>
      <c r="O108" s="3" t="s">
        <v>64</v>
      </c>
      <c r="P108" s="3" t="s">
        <v>65</v>
      </c>
      <c r="R108" s="3" t="s">
        <v>66</v>
      </c>
      <c r="S108" s="4">
        <v>1</v>
      </c>
      <c r="T108" s="4">
        <v>1</v>
      </c>
      <c r="U108" s="5" t="s">
        <v>1533</v>
      </c>
      <c r="V108" s="5" t="s">
        <v>1533</v>
      </c>
      <c r="W108" s="5" t="s">
        <v>68</v>
      </c>
      <c r="X108" s="5" t="s">
        <v>68</v>
      </c>
      <c r="Y108" s="4">
        <v>113</v>
      </c>
      <c r="Z108" s="4">
        <v>108</v>
      </c>
      <c r="AA108" s="4">
        <v>154</v>
      </c>
      <c r="AB108" s="4">
        <v>1</v>
      </c>
      <c r="AC108" s="4">
        <v>1</v>
      </c>
      <c r="AD108" s="4">
        <v>4</v>
      </c>
      <c r="AE108" s="4">
        <v>4</v>
      </c>
      <c r="AF108" s="4">
        <v>0</v>
      </c>
      <c r="AG108" s="4">
        <v>0</v>
      </c>
      <c r="AH108" s="4">
        <v>0</v>
      </c>
      <c r="AI108" s="4">
        <v>0</v>
      </c>
      <c r="AJ108" s="4">
        <v>4</v>
      </c>
      <c r="AK108" s="4">
        <v>4</v>
      </c>
      <c r="AL108" s="4">
        <v>0</v>
      </c>
      <c r="AM108" s="4">
        <v>0</v>
      </c>
      <c r="AN108" s="4">
        <v>0</v>
      </c>
      <c r="AO108" s="4">
        <v>0</v>
      </c>
      <c r="AP108" s="3" t="s">
        <v>58</v>
      </c>
      <c r="AQ108" s="3" t="s">
        <v>58</v>
      </c>
      <c r="AS108" s="6" t="str">
        <f>HYPERLINK("https://creighton-primo.hosted.exlibrisgroup.com/primo-explore/search?tab=default_tab&amp;search_scope=EVERYTHING&amp;vid=01CRU&amp;lang=en_US&amp;offset=0&amp;query=any,contains,991003892759702656","Catalog Record")</f>
        <v>Catalog Record</v>
      </c>
      <c r="AT108" s="6" t="str">
        <f>HYPERLINK("http://www.worldcat.org/oclc/1800479","WorldCat Record")</f>
        <v>WorldCat Record</v>
      </c>
      <c r="AU108" s="3" t="s">
        <v>1534</v>
      </c>
      <c r="AV108" s="3" t="s">
        <v>1535</v>
      </c>
      <c r="AW108" s="3" t="s">
        <v>1536</v>
      </c>
      <c r="AX108" s="3" t="s">
        <v>1536</v>
      </c>
      <c r="AY108" s="3" t="s">
        <v>1537</v>
      </c>
      <c r="AZ108" s="3" t="s">
        <v>74</v>
      </c>
      <c r="BC108" s="3" t="s">
        <v>1538</v>
      </c>
      <c r="BD108" s="3" t="s">
        <v>1539</v>
      </c>
    </row>
    <row r="109" spans="1:56" ht="34.5" customHeight="1" x14ac:dyDescent="0.25">
      <c r="A109" s="7" t="s">
        <v>58</v>
      </c>
      <c r="B109" s="2" t="s">
        <v>1540</v>
      </c>
      <c r="C109" s="2" t="s">
        <v>1541</v>
      </c>
      <c r="D109" s="2" t="s">
        <v>1542</v>
      </c>
      <c r="F109" s="3" t="s">
        <v>58</v>
      </c>
      <c r="G109" s="3" t="s">
        <v>59</v>
      </c>
      <c r="H109" s="3" t="s">
        <v>58</v>
      </c>
      <c r="I109" s="3" t="s">
        <v>58</v>
      </c>
      <c r="J109" s="3" t="s">
        <v>60</v>
      </c>
      <c r="K109" s="2" t="s">
        <v>1543</v>
      </c>
      <c r="L109" s="2" t="s">
        <v>1544</v>
      </c>
      <c r="M109" s="3" t="s">
        <v>1545</v>
      </c>
      <c r="N109" s="2" t="s">
        <v>284</v>
      </c>
      <c r="O109" s="3" t="s">
        <v>64</v>
      </c>
      <c r="P109" s="3" t="s">
        <v>65</v>
      </c>
      <c r="R109" s="3" t="s">
        <v>66</v>
      </c>
      <c r="S109" s="4">
        <v>6</v>
      </c>
      <c r="T109" s="4">
        <v>6</v>
      </c>
      <c r="U109" s="5" t="s">
        <v>985</v>
      </c>
      <c r="V109" s="5" t="s">
        <v>985</v>
      </c>
      <c r="W109" s="5" t="s">
        <v>68</v>
      </c>
      <c r="X109" s="5" t="s">
        <v>68</v>
      </c>
      <c r="Y109" s="4">
        <v>654</v>
      </c>
      <c r="Z109" s="4">
        <v>585</v>
      </c>
      <c r="AA109" s="4">
        <v>593</v>
      </c>
      <c r="AB109" s="4">
        <v>5</v>
      </c>
      <c r="AC109" s="4">
        <v>5</v>
      </c>
      <c r="AD109" s="4">
        <v>9</v>
      </c>
      <c r="AE109" s="4">
        <v>9</v>
      </c>
      <c r="AF109" s="4">
        <v>1</v>
      </c>
      <c r="AG109" s="4">
        <v>1</v>
      </c>
      <c r="AH109" s="4">
        <v>2</v>
      </c>
      <c r="AI109" s="4">
        <v>2</v>
      </c>
      <c r="AJ109" s="4">
        <v>4</v>
      </c>
      <c r="AK109" s="4">
        <v>4</v>
      </c>
      <c r="AL109" s="4">
        <v>3</v>
      </c>
      <c r="AM109" s="4">
        <v>3</v>
      </c>
      <c r="AN109" s="4">
        <v>0</v>
      </c>
      <c r="AO109" s="4">
        <v>0</v>
      </c>
      <c r="AP109" s="3" t="s">
        <v>58</v>
      </c>
      <c r="AQ109" s="3" t="s">
        <v>69</v>
      </c>
      <c r="AR109" s="6" t="str">
        <f>HYPERLINK("http://catalog.hathitrust.org/Record/000713960","HathiTrust Record")</f>
        <v>HathiTrust Record</v>
      </c>
      <c r="AS109" s="6" t="str">
        <f>HYPERLINK("https://creighton-primo.hosted.exlibrisgroup.com/primo-explore/search?tab=default_tab&amp;search_scope=EVERYTHING&amp;vid=01CRU&amp;lang=en_US&amp;offset=0&amp;query=any,contains,991004060159702656","Catalog Record")</f>
        <v>Catalog Record</v>
      </c>
      <c r="AT109" s="6" t="str">
        <f>HYPERLINK("http://www.worldcat.org/oclc/2238201","WorldCat Record")</f>
        <v>WorldCat Record</v>
      </c>
      <c r="AU109" s="3" t="s">
        <v>1546</v>
      </c>
      <c r="AV109" s="3" t="s">
        <v>1547</v>
      </c>
      <c r="AW109" s="3" t="s">
        <v>1548</v>
      </c>
      <c r="AX109" s="3" t="s">
        <v>1548</v>
      </c>
      <c r="AY109" s="3" t="s">
        <v>1549</v>
      </c>
      <c r="AZ109" s="3" t="s">
        <v>74</v>
      </c>
      <c r="BB109" s="3" t="s">
        <v>1550</v>
      </c>
      <c r="BC109" s="3" t="s">
        <v>1551</v>
      </c>
      <c r="BD109" s="3" t="s">
        <v>1552</v>
      </c>
    </row>
    <row r="110" spans="1:56" ht="34.5" customHeight="1" x14ac:dyDescent="0.25">
      <c r="A110" s="7" t="s">
        <v>58</v>
      </c>
      <c r="B110" s="2" t="s">
        <v>1553</v>
      </c>
      <c r="C110" s="2" t="s">
        <v>1554</v>
      </c>
      <c r="D110" s="2" t="s">
        <v>1555</v>
      </c>
      <c r="E110" s="3" t="s">
        <v>190</v>
      </c>
      <c r="F110" s="3" t="s">
        <v>69</v>
      </c>
      <c r="G110" s="3" t="s">
        <v>59</v>
      </c>
      <c r="H110" s="3" t="s">
        <v>58</v>
      </c>
      <c r="I110" s="3" t="s">
        <v>58</v>
      </c>
      <c r="J110" s="3" t="s">
        <v>60</v>
      </c>
      <c r="K110" s="2" t="s">
        <v>1556</v>
      </c>
      <c r="L110" s="2" t="s">
        <v>1557</v>
      </c>
      <c r="M110" s="3" t="s">
        <v>1248</v>
      </c>
      <c r="O110" s="3" t="s">
        <v>64</v>
      </c>
      <c r="P110" s="3" t="s">
        <v>65</v>
      </c>
      <c r="Q110" s="2" t="s">
        <v>1558</v>
      </c>
      <c r="R110" s="3" t="s">
        <v>66</v>
      </c>
      <c r="S110" s="4">
        <v>2</v>
      </c>
      <c r="T110" s="4">
        <v>4</v>
      </c>
      <c r="U110" s="5" t="s">
        <v>1559</v>
      </c>
      <c r="V110" s="5" t="s">
        <v>1559</v>
      </c>
      <c r="W110" s="5" t="s">
        <v>68</v>
      </c>
      <c r="X110" s="5" t="s">
        <v>68</v>
      </c>
      <c r="Y110" s="4">
        <v>472</v>
      </c>
      <c r="Z110" s="4">
        <v>451</v>
      </c>
      <c r="AA110" s="4">
        <v>789</v>
      </c>
      <c r="AB110" s="4">
        <v>2</v>
      </c>
      <c r="AC110" s="4">
        <v>5</v>
      </c>
      <c r="AD110" s="4">
        <v>20</v>
      </c>
      <c r="AE110" s="4">
        <v>37</v>
      </c>
      <c r="AF110" s="4">
        <v>6</v>
      </c>
      <c r="AG110" s="4">
        <v>17</v>
      </c>
      <c r="AH110" s="4">
        <v>5</v>
      </c>
      <c r="AI110" s="4">
        <v>6</v>
      </c>
      <c r="AJ110" s="4">
        <v>11</v>
      </c>
      <c r="AK110" s="4">
        <v>20</v>
      </c>
      <c r="AL110" s="4">
        <v>1</v>
      </c>
      <c r="AM110" s="4">
        <v>4</v>
      </c>
      <c r="AN110" s="4">
        <v>0</v>
      </c>
      <c r="AO110" s="4">
        <v>0</v>
      </c>
      <c r="AP110" s="3" t="s">
        <v>69</v>
      </c>
      <c r="AQ110" s="3" t="s">
        <v>58</v>
      </c>
      <c r="AR110" s="6" t="str">
        <f>HYPERLINK("http://catalog.hathitrust.org/Record/000369401","HathiTrust Record")</f>
        <v>HathiTrust Record</v>
      </c>
      <c r="AS110" s="6" t="str">
        <f>HYPERLINK("https://creighton-primo.hosted.exlibrisgroup.com/primo-explore/search?tab=default_tab&amp;search_scope=EVERYTHING&amp;vid=01CRU&amp;lang=en_US&amp;offset=0&amp;query=any,contains,991003695829702656","Catalog Record")</f>
        <v>Catalog Record</v>
      </c>
      <c r="AT110" s="6" t="str">
        <f>HYPERLINK("http://www.worldcat.org/oclc/1327998","WorldCat Record")</f>
        <v>WorldCat Record</v>
      </c>
      <c r="AU110" s="3" t="s">
        <v>1560</v>
      </c>
      <c r="AV110" s="3" t="s">
        <v>1561</v>
      </c>
      <c r="AW110" s="3" t="s">
        <v>1562</v>
      </c>
      <c r="AX110" s="3" t="s">
        <v>1562</v>
      </c>
      <c r="AY110" s="3" t="s">
        <v>1563</v>
      </c>
      <c r="AZ110" s="3" t="s">
        <v>74</v>
      </c>
      <c r="BC110" s="3" t="s">
        <v>1564</v>
      </c>
      <c r="BD110" s="3" t="s">
        <v>1565</v>
      </c>
    </row>
    <row r="111" spans="1:56" ht="34.5" customHeight="1" x14ac:dyDescent="0.25">
      <c r="A111" s="7" t="s">
        <v>58</v>
      </c>
      <c r="B111" s="2" t="s">
        <v>1553</v>
      </c>
      <c r="C111" s="2" t="s">
        <v>1554</v>
      </c>
      <c r="D111" s="2" t="s">
        <v>1555</v>
      </c>
      <c r="E111" s="3" t="s">
        <v>202</v>
      </c>
      <c r="F111" s="3" t="s">
        <v>69</v>
      </c>
      <c r="G111" s="3" t="s">
        <v>59</v>
      </c>
      <c r="H111" s="3" t="s">
        <v>58</v>
      </c>
      <c r="I111" s="3" t="s">
        <v>58</v>
      </c>
      <c r="J111" s="3" t="s">
        <v>60</v>
      </c>
      <c r="K111" s="2" t="s">
        <v>1556</v>
      </c>
      <c r="L111" s="2" t="s">
        <v>1557</v>
      </c>
      <c r="M111" s="3" t="s">
        <v>1248</v>
      </c>
      <c r="O111" s="3" t="s">
        <v>64</v>
      </c>
      <c r="P111" s="3" t="s">
        <v>65</v>
      </c>
      <c r="Q111" s="2" t="s">
        <v>1558</v>
      </c>
      <c r="R111" s="3" t="s">
        <v>66</v>
      </c>
      <c r="S111" s="4">
        <v>2</v>
      </c>
      <c r="T111" s="4">
        <v>4</v>
      </c>
      <c r="U111" s="5" t="s">
        <v>1559</v>
      </c>
      <c r="V111" s="5" t="s">
        <v>1559</v>
      </c>
      <c r="W111" s="5" t="s">
        <v>68</v>
      </c>
      <c r="X111" s="5" t="s">
        <v>68</v>
      </c>
      <c r="Y111" s="4">
        <v>472</v>
      </c>
      <c r="Z111" s="4">
        <v>451</v>
      </c>
      <c r="AA111" s="4">
        <v>789</v>
      </c>
      <c r="AB111" s="4">
        <v>2</v>
      </c>
      <c r="AC111" s="4">
        <v>5</v>
      </c>
      <c r="AD111" s="4">
        <v>20</v>
      </c>
      <c r="AE111" s="4">
        <v>37</v>
      </c>
      <c r="AF111" s="4">
        <v>6</v>
      </c>
      <c r="AG111" s="4">
        <v>17</v>
      </c>
      <c r="AH111" s="4">
        <v>5</v>
      </c>
      <c r="AI111" s="4">
        <v>6</v>
      </c>
      <c r="AJ111" s="4">
        <v>11</v>
      </c>
      <c r="AK111" s="4">
        <v>20</v>
      </c>
      <c r="AL111" s="4">
        <v>1</v>
      </c>
      <c r="AM111" s="4">
        <v>4</v>
      </c>
      <c r="AN111" s="4">
        <v>0</v>
      </c>
      <c r="AO111" s="4">
        <v>0</v>
      </c>
      <c r="AP111" s="3" t="s">
        <v>69</v>
      </c>
      <c r="AQ111" s="3" t="s">
        <v>58</v>
      </c>
      <c r="AR111" s="6" t="str">
        <f>HYPERLINK("http://catalog.hathitrust.org/Record/000369401","HathiTrust Record")</f>
        <v>HathiTrust Record</v>
      </c>
      <c r="AS111" s="6" t="str">
        <f>HYPERLINK("https://creighton-primo.hosted.exlibrisgroup.com/primo-explore/search?tab=default_tab&amp;search_scope=EVERYTHING&amp;vid=01CRU&amp;lang=en_US&amp;offset=0&amp;query=any,contains,991003695829702656","Catalog Record")</f>
        <v>Catalog Record</v>
      </c>
      <c r="AT111" s="6" t="str">
        <f>HYPERLINK("http://www.worldcat.org/oclc/1327998","WorldCat Record")</f>
        <v>WorldCat Record</v>
      </c>
      <c r="AU111" s="3" t="s">
        <v>1560</v>
      </c>
      <c r="AV111" s="3" t="s">
        <v>1561</v>
      </c>
      <c r="AW111" s="3" t="s">
        <v>1562</v>
      </c>
      <c r="AX111" s="3" t="s">
        <v>1562</v>
      </c>
      <c r="AY111" s="3" t="s">
        <v>1563</v>
      </c>
      <c r="AZ111" s="3" t="s">
        <v>74</v>
      </c>
      <c r="BC111" s="3" t="s">
        <v>1566</v>
      </c>
      <c r="BD111" s="3" t="s">
        <v>1567</v>
      </c>
    </row>
    <row r="112" spans="1:56" ht="34.5" customHeight="1" x14ac:dyDescent="0.25">
      <c r="A112" s="7" t="s">
        <v>58</v>
      </c>
      <c r="B112" s="2" t="s">
        <v>1568</v>
      </c>
      <c r="C112" s="2" t="s">
        <v>1569</v>
      </c>
      <c r="D112" s="2" t="s">
        <v>1570</v>
      </c>
      <c r="F112" s="3" t="s">
        <v>58</v>
      </c>
      <c r="G112" s="3" t="s">
        <v>59</v>
      </c>
      <c r="H112" s="3" t="s">
        <v>58</v>
      </c>
      <c r="I112" s="3" t="s">
        <v>58</v>
      </c>
      <c r="J112" s="3" t="s">
        <v>60</v>
      </c>
      <c r="K112" s="2" t="s">
        <v>1571</v>
      </c>
      <c r="L112" s="2" t="s">
        <v>1572</v>
      </c>
      <c r="M112" s="3" t="s">
        <v>886</v>
      </c>
      <c r="O112" s="3" t="s">
        <v>64</v>
      </c>
      <c r="P112" s="3" t="s">
        <v>238</v>
      </c>
      <c r="Q112" s="2" t="s">
        <v>1573</v>
      </c>
      <c r="R112" s="3" t="s">
        <v>66</v>
      </c>
      <c r="S112" s="4">
        <v>5</v>
      </c>
      <c r="T112" s="4">
        <v>5</v>
      </c>
      <c r="U112" s="5" t="s">
        <v>1574</v>
      </c>
      <c r="V112" s="5" t="s">
        <v>1574</v>
      </c>
      <c r="W112" s="5" t="s">
        <v>1575</v>
      </c>
      <c r="X112" s="5" t="s">
        <v>1575</v>
      </c>
      <c r="Y112" s="4">
        <v>660</v>
      </c>
      <c r="Z112" s="4">
        <v>539</v>
      </c>
      <c r="AA112" s="4">
        <v>664</v>
      </c>
      <c r="AB112" s="4">
        <v>7</v>
      </c>
      <c r="AC112" s="4">
        <v>7</v>
      </c>
      <c r="AD112" s="4">
        <v>30</v>
      </c>
      <c r="AE112" s="4">
        <v>38</v>
      </c>
      <c r="AF112" s="4">
        <v>12</v>
      </c>
      <c r="AG112" s="4">
        <v>14</v>
      </c>
      <c r="AH112" s="4">
        <v>5</v>
      </c>
      <c r="AI112" s="4">
        <v>10</v>
      </c>
      <c r="AJ112" s="4">
        <v>16</v>
      </c>
      <c r="AK112" s="4">
        <v>20</v>
      </c>
      <c r="AL112" s="4">
        <v>5</v>
      </c>
      <c r="AM112" s="4">
        <v>5</v>
      </c>
      <c r="AN112" s="4">
        <v>0</v>
      </c>
      <c r="AO112" s="4">
        <v>0</v>
      </c>
      <c r="AP112" s="3" t="s">
        <v>58</v>
      </c>
      <c r="AQ112" s="3" t="s">
        <v>69</v>
      </c>
      <c r="AR112" s="6" t="str">
        <f>HYPERLINK("http://catalog.hathitrust.org/Record/000451678","HathiTrust Record")</f>
        <v>HathiTrust Record</v>
      </c>
      <c r="AS112" s="6" t="str">
        <f>HYPERLINK("https://creighton-primo.hosted.exlibrisgroup.com/primo-explore/search?tab=default_tab&amp;search_scope=EVERYTHING&amp;vid=01CRU&amp;lang=en_US&amp;offset=0&amp;query=any,contains,991002894799702656","Catalog Record")</f>
        <v>Catalog Record</v>
      </c>
      <c r="AT112" s="6" t="str">
        <f>HYPERLINK("http://www.worldcat.org/oclc/513643","WorldCat Record")</f>
        <v>WorldCat Record</v>
      </c>
      <c r="AU112" s="3" t="s">
        <v>1576</v>
      </c>
      <c r="AV112" s="3" t="s">
        <v>1577</v>
      </c>
      <c r="AW112" s="3" t="s">
        <v>1578</v>
      </c>
      <c r="AX112" s="3" t="s">
        <v>1578</v>
      </c>
      <c r="AY112" s="3" t="s">
        <v>1579</v>
      </c>
      <c r="AZ112" s="3" t="s">
        <v>74</v>
      </c>
      <c r="BC112" s="3" t="s">
        <v>1580</v>
      </c>
      <c r="BD112" s="3" t="s">
        <v>1581</v>
      </c>
    </row>
    <row r="113" spans="1:56" ht="34.5" customHeight="1" x14ac:dyDescent="0.25">
      <c r="A113" s="7" t="s">
        <v>58</v>
      </c>
      <c r="B113" s="2" t="s">
        <v>1582</v>
      </c>
      <c r="C113" s="2" t="s">
        <v>1583</v>
      </c>
      <c r="D113" s="2" t="s">
        <v>1584</v>
      </c>
      <c r="F113" s="3" t="s">
        <v>58</v>
      </c>
      <c r="G113" s="3" t="s">
        <v>59</v>
      </c>
      <c r="H113" s="3" t="s">
        <v>58</v>
      </c>
      <c r="I113" s="3" t="s">
        <v>58</v>
      </c>
      <c r="J113" s="3" t="s">
        <v>60</v>
      </c>
      <c r="K113" s="2" t="s">
        <v>1585</v>
      </c>
      <c r="L113" s="2" t="s">
        <v>1586</v>
      </c>
      <c r="M113" s="3" t="s">
        <v>698</v>
      </c>
      <c r="O113" s="3" t="s">
        <v>64</v>
      </c>
      <c r="P113" s="3" t="s">
        <v>84</v>
      </c>
      <c r="Q113" s="2" t="s">
        <v>1587</v>
      </c>
      <c r="R113" s="3" t="s">
        <v>66</v>
      </c>
      <c r="S113" s="4">
        <v>6</v>
      </c>
      <c r="T113" s="4">
        <v>6</v>
      </c>
      <c r="U113" s="5" t="s">
        <v>1588</v>
      </c>
      <c r="V113" s="5" t="s">
        <v>1588</v>
      </c>
      <c r="W113" s="5" t="s">
        <v>1589</v>
      </c>
      <c r="X113" s="5" t="s">
        <v>1589</v>
      </c>
      <c r="Y113" s="4">
        <v>98</v>
      </c>
      <c r="Z113" s="4">
        <v>45</v>
      </c>
      <c r="AA113" s="4">
        <v>54</v>
      </c>
      <c r="AB113" s="4">
        <v>2</v>
      </c>
      <c r="AC113" s="4">
        <v>2</v>
      </c>
      <c r="AD113" s="4">
        <v>5</v>
      </c>
      <c r="AE113" s="4">
        <v>5</v>
      </c>
      <c r="AF113" s="4">
        <v>2</v>
      </c>
      <c r="AG113" s="4">
        <v>2</v>
      </c>
      <c r="AH113" s="4">
        <v>0</v>
      </c>
      <c r="AI113" s="4">
        <v>0</v>
      </c>
      <c r="AJ113" s="4">
        <v>3</v>
      </c>
      <c r="AK113" s="4">
        <v>3</v>
      </c>
      <c r="AL113" s="4">
        <v>1</v>
      </c>
      <c r="AM113" s="4">
        <v>1</v>
      </c>
      <c r="AN113" s="4">
        <v>0</v>
      </c>
      <c r="AO113" s="4">
        <v>0</v>
      </c>
      <c r="AP113" s="3" t="s">
        <v>58</v>
      </c>
      <c r="AQ113" s="3" t="s">
        <v>69</v>
      </c>
      <c r="AR113" s="6" t="str">
        <f>HYPERLINK("http://catalog.hathitrust.org/Record/101971129","HathiTrust Record")</f>
        <v>HathiTrust Record</v>
      </c>
      <c r="AS113" s="6" t="str">
        <f>HYPERLINK("https://creighton-primo.hosted.exlibrisgroup.com/primo-explore/search?tab=default_tab&amp;search_scope=EVERYTHING&amp;vid=01CRU&amp;lang=en_US&amp;offset=0&amp;query=any,contains,991003500299702656","Catalog Record")</f>
        <v>Catalog Record</v>
      </c>
      <c r="AT113" s="6" t="str">
        <f>HYPERLINK("http://www.worldcat.org/oclc/34339748","WorldCat Record")</f>
        <v>WorldCat Record</v>
      </c>
      <c r="AU113" s="3" t="s">
        <v>1590</v>
      </c>
      <c r="AV113" s="3" t="s">
        <v>1591</v>
      </c>
      <c r="AW113" s="3" t="s">
        <v>1592</v>
      </c>
      <c r="AX113" s="3" t="s">
        <v>1592</v>
      </c>
      <c r="AY113" s="3" t="s">
        <v>1593</v>
      </c>
      <c r="AZ113" s="3" t="s">
        <v>74</v>
      </c>
      <c r="BB113" s="3" t="s">
        <v>1594</v>
      </c>
      <c r="BC113" s="3" t="s">
        <v>1595</v>
      </c>
      <c r="BD113" s="3" t="s">
        <v>1596</v>
      </c>
    </row>
    <row r="114" spans="1:56" ht="34.5" customHeight="1" x14ac:dyDescent="0.25">
      <c r="A114" s="7" t="s">
        <v>58</v>
      </c>
      <c r="B114" s="2" t="s">
        <v>1597</v>
      </c>
      <c r="C114" s="2" t="s">
        <v>1598</v>
      </c>
      <c r="D114" s="2" t="s">
        <v>1599</v>
      </c>
      <c r="F114" s="3" t="s">
        <v>58</v>
      </c>
      <c r="G114" s="3" t="s">
        <v>59</v>
      </c>
      <c r="H114" s="3" t="s">
        <v>58</v>
      </c>
      <c r="I114" s="3" t="s">
        <v>58</v>
      </c>
      <c r="J114" s="3" t="s">
        <v>60</v>
      </c>
      <c r="K114" s="2" t="s">
        <v>1600</v>
      </c>
      <c r="L114" s="2" t="s">
        <v>1601</v>
      </c>
      <c r="M114" s="3" t="s">
        <v>479</v>
      </c>
      <c r="O114" s="3" t="s">
        <v>64</v>
      </c>
      <c r="P114" s="3" t="s">
        <v>147</v>
      </c>
      <c r="R114" s="3" t="s">
        <v>66</v>
      </c>
      <c r="S114" s="4">
        <v>3</v>
      </c>
      <c r="T114" s="4">
        <v>3</v>
      </c>
      <c r="U114" s="5" t="s">
        <v>1588</v>
      </c>
      <c r="V114" s="5" t="s">
        <v>1588</v>
      </c>
      <c r="W114" s="5" t="s">
        <v>1602</v>
      </c>
      <c r="X114" s="5" t="s">
        <v>1602</v>
      </c>
      <c r="Y114" s="4">
        <v>646</v>
      </c>
      <c r="Z114" s="4">
        <v>487</v>
      </c>
      <c r="AA114" s="4">
        <v>588</v>
      </c>
      <c r="AB114" s="4">
        <v>5</v>
      </c>
      <c r="AC114" s="4">
        <v>5</v>
      </c>
      <c r="AD114" s="4">
        <v>25</v>
      </c>
      <c r="AE114" s="4">
        <v>26</v>
      </c>
      <c r="AF114" s="4">
        <v>10</v>
      </c>
      <c r="AG114" s="4">
        <v>10</v>
      </c>
      <c r="AH114" s="4">
        <v>6</v>
      </c>
      <c r="AI114" s="4">
        <v>7</v>
      </c>
      <c r="AJ114" s="4">
        <v>13</v>
      </c>
      <c r="AK114" s="4">
        <v>13</v>
      </c>
      <c r="AL114" s="4">
        <v>3</v>
      </c>
      <c r="AM114" s="4">
        <v>3</v>
      </c>
      <c r="AN114" s="4">
        <v>0</v>
      </c>
      <c r="AO114" s="4">
        <v>0</v>
      </c>
      <c r="AP114" s="3" t="s">
        <v>58</v>
      </c>
      <c r="AQ114" s="3" t="s">
        <v>58</v>
      </c>
      <c r="AS114" s="6" t="str">
        <f>HYPERLINK("https://creighton-primo.hosted.exlibrisgroup.com/primo-explore/search?tab=default_tab&amp;search_scope=EVERYTHING&amp;vid=01CRU&amp;lang=en_US&amp;offset=0&amp;query=any,contains,991005310559702656","Catalog Record")</f>
        <v>Catalog Record</v>
      </c>
      <c r="AT114" s="6" t="str">
        <f>HYPERLINK("http://www.worldcat.org/oclc/41035350","WorldCat Record")</f>
        <v>WorldCat Record</v>
      </c>
      <c r="AU114" s="3" t="s">
        <v>1603</v>
      </c>
      <c r="AV114" s="3" t="s">
        <v>1604</v>
      </c>
      <c r="AW114" s="3" t="s">
        <v>1605</v>
      </c>
      <c r="AX114" s="3" t="s">
        <v>1605</v>
      </c>
      <c r="AY114" s="3" t="s">
        <v>1606</v>
      </c>
      <c r="AZ114" s="3" t="s">
        <v>74</v>
      </c>
      <c r="BB114" s="3" t="s">
        <v>1607</v>
      </c>
      <c r="BC114" s="3" t="s">
        <v>1608</v>
      </c>
      <c r="BD114" s="3" t="s">
        <v>1609</v>
      </c>
    </row>
    <row r="115" spans="1:56" ht="34.5" customHeight="1" x14ac:dyDescent="0.25">
      <c r="A115" s="7" t="s">
        <v>58</v>
      </c>
      <c r="B115" s="2" t="s">
        <v>1610</v>
      </c>
      <c r="C115" s="2" t="s">
        <v>1611</v>
      </c>
      <c r="D115" s="2" t="s">
        <v>1612</v>
      </c>
      <c r="F115" s="3" t="s">
        <v>58</v>
      </c>
      <c r="G115" s="3" t="s">
        <v>59</v>
      </c>
      <c r="H115" s="3" t="s">
        <v>58</v>
      </c>
      <c r="I115" s="3" t="s">
        <v>58</v>
      </c>
      <c r="J115" s="3" t="s">
        <v>60</v>
      </c>
      <c r="K115" s="2" t="s">
        <v>1613</v>
      </c>
      <c r="L115" s="2" t="s">
        <v>1614</v>
      </c>
      <c r="M115" s="3" t="s">
        <v>368</v>
      </c>
      <c r="O115" s="3" t="s">
        <v>64</v>
      </c>
      <c r="P115" s="3" t="s">
        <v>84</v>
      </c>
      <c r="Q115" s="2" t="s">
        <v>1615</v>
      </c>
      <c r="R115" s="3" t="s">
        <v>66</v>
      </c>
      <c r="S115" s="4">
        <v>2</v>
      </c>
      <c r="T115" s="4">
        <v>2</v>
      </c>
      <c r="U115" s="5" t="s">
        <v>1574</v>
      </c>
      <c r="V115" s="5" t="s">
        <v>1574</v>
      </c>
      <c r="W115" s="5" t="s">
        <v>68</v>
      </c>
      <c r="X115" s="5" t="s">
        <v>68</v>
      </c>
      <c r="Y115" s="4">
        <v>438</v>
      </c>
      <c r="Z115" s="4">
        <v>312</v>
      </c>
      <c r="AA115" s="4">
        <v>324</v>
      </c>
      <c r="AB115" s="4">
        <v>2</v>
      </c>
      <c r="AC115" s="4">
        <v>2</v>
      </c>
      <c r="AD115" s="4">
        <v>15</v>
      </c>
      <c r="AE115" s="4">
        <v>15</v>
      </c>
      <c r="AF115" s="4">
        <v>3</v>
      </c>
      <c r="AG115" s="4">
        <v>3</v>
      </c>
      <c r="AH115" s="4">
        <v>4</v>
      </c>
      <c r="AI115" s="4">
        <v>4</v>
      </c>
      <c r="AJ115" s="4">
        <v>9</v>
      </c>
      <c r="AK115" s="4">
        <v>9</v>
      </c>
      <c r="AL115" s="4">
        <v>1</v>
      </c>
      <c r="AM115" s="4">
        <v>1</v>
      </c>
      <c r="AN115" s="4">
        <v>0</v>
      </c>
      <c r="AO115" s="4">
        <v>0</v>
      </c>
      <c r="AP115" s="3" t="s">
        <v>58</v>
      </c>
      <c r="AQ115" s="3" t="s">
        <v>69</v>
      </c>
      <c r="AR115" s="6" t="str">
        <f>HYPERLINK("http://catalog.hathitrust.org/Record/000410222","HathiTrust Record")</f>
        <v>HathiTrust Record</v>
      </c>
      <c r="AS115" s="6" t="str">
        <f>HYPERLINK("https://creighton-primo.hosted.exlibrisgroup.com/primo-explore/search?tab=default_tab&amp;search_scope=EVERYTHING&amp;vid=01CRU&amp;lang=en_US&amp;offset=0&amp;query=any,contains,991003137809702656","Catalog Record")</f>
        <v>Catalog Record</v>
      </c>
      <c r="AT115" s="6" t="str">
        <f>HYPERLINK("http://www.worldcat.org/oclc/679330","WorldCat Record")</f>
        <v>WorldCat Record</v>
      </c>
      <c r="AU115" s="3" t="s">
        <v>1616</v>
      </c>
      <c r="AV115" s="3" t="s">
        <v>1617</v>
      </c>
      <c r="AW115" s="3" t="s">
        <v>1618</v>
      </c>
      <c r="AX115" s="3" t="s">
        <v>1618</v>
      </c>
      <c r="AY115" s="3" t="s">
        <v>1619</v>
      </c>
      <c r="AZ115" s="3" t="s">
        <v>74</v>
      </c>
      <c r="BC115" s="3" t="s">
        <v>1620</v>
      </c>
      <c r="BD115" s="3" t="s">
        <v>1621</v>
      </c>
    </row>
    <row r="116" spans="1:56" ht="34.5" customHeight="1" x14ac:dyDescent="0.25">
      <c r="A116" s="7" t="s">
        <v>58</v>
      </c>
      <c r="B116" s="2" t="s">
        <v>1622</v>
      </c>
      <c r="C116" s="2" t="s">
        <v>1623</v>
      </c>
      <c r="D116" s="2" t="s">
        <v>1624</v>
      </c>
      <c r="F116" s="3" t="s">
        <v>58</v>
      </c>
      <c r="G116" s="3" t="s">
        <v>59</v>
      </c>
      <c r="H116" s="3" t="s">
        <v>58</v>
      </c>
      <c r="I116" s="3" t="s">
        <v>58</v>
      </c>
      <c r="J116" s="3" t="s">
        <v>60</v>
      </c>
      <c r="K116" s="2" t="s">
        <v>1625</v>
      </c>
      <c r="L116" s="2" t="s">
        <v>1626</v>
      </c>
      <c r="M116" s="3" t="s">
        <v>83</v>
      </c>
      <c r="O116" s="3" t="s">
        <v>64</v>
      </c>
      <c r="P116" s="3" t="s">
        <v>177</v>
      </c>
      <c r="R116" s="3" t="s">
        <v>66</v>
      </c>
      <c r="S116" s="4">
        <v>2</v>
      </c>
      <c r="T116" s="4">
        <v>2</v>
      </c>
      <c r="U116" s="5" t="s">
        <v>1627</v>
      </c>
      <c r="V116" s="5" t="s">
        <v>1627</v>
      </c>
      <c r="W116" s="5" t="s">
        <v>1628</v>
      </c>
      <c r="X116" s="5" t="s">
        <v>1628</v>
      </c>
      <c r="Y116" s="4">
        <v>459</v>
      </c>
      <c r="Z116" s="4">
        <v>353</v>
      </c>
      <c r="AA116" s="4">
        <v>353</v>
      </c>
      <c r="AB116" s="4">
        <v>3</v>
      </c>
      <c r="AC116" s="4">
        <v>3</v>
      </c>
      <c r="AD116" s="4">
        <v>22</v>
      </c>
      <c r="AE116" s="4">
        <v>22</v>
      </c>
      <c r="AF116" s="4">
        <v>7</v>
      </c>
      <c r="AG116" s="4">
        <v>7</v>
      </c>
      <c r="AH116" s="4">
        <v>6</v>
      </c>
      <c r="AI116" s="4">
        <v>6</v>
      </c>
      <c r="AJ116" s="4">
        <v>14</v>
      </c>
      <c r="AK116" s="4">
        <v>14</v>
      </c>
      <c r="AL116" s="4">
        <v>2</v>
      </c>
      <c r="AM116" s="4">
        <v>2</v>
      </c>
      <c r="AN116" s="4">
        <v>0</v>
      </c>
      <c r="AO116" s="4">
        <v>0</v>
      </c>
      <c r="AP116" s="3" t="s">
        <v>58</v>
      </c>
      <c r="AQ116" s="3" t="s">
        <v>58</v>
      </c>
      <c r="AS116" s="6" t="str">
        <f>HYPERLINK("https://creighton-primo.hosted.exlibrisgroup.com/primo-explore/search?tab=default_tab&amp;search_scope=EVERYTHING&amp;vid=01CRU&amp;lang=en_US&amp;offset=0&amp;query=any,contains,991002276789702656","Catalog Record")</f>
        <v>Catalog Record</v>
      </c>
      <c r="AT116" s="6" t="str">
        <f>HYPERLINK("http://www.worldcat.org/oclc/29548193","WorldCat Record")</f>
        <v>WorldCat Record</v>
      </c>
      <c r="AU116" s="3" t="s">
        <v>1629</v>
      </c>
      <c r="AV116" s="3" t="s">
        <v>1630</v>
      </c>
      <c r="AW116" s="3" t="s">
        <v>1631</v>
      </c>
      <c r="AX116" s="3" t="s">
        <v>1631</v>
      </c>
      <c r="AY116" s="3" t="s">
        <v>1632</v>
      </c>
      <c r="AZ116" s="3" t="s">
        <v>74</v>
      </c>
      <c r="BB116" s="3" t="s">
        <v>1633</v>
      </c>
      <c r="BC116" s="3" t="s">
        <v>1634</v>
      </c>
      <c r="BD116" s="3" t="s">
        <v>1635</v>
      </c>
    </row>
    <row r="117" spans="1:56" ht="34.5" customHeight="1" x14ac:dyDescent="0.25">
      <c r="A117" s="7" t="s">
        <v>58</v>
      </c>
      <c r="B117" s="2" t="s">
        <v>1636</v>
      </c>
      <c r="C117" s="2" t="s">
        <v>1637</v>
      </c>
      <c r="D117" s="2" t="s">
        <v>1638</v>
      </c>
      <c r="F117" s="3" t="s">
        <v>58</v>
      </c>
      <c r="G117" s="3" t="s">
        <v>59</v>
      </c>
      <c r="H117" s="3" t="s">
        <v>58</v>
      </c>
      <c r="I117" s="3" t="s">
        <v>58</v>
      </c>
      <c r="J117" s="3" t="s">
        <v>60</v>
      </c>
      <c r="K117" s="2" t="s">
        <v>1639</v>
      </c>
      <c r="L117" s="2" t="s">
        <v>1640</v>
      </c>
      <c r="M117" s="3" t="s">
        <v>698</v>
      </c>
      <c r="O117" s="3" t="s">
        <v>64</v>
      </c>
      <c r="P117" s="3" t="s">
        <v>147</v>
      </c>
      <c r="R117" s="3" t="s">
        <v>66</v>
      </c>
      <c r="S117" s="4">
        <v>3</v>
      </c>
      <c r="T117" s="4">
        <v>3</v>
      </c>
      <c r="U117" s="5" t="s">
        <v>1641</v>
      </c>
      <c r="V117" s="5" t="s">
        <v>1641</v>
      </c>
      <c r="W117" s="5" t="s">
        <v>1642</v>
      </c>
      <c r="X117" s="5" t="s">
        <v>1642</v>
      </c>
      <c r="Y117" s="4">
        <v>678</v>
      </c>
      <c r="Z117" s="4">
        <v>512</v>
      </c>
      <c r="AA117" s="4">
        <v>519</v>
      </c>
      <c r="AB117" s="4">
        <v>3</v>
      </c>
      <c r="AC117" s="4">
        <v>3</v>
      </c>
      <c r="AD117" s="4">
        <v>33</v>
      </c>
      <c r="AE117" s="4">
        <v>33</v>
      </c>
      <c r="AF117" s="4">
        <v>15</v>
      </c>
      <c r="AG117" s="4">
        <v>15</v>
      </c>
      <c r="AH117" s="4">
        <v>7</v>
      </c>
      <c r="AI117" s="4">
        <v>7</v>
      </c>
      <c r="AJ117" s="4">
        <v>20</v>
      </c>
      <c r="AK117" s="4">
        <v>20</v>
      </c>
      <c r="AL117" s="4">
        <v>2</v>
      </c>
      <c r="AM117" s="4">
        <v>2</v>
      </c>
      <c r="AN117" s="4">
        <v>0</v>
      </c>
      <c r="AO117" s="4">
        <v>0</v>
      </c>
      <c r="AP117" s="3" t="s">
        <v>58</v>
      </c>
      <c r="AQ117" s="3" t="s">
        <v>58</v>
      </c>
      <c r="AS117" s="6" t="str">
        <f>HYPERLINK("https://creighton-primo.hosted.exlibrisgroup.com/primo-explore/search?tab=default_tab&amp;search_scope=EVERYTHING&amp;vid=01CRU&amp;lang=en_US&amp;offset=0&amp;query=any,contains,991002362719702656","Catalog Record")</f>
        <v>Catalog Record</v>
      </c>
      <c r="AT117" s="6" t="str">
        <f>HYPERLINK("http://www.worldcat.org/oclc/30734581","WorldCat Record")</f>
        <v>WorldCat Record</v>
      </c>
      <c r="AU117" s="3" t="s">
        <v>1643</v>
      </c>
      <c r="AV117" s="3" t="s">
        <v>1644</v>
      </c>
      <c r="AW117" s="3" t="s">
        <v>1645</v>
      </c>
      <c r="AX117" s="3" t="s">
        <v>1645</v>
      </c>
      <c r="AY117" s="3" t="s">
        <v>1646</v>
      </c>
      <c r="AZ117" s="3" t="s">
        <v>74</v>
      </c>
      <c r="BB117" s="3" t="s">
        <v>1647</v>
      </c>
      <c r="BC117" s="3" t="s">
        <v>1648</v>
      </c>
      <c r="BD117" s="3" t="s">
        <v>1649</v>
      </c>
    </row>
    <row r="118" spans="1:56" ht="34.5" customHeight="1" x14ac:dyDescent="0.25">
      <c r="A118" s="7" t="s">
        <v>58</v>
      </c>
      <c r="B118" s="2" t="s">
        <v>1650</v>
      </c>
      <c r="C118" s="2" t="s">
        <v>1651</v>
      </c>
      <c r="D118" s="2" t="s">
        <v>1652</v>
      </c>
      <c r="F118" s="3" t="s">
        <v>58</v>
      </c>
      <c r="G118" s="3" t="s">
        <v>59</v>
      </c>
      <c r="H118" s="3" t="s">
        <v>58</v>
      </c>
      <c r="I118" s="3" t="s">
        <v>58</v>
      </c>
      <c r="J118" s="3" t="s">
        <v>60</v>
      </c>
      <c r="K118" s="2" t="s">
        <v>1653</v>
      </c>
      <c r="L118" s="2" t="s">
        <v>1654</v>
      </c>
      <c r="M118" s="3" t="s">
        <v>130</v>
      </c>
      <c r="O118" s="3" t="s">
        <v>64</v>
      </c>
      <c r="P118" s="3" t="s">
        <v>84</v>
      </c>
      <c r="Q118" s="2" t="s">
        <v>1655</v>
      </c>
      <c r="R118" s="3" t="s">
        <v>66</v>
      </c>
      <c r="S118" s="4">
        <v>1</v>
      </c>
      <c r="T118" s="4">
        <v>1</v>
      </c>
      <c r="U118" s="5" t="s">
        <v>1656</v>
      </c>
      <c r="V118" s="5" t="s">
        <v>1656</v>
      </c>
      <c r="W118" s="5" t="s">
        <v>1657</v>
      </c>
      <c r="X118" s="5" t="s">
        <v>1657</v>
      </c>
      <c r="Y118" s="4">
        <v>246</v>
      </c>
      <c r="Z118" s="4">
        <v>165</v>
      </c>
      <c r="AA118" s="4">
        <v>165</v>
      </c>
      <c r="AB118" s="4">
        <v>2</v>
      </c>
      <c r="AC118" s="4">
        <v>2</v>
      </c>
      <c r="AD118" s="4">
        <v>10</v>
      </c>
      <c r="AE118" s="4">
        <v>10</v>
      </c>
      <c r="AF118" s="4">
        <v>2</v>
      </c>
      <c r="AG118" s="4">
        <v>2</v>
      </c>
      <c r="AH118" s="4">
        <v>2</v>
      </c>
      <c r="AI118" s="4">
        <v>2</v>
      </c>
      <c r="AJ118" s="4">
        <v>6</v>
      </c>
      <c r="AK118" s="4">
        <v>6</v>
      </c>
      <c r="AL118" s="4">
        <v>1</v>
      </c>
      <c r="AM118" s="4">
        <v>1</v>
      </c>
      <c r="AN118" s="4">
        <v>0</v>
      </c>
      <c r="AO118" s="4">
        <v>0</v>
      </c>
      <c r="AP118" s="3" t="s">
        <v>58</v>
      </c>
      <c r="AQ118" s="3" t="s">
        <v>58</v>
      </c>
      <c r="AS118" s="6" t="str">
        <f>HYPERLINK("https://creighton-primo.hosted.exlibrisgroup.com/primo-explore/search?tab=default_tab&amp;search_scope=EVERYTHING&amp;vid=01CRU&amp;lang=en_US&amp;offset=0&amp;query=any,contains,991002828569702656","Catalog Record")</f>
        <v>Catalog Record</v>
      </c>
      <c r="AT118" s="6" t="str">
        <f>HYPERLINK("http://www.worldcat.org/oclc/37245522","WorldCat Record")</f>
        <v>WorldCat Record</v>
      </c>
      <c r="AU118" s="3" t="s">
        <v>1658</v>
      </c>
      <c r="AV118" s="3" t="s">
        <v>1659</v>
      </c>
      <c r="AW118" s="3" t="s">
        <v>1660</v>
      </c>
      <c r="AX118" s="3" t="s">
        <v>1660</v>
      </c>
      <c r="AY118" s="3" t="s">
        <v>1661</v>
      </c>
      <c r="AZ118" s="3" t="s">
        <v>74</v>
      </c>
      <c r="BB118" s="3" t="s">
        <v>1662</v>
      </c>
      <c r="BC118" s="3" t="s">
        <v>1663</v>
      </c>
      <c r="BD118" s="3" t="s">
        <v>1664</v>
      </c>
    </row>
    <row r="119" spans="1:56" ht="34.5" customHeight="1" x14ac:dyDescent="0.25">
      <c r="A119" s="7" t="s">
        <v>58</v>
      </c>
      <c r="B119" s="2" t="s">
        <v>1665</v>
      </c>
      <c r="C119" s="2" t="s">
        <v>1666</v>
      </c>
      <c r="D119" s="2" t="s">
        <v>1667</v>
      </c>
      <c r="F119" s="3" t="s">
        <v>58</v>
      </c>
      <c r="G119" s="3" t="s">
        <v>59</v>
      </c>
      <c r="H119" s="3" t="s">
        <v>58</v>
      </c>
      <c r="I119" s="3" t="s">
        <v>58</v>
      </c>
      <c r="J119" s="3" t="s">
        <v>60</v>
      </c>
      <c r="K119" s="2" t="s">
        <v>1668</v>
      </c>
      <c r="L119" s="2" t="s">
        <v>1669</v>
      </c>
      <c r="M119" s="3" t="s">
        <v>209</v>
      </c>
      <c r="O119" s="3" t="s">
        <v>64</v>
      </c>
      <c r="P119" s="3" t="s">
        <v>84</v>
      </c>
      <c r="Q119" s="2" t="s">
        <v>1670</v>
      </c>
      <c r="R119" s="3" t="s">
        <v>66</v>
      </c>
      <c r="S119" s="4">
        <v>6</v>
      </c>
      <c r="T119" s="4">
        <v>6</v>
      </c>
      <c r="U119" s="5" t="s">
        <v>1671</v>
      </c>
      <c r="V119" s="5" t="s">
        <v>1671</v>
      </c>
      <c r="W119" s="5" t="s">
        <v>102</v>
      </c>
      <c r="X119" s="5" t="s">
        <v>102</v>
      </c>
      <c r="Y119" s="4">
        <v>68</v>
      </c>
      <c r="Z119" s="4">
        <v>54</v>
      </c>
      <c r="AA119" s="4">
        <v>92</v>
      </c>
      <c r="AB119" s="4">
        <v>2</v>
      </c>
      <c r="AC119" s="4">
        <v>2</v>
      </c>
      <c r="AD119" s="4">
        <v>2</v>
      </c>
      <c r="AE119" s="4">
        <v>4</v>
      </c>
      <c r="AF119" s="4">
        <v>0</v>
      </c>
      <c r="AG119" s="4">
        <v>0</v>
      </c>
      <c r="AH119" s="4">
        <v>0</v>
      </c>
      <c r="AI119" s="4">
        <v>0</v>
      </c>
      <c r="AJ119" s="4">
        <v>1</v>
      </c>
      <c r="AK119" s="4">
        <v>3</v>
      </c>
      <c r="AL119" s="4">
        <v>1</v>
      </c>
      <c r="AM119" s="4">
        <v>1</v>
      </c>
      <c r="AN119" s="4">
        <v>0</v>
      </c>
      <c r="AO119" s="4">
        <v>0</v>
      </c>
      <c r="AP119" s="3" t="s">
        <v>58</v>
      </c>
      <c r="AQ119" s="3" t="s">
        <v>69</v>
      </c>
      <c r="AR119" s="6" t="str">
        <f>HYPERLINK("http://catalog.hathitrust.org/Record/102772746","HathiTrust Record")</f>
        <v>HathiTrust Record</v>
      </c>
      <c r="AS119" s="6" t="str">
        <f>HYPERLINK("https://creighton-primo.hosted.exlibrisgroup.com/primo-explore/search?tab=default_tab&amp;search_scope=EVERYTHING&amp;vid=01CRU&amp;lang=en_US&amp;offset=0&amp;query=any,contains,991000838529702656","Catalog Record")</f>
        <v>Catalog Record</v>
      </c>
      <c r="AT119" s="6" t="str">
        <f>HYPERLINK("http://www.worldcat.org/oclc/13519548","WorldCat Record")</f>
        <v>WorldCat Record</v>
      </c>
      <c r="AU119" s="3" t="s">
        <v>1672</v>
      </c>
      <c r="AV119" s="3" t="s">
        <v>1673</v>
      </c>
      <c r="AW119" s="3" t="s">
        <v>1674</v>
      </c>
      <c r="AX119" s="3" t="s">
        <v>1674</v>
      </c>
      <c r="AY119" s="3" t="s">
        <v>1675</v>
      </c>
      <c r="AZ119" s="3" t="s">
        <v>74</v>
      </c>
      <c r="BB119" s="3" t="s">
        <v>1676</v>
      </c>
      <c r="BC119" s="3" t="s">
        <v>1677</v>
      </c>
      <c r="BD119" s="3" t="s">
        <v>1678</v>
      </c>
    </row>
    <row r="120" spans="1:56" ht="34.5" customHeight="1" x14ac:dyDescent="0.25">
      <c r="A120" s="7" t="s">
        <v>58</v>
      </c>
      <c r="B120" s="2" t="s">
        <v>1679</v>
      </c>
      <c r="C120" s="2" t="s">
        <v>1680</v>
      </c>
      <c r="D120" s="2" t="s">
        <v>1681</v>
      </c>
      <c r="F120" s="3" t="s">
        <v>58</v>
      </c>
      <c r="G120" s="3" t="s">
        <v>59</v>
      </c>
      <c r="H120" s="3" t="s">
        <v>58</v>
      </c>
      <c r="I120" s="3" t="s">
        <v>58</v>
      </c>
      <c r="J120" s="3" t="s">
        <v>60</v>
      </c>
      <c r="K120" s="2" t="s">
        <v>1682</v>
      </c>
      <c r="L120" s="2" t="s">
        <v>1683</v>
      </c>
      <c r="M120" s="3" t="s">
        <v>712</v>
      </c>
      <c r="O120" s="3" t="s">
        <v>64</v>
      </c>
      <c r="P120" s="3" t="s">
        <v>65</v>
      </c>
      <c r="R120" s="3" t="s">
        <v>66</v>
      </c>
      <c r="S120" s="4">
        <v>5</v>
      </c>
      <c r="T120" s="4">
        <v>5</v>
      </c>
      <c r="U120" s="5" t="s">
        <v>1684</v>
      </c>
      <c r="V120" s="5" t="s">
        <v>1684</v>
      </c>
      <c r="W120" s="5" t="s">
        <v>356</v>
      </c>
      <c r="X120" s="5" t="s">
        <v>356</v>
      </c>
      <c r="Y120" s="4">
        <v>343</v>
      </c>
      <c r="Z120" s="4">
        <v>325</v>
      </c>
      <c r="AA120" s="4">
        <v>484</v>
      </c>
      <c r="AB120" s="4">
        <v>3</v>
      </c>
      <c r="AC120" s="4">
        <v>5</v>
      </c>
      <c r="AD120" s="4">
        <v>13</v>
      </c>
      <c r="AE120" s="4">
        <v>26</v>
      </c>
      <c r="AF120" s="4">
        <v>5</v>
      </c>
      <c r="AG120" s="4">
        <v>10</v>
      </c>
      <c r="AH120" s="4">
        <v>2</v>
      </c>
      <c r="AI120" s="4">
        <v>5</v>
      </c>
      <c r="AJ120" s="4">
        <v>8</v>
      </c>
      <c r="AK120" s="4">
        <v>12</v>
      </c>
      <c r="AL120" s="4">
        <v>2</v>
      </c>
      <c r="AM120" s="4">
        <v>4</v>
      </c>
      <c r="AN120" s="4">
        <v>0</v>
      </c>
      <c r="AO120" s="4">
        <v>0</v>
      </c>
      <c r="AP120" s="3" t="s">
        <v>58</v>
      </c>
      <c r="AQ120" s="3" t="s">
        <v>69</v>
      </c>
      <c r="AR120" s="6" t="str">
        <f>HYPERLINK("http://catalog.hathitrust.org/Record/000409391","HathiTrust Record")</f>
        <v>HathiTrust Record</v>
      </c>
      <c r="AS120" s="6" t="str">
        <f>HYPERLINK("https://creighton-primo.hosted.exlibrisgroup.com/primo-explore/search?tab=default_tab&amp;search_scope=EVERYTHING&amp;vid=01CRU&amp;lang=en_US&amp;offset=0&amp;query=any,contains,991004239759702656","Catalog Record")</f>
        <v>Catalog Record</v>
      </c>
      <c r="AT120" s="6" t="str">
        <f>HYPERLINK("http://www.worldcat.org/oclc/2780553","WorldCat Record")</f>
        <v>WorldCat Record</v>
      </c>
      <c r="AU120" s="3" t="s">
        <v>1685</v>
      </c>
      <c r="AV120" s="3" t="s">
        <v>1686</v>
      </c>
      <c r="AW120" s="3" t="s">
        <v>1687</v>
      </c>
      <c r="AX120" s="3" t="s">
        <v>1687</v>
      </c>
      <c r="AY120" s="3" t="s">
        <v>1688</v>
      </c>
      <c r="AZ120" s="3" t="s">
        <v>74</v>
      </c>
      <c r="BC120" s="3" t="s">
        <v>1689</v>
      </c>
      <c r="BD120" s="3" t="s">
        <v>1690</v>
      </c>
    </row>
    <row r="121" spans="1:56" ht="34.5" customHeight="1" x14ac:dyDescent="0.25">
      <c r="A121" s="7" t="s">
        <v>58</v>
      </c>
      <c r="B121" s="2" t="s">
        <v>1691</v>
      </c>
      <c r="C121" s="2" t="s">
        <v>1692</v>
      </c>
      <c r="D121" s="2" t="s">
        <v>1693</v>
      </c>
      <c r="F121" s="3" t="s">
        <v>58</v>
      </c>
      <c r="G121" s="3" t="s">
        <v>59</v>
      </c>
      <c r="H121" s="3" t="s">
        <v>58</v>
      </c>
      <c r="I121" s="3" t="s">
        <v>58</v>
      </c>
      <c r="J121" s="3" t="s">
        <v>60</v>
      </c>
      <c r="K121" s="2" t="s">
        <v>1694</v>
      </c>
      <c r="L121" s="2" t="s">
        <v>1233</v>
      </c>
      <c r="M121" s="3" t="s">
        <v>1234</v>
      </c>
      <c r="O121" s="3" t="s">
        <v>64</v>
      </c>
      <c r="P121" s="3" t="s">
        <v>65</v>
      </c>
      <c r="Q121" s="2" t="s">
        <v>634</v>
      </c>
      <c r="R121" s="3" t="s">
        <v>66</v>
      </c>
      <c r="S121" s="4">
        <v>4</v>
      </c>
      <c r="T121" s="4">
        <v>4</v>
      </c>
      <c r="U121" s="5" t="s">
        <v>1695</v>
      </c>
      <c r="V121" s="5" t="s">
        <v>1695</v>
      </c>
      <c r="W121" s="5" t="s">
        <v>1696</v>
      </c>
      <c r="X121" s="5" t="s">
        <v>1696</v>
      </c>
      <c r="Y121" s="4">
        <v>1330</v>
      </c>
      <c r="Z121" s="4">
        <v>1210</v>
      </c>
      <c r="AA121" s="4">
        <v>1313</v>
      </c>
      <c r="AB121" s="4">
        <v>9</v>
      </c>
      <c r="AC121" s="4">
        <v>10</v>
      </c>
      <c r="AD121" s="4">
        <v>37</v>
      </c>
      <c r="AE121" s="4">
        <v>40</v>
      </c>
      <c r="AF121" s="4">
        <v>13</v>
      </c>
      <c r="AG121" s="4">
        <v>15</v>
      </c>
      <c r="AH121" s="4">
        <v>7</v>
      </c>
      <c r="AI121" s="4">
        <v>7</v>
      </c>
      <c r="AJ121" s="4">
        <v>20</v>
      </c>
      <c r="AK121" s="4">
        <v>20</v>
      </c>
      <c r="AL121" s="4">
        <v>6</v>
      </c>
      <c r="AM121" s="4">
        <v>7</v>
      </c>
      <c r="AN121" s="4">
        <v>0</v>
      </c>
      <c r="AO121" s="4">
        <v>0</v>
      </c>
      <c r="AP121" s="3" t="s">
        <v>69</v>
      </c>
      <c r="AQ121" s="3" t="s">
        <v>69</v>
      </c>
      <c r="AR121" s="6" t="str">
        <f>HYPERLINK("http://catalog.hathitrust.org/Record/000410419","HathiTrust Record")</f>
        <v>HathiTrust Record</v>
      </c>
      <c r="AS121" s="6" t="str">
        <f>HYPERLINK("https://creighton-primo.hosted.exlibrisgroup.com/primo-explore/search?tab=default_tab&amp;search_scope=EVERYTHING&amp;vid=01CRU&amp;lang=en_US&amp;offset=0&amp;query=any,contains,991003428149702656","Catalog Record")</f>
        <v>Catalog Record</v>
      </c>
      <c r="AT121" s="6" t="str">
        <f>HYPERLINK("http://www.worldcat.org/oclc/964981","WorldCat Record")</f>
        <v>WorldCat Record</v>
      </c>
      <c r="AU121" s="3" t="s">
        <v>1697</v>
      </c>
      <c r="AV121" s="3" t="s">
        <v>1698</v>
      </c>
      <c r="AW121" s="3" t="s">
        <v>1699</v>
      </c>
      <c r="AX121" s="3" t="s">
        <v>1699</v>
      </c>
      <c r="AY121" s="3" t="s">
        <v>1700</v>
      </c>
      <c r="AZ121" s="3" t="s">
        <v>74</v>
      </c>
      <c r="BC121" s="3" t="s">
        <v>1701</v>
      </c>
      <c r="BD121" s="3" t="s">
        <v>1702</v>
      </c>
    </row>
    <row r="122" spans="1:56" ht="34.5" customHeight="1" x14ac:dyDescent="0.25">
      <c r="A122" s="7" t="s">
        <v>58</v>
      </c>
      <c r="B122" s="2" t="s">
        <v>1703</v>
      </c>
      <c r="C122" s="2" t="s">
        <v>1704</v>
      </c>
      <c r="D122" s="2" t="s">
        <v>1705</v>
      </c>
      <c r="F122" s="3" t="s">
        <v>58</v>
      </c>
      <c r="G122" s="3" t="s">
        <v>59</v>
      </c>
      <c r="H122" s="3" t="s">
        <v>58</v>
      </c>
      <c r="I122" s="3" t="s">
        <v>58</v>
      </c>
      <c r="J122" s="3" t="s">
        <v>60</v>
      </c>
      <c r="K122" s="2" t="s">
        <v>1706</v>
      </c>
      <c r="L122" s="2" t="s">
        <v>1707</v>
      </c>
      <c r="M122" s="3" t="s">
        <v>901</v>
      </c>
      <c r="O122" s="3" t="s">
        <v>64</v>
      </c>
      <c r="P122" s="3" t="s">
        <v>1708</v>
      </c>
      <c r="Q122" s="2" t="s">
        <v>1709</v>
      </c>
      <c r="R122" s="3" t="s">
        <v>66</v>
      </c>
      <c r="S122" s="4">
        <v>2</v>
      </c>
      <c r="T122" s="4">
        <v>2</v>
      </c>
      <c r="U122" s="5" t="s">
        <v>1710</v>
      </c>
      <c r="V122" s="5" t="s">
        <v>1710</v>
      </c>
      <c r="W122" s="5" t="s">
        <v>1711</v>
      </c>
      <c r="X122" s="5" t="s">
        <v>1711</v>
      </c>
      <c r="Y122" s="4">
        <v>145</v>
      </c>
      <c r="Z122" s="4">
        <v>112</v>
      </c>
      <c r="AA122" s="4">
        <v>122</v>
      </c>
      <c r="AB122" s="4">
        <v>2</v>
      </c>
      <c r="AC122" s="4">
        <v>2</v>
      </c>
      <c r="AD122" s="4">
        <v>6</v>
      </c>
      <c r="AE122" s="4">
        <v>6</v>
      </c>
      <c r="AF122" s="4">
        <v>3</v>
      </c>
      <c r="AG122" s="4">
        <v>3</v>
      </c>
      <c r="AH122" s="4">
        <v>0</v>
      </c>
      <c r="AI122" s="4">
        <v>0</v>
      </c>
      <c r="AJ122" s="4">
        <v>5</v>
      </c>
      <c r="AK122" s="4">
        <v>5</v>
      </c>
      <c r="AL122" s="4">
        <v>1</v>
      </c>
      <c r="AM122" s="4">
        <v>1</v>
      </c>
      <c r="AN122" s="4">
        <v>0</v>
      </c>
      <c r="AO122" s="4">
        <v>0</v>
      </c>
      <c r="AP122" s="3" t="s">
        <v>58</v>
      </c>
      <c r="AQ122" s="3" t="s">
        <v>58</v>
      </c>
      <c r="AS122" s="6" t="str">
        <f>HYPERLINK("https://creighton-primo.hosted.exlibrisgroup.com/primo-explore/search?tab=default_tab&amp;search_scope=EVERYTHING&amp;vid=01CRU&amp;lang=en_US&amp;offset=0&amp;query=any,contains,991003001669702656","Catalog Record")</f>
        <v>Catalog Record</v>
      </c>
      <c r="AT122" s="6" t="str">
        <f>HYPERLINK("http://www.worldcat.org/oclc/40668231","WorldCat Record")</f>
        <v>WorldCat Record</v>
      </c>
      <c r="AU122" s="3" t="s">
        <v>1712</v>
      </c>
      <c r="AV122" s="3" t="s">
        <v>1713</v>
      </c>
      <c r="AW122" s="3" t="s">
        <v>1714</v>
      </c>
      <c r="AX122" s="3" t="s">
        <v>1714</v>
      </c>
      <c r="AY122" s="3" t="s">
        <v>1715</v>
      </c>
      <c r="AZ122" s="3" t="s">
        <v>74</v>
      </c>
      <c r="BB122" s="3" t="s">
        <v>1716</v>
      </c>
      <c r="BC122" s="3" t="s">
        <v>1717</v>
      </c>
      <c r="BD122" s="3" t="s">
        <v>1718</v>
      </c>
    </row>
    <row r="123" spans="1:56" ht="34.5" customHeight="1" x14ac:dyDescent="0.25">
      <c r="A123" s="7" t="s">
        <v>58</v>
      </c>
      <c r="B123" s="2" t="s">
        <v>1719</v>
      </c>
      <c r="C123" s="2" t="s">
        <v>1720</v>
      </c>
      <c r="D123" s="2" t="s">
        <v>1721</v>
      </c>
      <c r="F123" s="3" t="s">
        <v>58</v>
      </c>
      <c r="G123" s="3" t="s">
        <v>59</v>
      </c>
      <c r="H123" s="3" t="s">
        <v>58</v>
      </c>
      <c r="I123" s="3" t="s">
        <v>58</v>
      </c>
      <c r="J123" s="3" t="s">
        <v>60</v>
      </c>
      <c r="K123" s="2" t="s">
        <v>1639</v>
      </c>
      <c r="L123" s="2" t="s">
        <v>1722</v>
      </c>
      <c r="M123" s="3" t="s">
        <v>1234</v>
      </c>
      <c r="O123" s="3" t="s">
        <v>64</v>
      </c>
      <c r="P123" s="3" t="s">
        <v>65</v>
      </c>
      <c r="Q123" s="2" t="s">
        <v>634</v>
      </c>
      <c r="R123" s="3" t="s">
        <v>66</v>
      </c>
      <c r="S123" s="4">
        <v>1</v>
      </c>
      <c r="T123" s="4">
        <v>1</v>
      </c>
      <c r="U123" s="5" t="s">
        <v>1723</v>
      </c>
      <c r="V123" s="5" t="s">
        <v>1723</v>
      </c>
      <c r="W123" s="5" t="s">
        <v>497</v>
      </c>
      <c r="X123" s="5" t="s">
        <v>497</v>
      </c>
      <c r="Y123" s="4">
        <v>1413</v>
      </c>
      <c r="Z123" s="4">
        <v>1292</v>
      </c>
      <c r="AA123" s="4">
        <v>1360</v>
      </c>
      <c r="AB123" s="4">
        <v>9</v>
      </c>
      <c r="AC123" s="4">
        <v>9</v>
      </c>
      <c r="AD123" s="4">
        <v>48</v>
      </c>
      <c r="AE123" s="4">
        <v>51</v>
      </c>
      <c r="AF123" s="4">
        <v>20</v>
      </c>
      <c r="AG123" s="4">
        <v>21</v>
      </c>
      <c r="AH123" s="4">
        <v>9</v>
      </c>
      <c r="AI123" s="4">
        <v>9</v>
      </c>
      <c r="AJ123" s="4">
        <v>20</v>
      </c>
      <c r="AK123" s="4">
        <v>22</v>
      </c>
      <c r="AL123" s="4">
        <v>8</v>
      </c>
      <c r="AM123" s="4">
        <v>8</v>
      </c>
      <c r="AN123" s="4">
        <v>0</v>
      </c>
      <c r="AO123" s="4">
        <v>0</v>
      </c>
      <c r="AP123" s="3" t="s">
        <v>69</v>
      </c>
      <c r="AQ123" s="3" t="s">
        <v>58</v>
      </c>
      <c r="AR123" s="6" t="str">
        <f>HYPERLINK("http://catalog.hathitrust.org/Record/000409990","HathiTrust Record")</f>
        <v>HathiTrust Record</v>
      </c>
      <c r="AS123" s="6" t="str">
        <f>HYPERLINK("https://creighton-primo.hosted.exlibrisgroup.com/primo-explore/search?tab=default_tab&amp;search_scope=EVERYTHING&amp;vid=01CRU&amp;lang=en_US&amp;offset=0&amp;query=any,contains,991002892779702656","Catalog Record")</f>
        <v>Catalog Record</v>
      </c>
      <c r="AT123" s="6" t="str">
        <f>HYPERLINK("http://www.worldcat.org/oclc/512456","WorldCat Record")</f>
        <v>WorldCat Record</v>
      </c>
      <c r="AU123" s="3" t="s">
        <v>1724</v>
      </c>
      <c r="AV123" s="3" t="s">
        <v>1725</v>
      </c>
      <c r="AW123" s="3" t="s">
        <v>1726</v>
      </c>
      <c r="AX123" s="3" t="s">
        <v>1726</v>
      </c>
      <c r="AY123" s="3" t="s">
        <v>1727</v>
      </c>
      <c r="AZ123" s="3" t="s">
        <v>74</v>
      </c>
      <c r="BC123" s="3" t="s">
        <v>1728</v>
      </c>
      <c r="BD123" s="3" t="s">
        <v>1729</v>
      </c>
    </row>
    <row r="124" spans="1:56" ht="34.5" customHeight="1" x14ac:dyDescent="0.25">
      <c r="A124" s="7" t="s">
        <v>58</v>
      </c>
      <c r="B124" s="2" t="s">
        <v>1730</v>
      </c>
      <c r="C124" s="2" t="s">
        <v>1731</v>
      </c>
      <c r="D124" s="2" t="s">
        <v>1732</v>
      </c>
      <c r="F124" s="3" t="s">
        <v>58</v>
      </c>
      <c r="G124" s="3" t="s">
        <v>59</v>
      </c>
      <c r="H124" s="3" t="s">
        <v>58</v>
      </c>
      <c r="I124" s="3" t="s">
        <v>58</v>
      </c>
      <c r="J124" s="3" t="s">
        <v>60</v>
      </c>
      <c r="K124" s="2" t="s">
        <v>1733</v>
      </c>
      <c r="L124" s="2" t="s">
        <v>1734</v>
      </c>
      <c r="M124" s="3" t="s">
        <v>209</v>
      </c>
      <c r="O124" s="3" t="s">
        <v>1735</v>
      </c>
      <c r="P124" s="3" t="s">
        <v>131</v>
      </c>
      <c r="Q124" s="2" t="s">
        <v>1736</v>
      </c>
      <c r="R124" s="3" t="s">
        <v>66</v>
      </c>
      <c r="S124" s="4">
        <v>0</v>
      </c>
      <c r="T124" s="4">
        <v>0</v>
      </c>
      <c r="U124" s="5" t="s">
        <v>1737</v>
      </c>
      <c r="V124" s="5" t="s">
        <v>1737</v>
      </c>
      <c r="W124" s="5" t="s">
        <v>754</v>
      </c>
      <c r="X124" s="5" t="s">
        <v>754</v>
      </c>
      <c r="Y124" s="4">
        <v>125</v>
      </c>
      <c r="Z124" s="4">
        <v>67</v>
      </c>
      <c r="AA124" s="4">
        <v>69</v>
      </c>
      <c r="AB124" s="4">
        <v>2</v>
      </c>
      <c r="AC124" s="4">
        <v>2</v>
      </c>
      <c r="AD124" s="4">
        <v>2</v>
      </c>
      <c r="AE124" s="4">
        <v>2</v>
      </c>
      <c r="AF124" s="4">
        <v>0</v>
      </c>
      <c r="AG124" s="4">
        <v>0</v>
      </c>
      <c r="AH124" s="4">
        <v>0</v>
      </c>
      <c r="AI124" s="4">
        <v>0</v>
      </c>
      <c r="AJ124" s="4">
        <v>1</v>
      </c>
      <c r="AK124" s="4">
        <v>1</v>
      </c>
      <c r="AL124" s="4">
        <v>1</v>
      </c>
      <c r="AM124" s="4">
        <v>1</v>
      </c>
      <c r="AN124" s="4">
        <v>0</v>
      </c>
      <c r="AO124" s="4">
        <v>0</v>
      </c>
      <c r="AP124" s="3" t="s">
        <v>58</v>
      </c>
      <c r="AQ124" s="3" t="s">
        <v>69</v>
      </c>
      <c r="AR124" s="6" t="str">
        <f>HYPERLINK("http://catalog.hathitrust.org/Record/000379589","HathiTrust Record")</f>
        <v>HathiTrust Record</v>
      </c>
      <c r="AS124" s="6" t="str">
        <f>HYPERLINK("https://creighton-primo.hosted.exlibrisgroup.com/primo-explore/search?tab=default_tab&amp;search_scope=EVERYTHING&amp;vid=01CRU&amp;lang=en_US&amp;offset=0&amp;query=any,contains,991000825239702656","Catalog Record")</f>
        <v>Catalog Record</v>
      </c>
      <c r="AT124" s="6" t="str">
        <f>HYPERLINK("http://www.worldcat.org/oclc/14167021","WorldCat Record")</f>
        <v>WorldCat Record</v>
      </c>
      <c r="AU124" s="3" t="s">
        <v>1738</v>
      </c>
      <c r="AV124" s="3" t="s">
        <v>1739</v>
      </c>
      <c r="AW124" s="3" t="s">
        <v>1740</v>
      </c>
      <c r="AX124" s="3" t="s">
        <v>1740</v>
      </c>
      <c r="AY124" s="3" t="s">
        <v>1741</v>
      </c>
      <c r="AZ124" s="3" t="s">
        <v>74</v>
      </c>
      <c r="BB124" s="3" t="s">
        <v>1742</v>
      </c>
      <c r="BC124" s="3" t="s">
        <v>1743</v>
      </c>
      <c r="BD124" s="3" t="s">
        <v>1744</v>
      </c>
    </row>
    <row r="125" spans="1:56" ht="34.5" customHeight="1" x14ac:dyDescent="0.25">
      <c r="A125" s="7" t="s">
        <v>58</v>
      </c>
      <c r="B125" s="2" t="s">
        <v>1745</v>
      </c>
      <c r="C125" s="2" t="s">
        <v>1746</v>
      </c>
      <c r="D125" s="2" t="s">
        <v>1747</v>
      </c>
      <c r="F125" s="3" t="s">
        <v>58</v>
      </c>
      <c r="G125" s="3" t="s">
        <v>59</v>
      </c>
      <c r="H125" s="3" t="s">
        <v>58</v>
      </c>
      <c r="I125" s="3" t="s">
        <v>58</v>
      </c>
      <c r="J125" s="3" t="s">
        <v>60</v>
      </c>
      <c r="K125" s="2" t="s">
        <v>1748</v>
      </c>
      <c r="L125" s="2" t="s">
        <v>1749</v>
      </c>
      <c r="M125" s="3" t="s">
        <v>579</v>
      </c>
      <c r="O125" s="3" t="s">
        <v>64</v>
      </c>
      <c r="P125" s="3" t="s">
        <v>84</v>
      </c>
      <c r="Q125" s="2" t="s">
        <v>1750</v>
      </c>
      <c r="R125" s="3" t="s">
        <v>66</v>
      </c>
      <c r="S125" s="4">
        <v>2</v>
      </c>
      <c r="T125" s="4">
        <v>2</v>
      </c>
      <c r="U125" s="5" t="s">
        <v>1751</v>
      </c>
      <c r="V125" s="5" t="s">
        <v>1751</v>
      </c>
      <c r="W125" s="5" t="s">
        <v>1752</v>
      </c>
      <c r="X125" s="5" t="s">
        <v>1752</v>
      </c>
      <c r="Y125" s="4">
        <v>526</v>
      </c>
      <c r="Z125" s="4">
        <v>464</v>
      </c>
      <c r="AA125" s="4">
        <v>519</v>
      </c>
      <c r="AB125" s="4">
        <v>6</v>
      </c>
      <c r="AC125" s="4">
        <v>6</v>
      </c>
      <c r="AD125" s="4">
        <v>17</v>
      </c>
      <c r="AE125" s="4">
        <v>19</v>
      </c>
      <c r="AF125" s="4">
        <v>4</v>
      </c>
      <c r="AG125" s="4">
        <v>5</v>
      </c>
      <c r="AH125" s="4">
        <v>5</v>
      </c>
      <c r="AI125" s="4">
        <v>6</v>
      </c>
      <c r="AJ125" s="4">
        <v>9</v>
      </c>
      <c r="AK125" s="4">
        <v>10</v>
      </c>
      <c r="AL125" s="4">
        <v>2</v>
      </c>
      <c r="AM125" s="4">
        <v>2</v>
      </c>
      <c r="AN125" s="4">
        <v>0</v>
      </c>
      <c r="AO125" s="4">
        <v>0</v>
      </c>
      <c r="AP125" s="3" t="s">
        <v>58</v>
      </c>
      <c r="AQ125" s="3" t="s">
        <v>58</v>
      </c>
      <c r="AS125" s="6" t="str">
        <f>HYPERLINK("https://creighton-primo.hosted.exlibrisgroup.com/primo-explore/search?tab=default_tab&amp;search_scope=EVERYTHING&amp;vid=01CRU&amp;lang=en_US&amp;offset=0&amp;query=any,contains,991002901129702656","Catalog Record")</f>
        <v>Catalog Record</v>
      </c>
      <c r="AT125" s="6" t="str">
        <f>HYPERLINK("http://www.worldcat.org/oclc/517325","WorldCat Record")</f>
        <v>WorldCat Record</v>
      </c>
      <c r="AU125" s="3" t="s">
        <v>1753</v>
      </c>
      <c r="AV125" s="3" t="s">
        <v>1754</v>
      </c>
      <c r="AW125" s="3" t="s">
        <v>1755</v>
      </c>
      <c r="AX125" s="3" t="s">
        <v>1755</v>
      </c>
      <c r="AY125" s="3" t="s">
        <v>1756</v>
      </c>
      <c r="AZ125" s="3" t="s">
        <v>74</v>
      </c>
      <c r="BC125" s="3" t="s">
        <v>1757</v>
      </c>
      <c r="BD125" s="3" t="s">
        <v>1758</v>
      </c>
    </row>
    <row r="126" spans="1:56" ht="34.5" customHeight="1" x14ac:dyDescent="0.25">
      <c r="A126" s="7" t="s">
        <v>58</v>
      </c>
      <c r="B126" s="2" t="s">
        <v>1759</v>
      </c>
      <c r="C126" s="2" t="s">
        <v>1760</v>
      </c>
      <c r="D126" s="2" t="s">
        <v>1761</v>
      </c>
      <c r="F126" s="3" t="s">
        <v>58</v>
      </c>
      <c r="G126" s="3" t="s">
        <v>59</v>
      </c>
      <c r="H126" s="3" t="s">
        <v>58</v>
      </c>
      <c r="I126" s="3" t="s">
        <v>58</v>
      </c>
      <c r="J126" s="3" t="s">
        <v>60</v>
      </c>
      <c r="K126" s="2" t="s">
        <v>1762</v>
      </c>
      <c r="L126" s="2" t="s">
        <v>1763</v>
      </c>
      <c r="M126" s="3" t="s">
        <v>1429</v>
      </c>
      <c r="O126" s="3" t="s">
        <v>64</v>
      </c>
      <c r="P126" s="3" t="s">
        <v>238</v>
      </c>
      <c r="R126" s="3" t="s">
        <v>66</v>
      </c>
      <c r="S126" s="4">
        <v>2</v>
      </c>
      <c r="T126" s="4">
        <v>2</v>
      </c>
      <c r="U126" s="5" t="s">
        <v>1764</v>
      </c>
      <c r="V126" s="5" t="s">
        <v>1764</v>
      </c>
      <c r="W126" s="5" t="s">
        <v>68</v>
      </c>
      <c r="X126" s="5" t="s">
        <v>68</v>
      </c>
      <c r="Y126" s="4">
        <v>452</v>
      </c>
      <c r="Z126" s="4">
        <v>414</v>
      </c>
      <c r="AA126" s="4">
        <v>493</v>
      </c>
      <c r="AB126" s="4">
        <v>5</v>
      </c>
      <c r="AC126" s="4">
        <v>6</v>
      </c>
      <c r="AD126" s="4">
        <v>14</v>
      </c>
      <c r="AE126" s="4">
        <v>15</v>
      </c>
      <c r="AF126" s="4">
        <v>7</v>
      </c>
      <c r="AG126" s="4">
        <v>7</v>
      </c>
      <c r="AH126" s="4">
        <v>1</v>
      </c>
      <c r="AI126" s="4">
        <v>1</v>
      </c>
      <c r="AJ126" s="4">
        <v>6</v>
      </c>
      <c r="AK126" s="4">
        <v>7</v>
      </c>
      <c r="AL126" s="4">
        <v>4</v>
      </c>
      <c r="AM126" s="4">
        <v>4</v>
      </c>
      <c r="AN126" s="4">
        <v>0</v>
      </c>
      <c r="AO126" s="4">
        <v>0</v>
      </c>
      <c r="AP126" s="3" t="s">
        <v>58</v>
      </c>
      <c r="AQ126" s="3" t="s">
        <v>58</v>
      </c>
      <c r="AR126" s="6" t="str">
        <f>HYPERLINK("http://catalog.hathitrust.org/Record/007472322","HathiTrust Record")</f>
        <v>HathiTrust Record</v>
      </c>
      <c r="AS126" s="6" t="str">
        <f>HYPERLINK("https://creighton-primo.hosted.exlibrisgroup.com/primo-explore/search?tab=default_tab&amp;search_scope=EVERYTHING&amp;vid=01CRU&amp;lang=en_US&amp;offset=0&amp;query=any,contains,991002904449702656","Catalog Record")</f>
        <v>Catalog Record</v>
      </c>
      <c r="AT126" s="6" t="str">
        <f>HYPERLINK("http://www.worldcat.org/oclc/518799","WorldCat Record")</f>
        <v>WorldCat Record</v>
      </c>
      <c r="AU126" s="3" t="s">
        <v>1765</v>
      </c>
      <c r="AV126" s="3" t="s">
        <v>1766</v>
      </c>
      <c r="AW126" s="3" t="s">
        <v>1767</v>
      </c>
      <c r="AX126" s="3" t="s">
        <v>1767</v>
      </c>
      <c r="AY126" s="3" t="s">
        <v>1768</v>
      </c>
      <c r="AZ126" s="3" t="s">
        <v>74</v>
      </c>
      <c r="BC126" s="3" t="s">
        <v>1769</v>
      </c>
      <c r="BD126" s="3" t="s">
        <v>1770</v>
      </c>
    </row>
    <row r="127" spans="1:56" ht="34.5" customHeight="1" x14ac:dyDescent="0.25">
      <c r="A127" s="7" t="s">
        <v>58</v>
      </c>
      <c r="B127" s="2" t="s">
        <v>1771</v>
      </c>
      <c r="C127" s="2" t="s">
        <v>1772</v>
      </c>
      <c r="D127" s="2" t="s">
        <v>1773</v>
      </c>
      <c r="F127" s="3" t="s">
        <v>58</v>
      </c>
      <c r="G127" s="3" t="s">
        <v>59</v>
      </c>
      <c r="H127" s="3" t="s">
        <v>58</v>
      </c>
      <c r="I127" s="3" t="s">
        <v>58</v>
      </c>
      <c r="J127" s="3" t="s">
        <v>60</v>
      </c>
      <c r="K127" s="2" t="s">
        <v>1774</v>
      </c>
      <c r="L127" s="2" t="s">
        <v>1775</v>
      </c>
      <c r="M127" s="3" t="s">
        <v>579</v>
      </c>
      <c r="O127" s="3" t="s">
        <v>64</v>
      </c>
      <c r="P127" s="3" t="s">
        <v>65</v>
      </c>
      <c r="R127" s="3" t="s">
        <v>66</v>
      </c>
      <c r="S127" s="4">
        <v>5</v>
      </c>
      <c r="T127" s="4">
        <v>5</v>
      </c>
      <c r="U127" s="5" t="s">
        <v>1776</v>
      </c>
      <c r="V127" s="5" t="s">
        <v>1776</v>
      </c>
      <c r="W127" s="5" t="s">
        <v>754</v>
      </c>
      <c r="X127" s="5" t="s">
        <v>754</v>
      </c>
      <c r="Y127" s="4">
        <v>664</v>
      </c>
      <c r="Z127" s="4">
        <v>619</v>
      </c>
      <c r="AA127" s="4">
        <v>639</v>
      </c>
      <c r="AB127" s="4">
        <v>6</v>
      </c>
      <c r="AC127" s="4">
        <v>6</v>
      </c>
      <c r="AD127" s="4">
        <v>10</v>
      </c>
      <c r="AE127" s="4">
        <v>10</v>
      </c>
      <c r="AF127" s="4">
        <v>4</v>
      </c>
      <c r="AG127" s="4">
        <v>4</v>
      </c>
      <c r="AH127" s="4">
        <v>1</v>
      </c>
      <c r="AI127" s="4">
        <v>1</v>
      </c>
      <c r="AJ127" s="4">
        <v>4</v>
      </c>
      <c r="AK127" s="4">
        <v>4</v>
      </c>
      <c r="AL127" s="4">
        <v>3</v>
      </c>
      <c r="AM127" s="4">
        <v>3</v>
      </c>
      <c r="AN127" s="4">
        <v>0</v>
      </c>
      <c r="AO127" s="4">
        <v>0</v>
      </c>
      <c r="AP127" s="3" t="s">
        <v>58</v>
      </c>
      <c r="AQ127" s="3" t="s">
        <v>58</v>
      </c>
      <c r="AS127" s="6" t="str">
        <f>HYPERLINK("https://creighton-primo.hosted.exlibrisgroup.com/primo-explore/search?tab=default_tab&amp;search_scope=EVERYTHING&amp;vid=01CRU&amp;lang=en_US&amp;offset=0&amp;query=any,contains,991003023129702656","Catalog Record")</f>
        <v>Catalog Record</v>
      </c>
      <c r="AT127" s="6" t="str">
        <f>HYPERLINK("http://www.worldcat.org/oclc/588028","WorldCat Record")</f>
        <v>WorldCat Record</v>
      </c>
      <c r="AU127" s="3" t="s">
        <v>1777</v>
      </c>
      <c r="AV127" s="3" t="s">
        <v>1778</v>
      </c>
      <c r="AW127" s="3" t="s">
        <v>1779</v>
      </c>
      <c r="AX127" s="3" t="s">
        <v>1779</v>
      </c>
      <c r="AY127" s="3" t="s">
        <v>1780</v>
      </c>
      <c r="AZ127" s="3" t="s">
        <v>74</v>
      </c>
      <c r="BC127" s="3" t="s">
        <v>1781</v>
      </c>
      <c r="BD127" s="3" t="s">
        <v>1782</v>
      </c>
    </row>
    <row r="128" spans="1:56" ht="34.5" customHeight="1" x14ac:dyDescent="0.25">
      <c r="A128" s="7" t="s">
        <v>58</v>
      </c>
      <c r="B128" s="2" t="s">
        <v>1783</v>
      </c>
      <c r="C128" s="2" t="s">
        <v>1784</v>
      </c>
      <c r="D128" s="2" t="s">
        <v>1785</v>
      </c>
      <c r="F128" s="3" t="s">
        <v>58</v>
      </c>
      <c r="G128" s="3" t="s">
        <v>59</v>
      </c>
      <c r="H128" s="3" t="s">
        <v>58</v>
      </c>
      <c r="I128" s="3" t="s">
        <v>58</v>
      </c>
      <c r="J128" s="3" t="s">
        <v>60</v>
      </c>
      <c r="K128" s="2" t="s">
        <v>1786</v>
      </c>
      <c r="L128" s="2" t="s">
        <v>1787</v>
      </c>
      <c r="M128" s="3" t="s">
        <v>1234</v>
      </c>
      <c r="O128" s="3" t="s">
        <v>64</v>
      </c>
      <c r="P128" s="3" t="s">
        <v>147</v>
      </c>
      <c r="Q128" s="2" t="s">
        <v>1788</v>
      </c>
      <c r="R128" s="3" t="s">
        <v>66</v>
      </c>
      <c r="S128" s="4">
        <v>2</v>
      </c>
      <c r="T128" s="4">
        <v>2</v>
      </c>
      <c r="U128" s="5" t="s">
        <v>1751</v>
      </c>
      <c r="V128" s="5" t="s">
        <v>1751</v>
      </c>
      <c r="W128" s="5" t="s">
        <v>68</v>
      </c>
      <c r="X128" s="5" t="s">
        <v>68</v>
      </c>
      <c r="Y128" s="4">
        <v>525</v>
      </c>
      <c r="Z128" s="4">
        <v>453</v>
      </c>
      <c r="AA128" s="4">
        <v>464</v>
      </c>
      <c r="AB128" s="4">
        <v>3</v>
      </c>
      <c r="AC128" s="4">
        <v>3</v>
      </c>
      <c r="AD128" s="4">
        <v>12</v>
      </c>
      <c r="AE128" s="4">
        <v>12</v>
      </c>
      <c r="AF128" s="4">
        <v>3</v>
      </c>
      <c r="AG128" s="4">
        <v>3</v>
      </c>
      <c r="AH128" s="4">
        <v>3</v>
      </c>
      <c r="AI128" s="4">
        <v>3</v>
      </c>
      <c r="AJ128" s="4">
        <v>5</v>
      </c>
      <c r="AK128" s="4">
        <v>5</v>
      </c>
      <c r="AL128" s="4">
        <v>1</v>
      </c>
      <c r="AM128" s="4">
        <v>1</v>
      </c>
      <c r="AN128" s="4">
        <v>0</v>
      </c>
      <c r="AO128" s="4">
        <v>0</v>
      </c>
      <c r="AP128" s="3" t="s">
        <v>58</v>
      </c>
      <c r="AQ128" s="3" t="s">
        <v>58</v>
      </c>
      <c r="AS128" s="6" t="str">
        <f>HYPERLINK("https://creighton-primo.hosted.exlibrisgroup.com/primo-explore/search?tab=default_tab&amp;search_scope=EVERYTHING&amp;vid=01CRU&amp;lang=en_US&amp;offset=0&amp;query=any,contains,991002404019702656","Catalog Record")</f>
        <v>Catalog Record</v>
      </c>
      <c r="AT128" s="6" t="str">
        <f>HYPERLINK("http://www.worldcat.org/oclc/338284","WorldCat Record")</f>
        <v>WorldCat Record</v>
      </c>
      <c r="AU128" s="3" t="s">
        <v>1789</v>
      </c>
      <c r="AV128" s="3" t="s">
        <v>1790</v>
      </c>
      <c r="AW128" s="3" t="s">
        <v>1791</v>
      </c>
      <c r="AX128" s="3" t="s">
        <v>1791</v>
      </c>
      <c r="AY128" s="3" t="s">
        <v>1792</v>
      </c>
      <c r="AZ128" s="3" t="s">
        <v>74</v>
      </c>
      <c r="BC128" s="3" t="s">
        <v>1793</v>
      </c>
      <c r="BD128" s="3" t="s">
        <v>1794</v>
      </c>
    </row>
    <row r="129" spans="1:56" ht="34.5" customHeight="1" x14ac:dyDescent="0.25">
      <c r="A129" s="7" t="s">
        <v>58</v>
      </c>
      <c r="B129" s="2" t="s">
        <v>1795</v>
      </c>
      <c r="C129" s="2" t="s">
        <v>1796</v>
      </c>
      <c r="D129" s="2" t="s">
        <v>1797</v>
      </c>
      <c r="F129" s="3" t="s">
        <v>58</v>
      </c>
      <c r="G129" s="3" t="s">
        <v>59</v>
      </c>
      <c r="H129" s="3" t="s">
        <v>58</v>
      </c>
      <c r="I129" s="3" t="s">
        <v>58</v>
      </c>
      <c r="J129" s="3" t="s">
        <v>60</v>
      </c>
      <c r="K129" s="2" t="s">
        <v>1798</v>
      </c>
      <c r="L129" s="2" t="s">
        <v>1799</v>
      </c>
      <c r="M129" s="3" t="s">
        <v>983</v>
      </c>
      <c r="O129" s="3" t="s">
        <v>64</v>
      </c>
      <c r="P129" s="3" t="s">
        <v>65</v>
      </c>
      <c r="Q129" s="2" t="s">
        <v>1800</v>
      </c>
      <c r="R129" s="3" t="s">
        <v>66</v>
      </c>
      <c r="S129" s="4">
        <v>6</v>
      </c>
      <c r="T129" s="4">
        <v>6</v>
      </c>
      <c r="U129" s="5" t="s">
        <v>1751</v>
      </c>
      <c r="V129" s="5" t="s">
        <v>1751</v>
      </c>
      <c r="W129" s="5" t="s">
        <v>754</v>
      </c>
      <c r="X129" s="5" t="s">
        <v>754</v>
      </c>
      <c r="Y129" s="4">
        <v>364</v>
      </c>
      <c r="Z129" s="4">
        <v>274</v>
      </c>
      <c r="AA129" s="4">
        <v>282</v>
      </c>
      <c r="AB129" s="4">
        <v>2</v>
      </c>
      <c r="AC129" s="4">
        <v>2</v>
      </c>
      <c r="AD129" s="4">
        <v>11</v>
      </c>
      <c r="AE129" s="4">
        <v>13</v>
      </c>
      <c r="AF129" s="4">
        <v>3</v>
      </c>
      <c r="AG129" s="4">
        <v>3</v>
      </c>
      <c r="AH129" s="4">
        <v>2</v>
      </c>
      <c r="AI129" s="4">
        <v>3</v>
      </c>
      <c r="AJ129" s="4">
        <v>8</v>
      </c>
      <c r="AK129" s="4">
        <v>10</v>
      </c>
      <c r="AL129" s="4">
        <v>1</v>
      </c>
      <c r="AM129" s="4">
        <v>1</v>
      </c>
      <c r="AN129" s="4">
        <v>0</v>
      </c>
      <c r="AO129" s="4">
        <v>0</v>
      </c>
      <c r="AP129" s="3" t="s">
        <v>58</v>
      </c>
      <c r="AQ129" s="3" t="s">
        <v>58</v>
      </c>
      <c r="AS129" s="6" t="str">
        <f>HYPERLINK("https://creighton-primo.hosted.exlibrisgroup.com/primo-explore/search?tab=default_tab&amp;search_scope=EVERYTHING&amp;vid=01CRU&amp;lang=en_US&amp;offset=0&amp;query=any,contains,991004764869702656","Catalog Record")</f>
        <v>Catalog Record</v>
      </c>
      <c r="AT129" s="6" t="str">
        <f>HYPERLINK("http://www.worldcat.org/oclc/5028608","WorldCat Record")</f>
        <v>WorldCat Record</v>
      </c>
      <c r="AU129" s="3" t="s">
        <v>1801</v>
      </c>
      <c r="AV129" s="3" t="s">
        <v>1802</v>
      </c>
      <c r="AW129" s="3" t="s">
        <v>1803</v>
      </c>
      <c r="AX129" s="3" t="s">
        <v>1803</v>
      </c>
      <c r="AY129" s="3" t="s">
        <v>1804</v>
      </c>
      <c r="AZ129" s="3" t="s">
        <v>74</v>
      </c>
      <c r="BB129" s="3" t="s">
        <v>1805</v>
      </c>
      <c r="BC129" s="3" t="s">
        <v>1806</v>
      </c>
      <c r="BD129" s="3" t="s">
        <v>1807</v>
      </c>
    </row>
    <row r="130" spans="1:56" ht="34.5" customHeight="1" x14ac:dyDescent="0.25">
      <c r="A130" s="7" t="s">
        <v>58</v>
      </c>
      <c r="B130" s="2" t="s">
        <v>1808</v>
      </c>
      <c r="C130" s="2" t="s">
        <v>1809</v>
      </c>
      <c r="D130" s="2" t="s">
        <v>1810</v>
      </c>
      <c r="F130" s="3" t="s">
        <v>58</v>
      </c>
      <c r="G130" s="3" t="s">
        <v>59</v>
      </c>
      <c r="H130" s="3" t="s">
        <v>58</v>
      </c>
      <c r="I130" s="3" t="s">
        <v>58</v>
      </c>
      <c r="J130" s="3" t="s">
        <v>60</v>
      </c>
      <c r="K130" s="2" t="s">
        <v>1811</v>
      </c>
      <c r="L130" s="2" t="s">
        <v>1812</v>
      </c>
      <c r="M130" s="3" t="s">
        <v>1813</v>
      </c>
      <c r="N130" s="2" t="s">
        <v>1814</v>
      </c>
      <c r="O130" s="3" t="s">
        <v>64</v>
      </c>
      <c r="P130" s="3" t="s">
        <v>1815</v>
      </c>
      <c r="Q130" s="2" t="s">
        <v>1816</v>
      </c>
      <c r="R130" s="3" t="s">
        <v>66</v>
      </c>
      <c r="S130" s="4">
        <v>1</v>
      </c>
      <c r="T130" s="4">
        <v>1</v>
      </c>
      <c r="U130" s="5" t="s">
        <v>1817</v>
      </c>
      <c r="V130" s="5" t="s">
        <v>1817</v>
      </c>
      <c r="W130" s="5" t="s">
        <v>68</v>
      </c>
      <c r="X130" s="5" t="s">
        <v>68</v>
      </c>
      <c r="Y130" s="4">
        <v>188</v>
      </c>
      <c r="Z130" s="4">
        <v>165</v>
      </c>
      <c r="AA130" s="4">
        <v>167</v>
      </c>
      <c r="AB130" s="4">
        <v>2</v>
      </c>
      <c r="AC130" s="4">
        <v>2</v>
      </c>
      <c r="AD130" s="4">
        <v>6</v>
      </c>
      <c r="AE130" s="4">
        <v>6</v>
      </c>
      <c r="AF130" s="4">
        <v>2</v>
      </c>
      <c r="AG130" s="4">
        <v>2</v>
      </c>
      <c r="AH130" s="4">
        <v>1</v>
      </c>
      <c r="AI130" s="4">
        <v>1</v>
      </c>
      <c r="AJ130" s="4">
        <v>2</v>
      </c>
      <c r="AK130" s="4">
        <v>2</v>
      </c>
      <c r="AL130" s="4">
        <v>1</v>
      </c>
      <c r="AM130" s="4">
        <v>1</v>
      </c>
      <c r="AN130" s="4">
        <v>0</v>
      </c>
      <c r="AO130" s="4">
        <v>0</v>
      </c>
      <c r="AP130" s="3" t="s">
        <v>58</v>
      </c>
      <c r="AQ130" s="3" t="s">
        <v>58</v>
      </c>
      <c r="AS130" s="6" t="str">
        <f>HYPERLINK("https://creighton-primo.hosted.exlibrisgroup.com/primo-explore/search?tab=default_tab&amp;search_scope=EVERYTHING&amp;vid=01CRU&amp;lang=en_US&amp;offset=0&amp;query=any,contains,991004027289702656","Catalog Record")</f>
        <v>Catalog Record</v>
      </c>
      <c r="AT130" s="6" t="str">
        <f>HYPERLINK("http://www.worldcat.org/oclc/2139967","WorldCat Record")</f>
        <v>WorldCat Record</v>
      </c>
      <c r="AU130" s="3" t="s">
        <v>1818</v>
      </c>
      <c r="AV130" s="3" t="s">
        <v>1819</v>
      </c>
      <c r="AW130" s="3" t="s">
        <v>1820</v>
      </c>
      <c r="AX130" s="3" t="s">
        <v>1820</v>
      </c>
      <c r="AY130" s="3" t="s">
        <v>1821</v>
      </c>
      <c r="AZ130" s="3" t="s">
        <v>74</v>
      </c>
      <c r="BC130" s="3" t="s">
        <v>1822</v>
      </c>
      <c r="BD130" s="3" t="s">
        <v>1823</v>
      </c>
    </row>
    <row r="131" spans="1:56" ht="34.5" customHeight="1" x14ac:dyDescent="0.25">
      <c r="A131" s="7" t="s">
        <v>58</v>
      </c>
      <c r="B131" s="2" t="s">
        <v>1824</v>
      </c>
      <c r="C131" s="2" t="s">
        <v>1825</v>
      </c>
      <c r="D131" s="2" t="s">
        <v>1826</v>
      </c>
      <c r="F131" s="3" t="s">
        <v>58</v>
      </c>
      <c r="G131" s="3" t="s">
        <v>59</v>
      </c>
      <c r="H131" s="3" t="s">
        <v>58</v>
      </c>
      <c r="I131" s="3" t="s">
        <v>58</v>
      </c>
      <c r="J131" s="3" t="s">
        <v>60</v>
      </c>
      <c r="K131" s="2" t="s">
        <v>1827</v>
      </c>
      <c r="L131" s="2" t="s">
        <v>1828</v>
      </c>
      <c r="M131" s="3" t="s">
        <v>886</v>
      </c>
      <c r="O131" s="3" t="s">
        <v>64</v>
      </c>
      <c r="P131" s="3" t="s">
        <v>147</v>
      </c>
      <c r="Q131" s="2" t="s">
        <v>1829</v>
      </c>
      <c r="R131" s="3" t="s">
        <v>66</v>
      </c>
      <c r="S131" s="4">
        <v>8</v>
      </c>
      <c r="T131" s="4">
        <v>8</v>
      </c>
      <c r="U131" s="5" t="s">
        <v>1830</v>
      </c>
      <c r="V131" s="5" t="s">
        <v>1830</v>
      </c>
      <c r="W131" s="5" t="s">
        <v>1831</v>
      </c>
      <c r="X131" s="5" t="s">
        <v>1831</v>
      </c>
      <c r="Y131" s="4">
        <v>652</v>
      </c>
      <c r="Z131" s="4">
        <v>622</v>
      </c>
      <c r="AA131" s="4">
        <v>623</v>
      </c>
      <c r="AB131" s="4">
        <v>4</v>
      </c>
      <c r="AC131" s="4">
        <v>4</v>
      </c>
      <c r="AD131" s="4">
        <v>28</v>
      </c>
      <c r="AE131" s="4">
        <v>28</v>
      </c>
      <c r="AF131" s="4">
        <v>12</v>
      </c>
      <c r="AG131" s="4">
        <v>12</v>
      </c>
      <c r="AH131" s="4">
        <v>6</v>
      </c>
      <c r="AI131" s="4">
        <v>6</v>
      </c>
      <c r="AJ131" s="4">
        <v>16</v>
      </c>
      <c r="AK131" s="4">
        <v>16</v>
      </c>
      <c r="AL131" s="4">
        <v>2</v>
      </c>
      <c r="AM131" s="4">
        <v>2</v>
      </c>
      <c r="AN131" s="4">
        <v>0</v>
      </c>
      <c r="AO131" s="4">
        <v>0</v>
      </c>
      <c r="AP131" s="3" t="s">
        <v>58</v>
      </c>
      <c r="AQ131" s="3" t="s">
        <v>69</v>
      </c>
      <c r="AR131" s="6" t="str">
        <f>HYPERLINK("http://catalog.hathitrust.org/Record/000566106","HathiTrust Record")</f>
        <v>HathiTrust Record</v>
      </c>
      <c r="AS131" s="6" t="str">
        <f>HYPERLINK("https://creighton-primo.hosted.exlibrisgroup.com/primo-explore/search?tab=default_tab&amp;search_scope=EVERYTHING&amp;vid=01CRU&amp;lang=en_US&amp;offset=0&amp;query=any,contains,991003846229702656","Catalog Record")</f>
        <v>Catalog Record</v>
      </c>
      <c r="AT131" s="6" t="str">
        <f>HYPERLINK("http://www.worldcat.org/oclc/1631017","WorldCat Record")</f>
        <v>WorldCat Record</v>
      </c>
      <c r="AU131" s="3" t="s">
        <v>1832</v>
      </c>
      <c r="AV131" s="3" t="s">
        <v>1833</v>
      </c>
      <c r="AW131" s="3" t="s">
        <v>1834</v>
      </c>
      <c r="AX131" s="3" t="s">
        <v>1834</v>
      </c>
      <c r="AY131" s="3" t="s">
        <v>1835</v>
      </c>
      <c r="AZ131" s="3" t="s">
        <v>74</v>
      </c>
      <c r="BC131" s="3" t="s">
        <v>1836</v>
      </c>
      <c r="BD131" s="3" t="s">
        <v>1837</v>
      </c>
    </row>
    <row r="132" spans="1:56" ht="34.5" customHeight="1" x14ac:dyDescent="0.25">
      <c r="A132" s="7" t="s">
        <v>58</v>
      </c>
      <c r="B132" s="2" t="s">
        <v>1838</v>
      </c>
      <c r="C132" s="2" t="s">
        <v>1839</v>
      </c>
      <c r="D132" s="2" t="s">
        <v>1840</v>
      </c>
      <c r="F132" s="3" t="s">
        <v>58</v>
      </c>
      <c r="G132" s="3" t="s">
        <v>59</v>
      </c>
      <c r="H132" s="3" t="s">
        <v>58</v>
      </c>
      <c r="I132" s="3" t="s">
        <v>58</v>
      </c>
      <c r="J132" s="3" t="s">
        <v>60</v>
      </c>
      <c r="K132" s="2" t="s">
        <v>1841</v>
      </c>
      <c r="L132" s="2" t="s">
        <v>1842</v>
      </c>
      <c r="M132" s="3" t="s">
        <v>1545</v>
      </c>
      <c r="O132" s="3" t="s">
        <v>64</v>
      </c>
      <c r="P132" s="3" t="s">
        <v>65</v>
      </c>
      <c r="R132" s="3" t="s">
        <v>66</v>
      </c>
      <c r="S132" s="4">
        <v>4</v>
      </c>
      <c r="T132" s="4">
        <v>4</v>
      </c>
      <c r="U132" s="5" t="s">
        <v>1843</v>
      </c>
      <c r="V132" s="5" t="s">
        <v>1843</v>
      </c>
      <c r="W132" s="5" t="s">
        <v>1844</v>
      </c>
      <c r="X132" s="5" t="s">
        <v>1844</v>
      </c>
      <c r="Y132" s="4">
        <v>383</v>
      </c>
      <c r="Z132" s="4">
        <v>328</v>
      </c>
      <c r="AA132" s="4">
        <v>827</v>
      </c>
      <c r="AB132" s="4">
        <v>1</v>
      </c>
      <c r="AC132" s="4">
        <v>6</v>
      </c>
      <c r="AD132" s="4">
        <v>13</v>
      </c>
      <c r="AE132" s="4">
        <v>38</v>
      </c>
      <c r="AF132" s="4">
        <v>6</v>
      </c>
      <c r="AG132" s="4">
        <v>15</v>
      </c>
      <c r="AH132" s="4">
        <v>4</v>
      </c>
      <c r="AI132" s="4">
        <v>10</v>
      </c>
      <c r="AJ132" s="4">
        <v>7</v>
      </c>
      <c r="AK132" s="4">
        <v>19</v>
      </c>
      <c r="AL132" s="4">
        <v>0</v>
      </c>
      <c r="AM132" s="4">
        <v>4</v>
      </c>
      <c r="AN132" s="4">
        <v>0</v>
      </c>
      <c r="AO132" s="4">
        <v>0</v>
      </c>
      <c r="AP132" s="3" t="s">
        <v>58</v>
      </c>
      <c r="AQ132" s="3" t="s">
        <v>58</v>
      </c>
      <c r="AS132" s="6" t="str">
        <f>HYPERLINK("https://creighton-primo.hosted.exlibrisgroup.com/primo-explore/search?tab=default_tab&amp;search_scope=EVERYTHING&amp;vid=01CRU&amp;lang=en_US&amp;offset=0&amp;query=any,contains,991004205539702656","Catalog Record")</f>
        <v>Catalog Record</v>
      </c>
      <c r="AT132" s="6" t="str">
        <f>HYPERLINK("http://www.worldcat.org/oclc/2664844","WorldCat Record")</f>
        <v>WorldCat Record</v>
      </c>
      <c r="AU132" s="3" t="s">
        <v>1845</v>
      </c>
      <c r="AV132" s="3" t="s">
        <v>1846</v>
      </c>
      <c r="AW132" s="3" t="s">
        <v>1847</v>
      </c>
      <c r="AX132" s="3" t="s">
        <v>1847</v>
      </c>
      <c r="AY132" s="3" t="s">
        <v>1848</v>
      </c>
      <c r="AZ132" s="3" t="s">
        <v>74</v>
      </c>
      <c r="BB132" s="3" t="s">
        <v>1849</v>
      </c>
      <c r="BC132" s="3" t="s">
        <v>1850</v>
      </c>
      <c r="BD132" s="3" t="s">
        <v>1851</v>
      </c>
    </row>
    <row r="133" spans="1:56" ht="34.5" customHeight="1" x14ac:dyDescent="0.25">
      <c r="A133" s="7" t="s">
        <v>58</v>
      </c>
      <c r="B133" s="2" t="s">
        <v>1852</v>
      </c>
      <c r="C133" s="2" t="s">
        <v>1853</v>
      </c>
      <c r="D133" s="2" t="s">
        <v>1854</v>
      </c>
      <c r="F133" s="3" t="s">
        <v>58</v>
      </c>
      <c r="G133" s="3" t="s">
        <v>59</v>
      </c>
      <c r="H133" s="3" t="s">
        <v>58</v>
      </c>
      <c r="I133" s="3" t="s">
        <v>58</v>
      </c>
      <c r="J133" s="3" t="s">
        <v>60</v>
      </c>
      <c r="K133" s="2" t="s">
        <v>1786</v>
      </c>
      <c r="L133" s="2" t="s">
        <v>1855</v>
      </c>
      <c r="M133" s="3" t="s">
        <v>297</v>
      </c>
      <c r="O133" s="3" t="s">
        <v>64</v>
      </c>
      <c r="P133" s="3" t="s">
        <v>147</v>
      </c>
      <c r="Q133" s="2" t="s">
        <v>1856</v>
      </c>
      <c r="R133" s="3" t="s">
        <v>66</v>
      </c>
      <c r="S133" s="4">
        <v>4</v>
      </c>
      <c r="T133" s="4">
        <v>4</v>
      </c>
      <c r="U133" s="5" t="s">
        <v>1751</v>
      </c>
      <c r="V133" s="5" t="s">
        <v>1751</v>
      </c>
      <c r="W133" s="5" t="s">
        <v>1094</v>
      </c>
      <c r="X133" s="5" t="s">
        <v>1094</v>
      </c>
      <c r="Y133" s="4">
        <v>604</v>
      </c>
      <c r="Z133" s="4">
        <v>531</v>
      </c>
      <c r="AA133" s="4">
        <v>556</v>
      </c>
      <c r="AB133" s="4">
        <v>4</v>
      </c>
      <c r="AC133" s="4">
        <v>4</v>
      </c>
      <c r="AD133" s="4">
        <v>14</v>
      </c>
      <c r="AE133" s="4">
        <v>14</v>
      </c>
      <c r="AF133" s="4">
        <v>4</v>
      </c>
      <c r="AG133" s="4">
        <v>4</v>
      </c>
      <c r="AH133" s="4">
        <v>3</v>
      </c>
      <c r="AI133" s="4">
        <v>3</v>
      </c>
      <c r="AJ133" s="4">
        <v>5</v>
      </c>
      <c r="AK133" s="4">
        <v>5</v>
      </c>
      <c r="AL133" s="4">
        <v>2</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HYPERLINK("https://creighton-primo.hosted.exlibrisgroup.com/primo-explore/search?tab=default_tab&amp;search_scope=EVERYTHING&amp;vid=01CRU&amp;lang=en_US&amp;offset=0&amp;query=any,contains,991002467629702656","Catalog Record")</f>
        <v>Catalog Record</v>
      </c>
      <c r="AT133" s="6" t="str">
        <f>HYPERLINK("http://www.worldcat.org/oclc/357998","WorldCat Record")</f>
        <v>WorldCat Record</v>
      </c>
      <c r="AU133" s="3" t="s">
        <v>1857</v>
      </c>
      <c r="AV133" s="3" t="s">
        <v>1858</v>
      </c>
      <c r="AW133" s="3" t="s">
        <v>1859</v>
      </c>
      <c r="AX133" s="3" t="s">
        <v>1859</v>
      </c>
      <c r="AY133" s="3" t="s">
        <v>1860</v>
      </c>
      <c r="AZ133" s="3" t="s">
        <v>74</v>
      </c>
      <c r="BC133" s="3" t="s">
        <v>1861</v>
      </c>
      <c r="BD133" s="3" t="s">
        <v>1862</v>
      </c>
    </row>
    <row r="134" spans="1:56" ht="34.5" customHeight="1" x14ac:dyDescent="0.25">
      <c r="A134" s="7" t="s">
        <v>58</v>
      </c>
      <c r="B134" s="2" t="s">
        <v>1863</v>
      </c>
      <c r="C134" s="2" t="s">
        <v>1864</v>
      </c>
      <c r="D134" s="2" t="s">
        <v>1865</v>
      </c>
      <c r="F134" s="3" t="s">
        <v>58</v>
      </c>
      <c r="G134" s="3" t="s">
        <v>59</v>
      </c>
      <c r="H134" s="3" t="s">
        <v>58</v>
      </c>
      <c r="I134" s="3" t="s">
        <v>58</v>
      </c>
      <c r="J134" s="3" t="s">
        <v>60</v>
      </c>
      <c r="K134" s="2" t="s">
        <v>1841</v>
      </c>
      <c r="L134" s="2" t="s">
        <v>1866</v>
      </c>
      <c r="M134" s="3" t="s">
        <v>1288</v>
      </c>
      <c r="O134" s="3" t="s">
        <v>64</v>
      </c>
      <c r="P134" s="3" t="s">
        <v>177</v>
      </c>
      <c r="R134" s="3" t="s">
        <v>66</v>
      </c>
      <c r="S134" s="4">
        <v>1</v>
      </c>
      <c r="T134" s="4">
        <v>1</v>
      </c>
      <c r="U134" s="5" t="s">
        <v>1867</v>
      </c>
      <c r="V134" s="5" t="s">
        <v>1867</v>
      </c>
      <c r="W134" s="5" t="s">
        <v>1867</v>
      </c>
      <c r="X134" s="5" t="s">
        <v>1867</v>
      </c>
      <c r="Y134" s="4">
        <v>615</v>
      </c>
      <c r="Z134" s="4">
        <v>494</v>
      </c>
      <c r="AA134" s="4">
        <v>494</v>
      </c>
      <c r="AB134" s="4">
        <v>3</v>
      </c>
      <c r="AC134" s="4">
        <v>3</v>
      </c>
      <c r="AD134" s="4">
        <v>21</v>
      </c>
      <c r="AE134" s="4">
        <v>21</v>
      </c>
      <c r="AF134" s="4">
        <v>7</v>
      </c>
      <c r="AG134" s="4">
        <v>7</v>
      </c>
      <c r="AH134" s="4">
        <v>6</v>
      </c>
      <c r="AI134" s="4">
        <v>6</v>
      </c>
      <c r="AJ134" s="4">
        <v>10</v>
      </c>
      <c r="AK134" s="4">
        <v>10</v>
      </c>
      <c r="AL134" s="4">
        <v>2</v>
      </c>
      <c r="AM134" s="4">
        <v>2</v>
      </c>
      <c r="AN134" s="4">
        <v>0</v>
      </c>
      <c r="AO134" s="4">
        <v>0</v>
      </c>
      <c r="AP134" s="3" t="s">
        <v>58</v>
      </c>
      <c r="AQ134" s="3" t="s">
        <v>58</v>
      </c>
      <c r="AS134" s="6" t="str">
        <f>HYPERLINK("https://creighton-primo.hosted.exlibrisgroup.com/primo-explore/search?tab=default_tab&amp;search_scope=EVERYTHING&amp;vid=01CRU&amp;lang=en_US&amp;offset=0&amp;query=any,contains,991004986989702656","Catalog Record")</f>
        <v>Catalog Record</v>
      </c>
      <c r="AT134" s="6" t="str">
        <f>HYPERLINK("http://www.worldcat.org/oclc/17732671","WorldCat Record")</f>
        <v>WorldCat Record</v>
      </c>
      <c r="AU134" s="3" t="s">
        <v>1868</v>
      </c>
      <c r="AV134" s="3" t="s">
        <v>1869</v>
      </c>
      <c r="AW134" s="3" t="s">
        <v>1870</v>
      </c>
      <c r="AX134" s="3" t="s">
        <v>1870</v>
      </c>
      <c r="AY134" s="3" t="s">
        <v>1871</v>
      </c>
      <c r="AZ134" s="3" t="s">
        <v>74</v>
      </c>
      <c r="BB134" s="3" t="s">
        <v>1872</v>
      </c>
      <c r="BC134" s="3" t="s">
        <v>1873</v>
      </c>
      <c r="BD134" s="3" t="s">
        <v>1874</v>
      </c>
    </row>
    <row r="135" spans="1:56" ht="34.5" customHeight="1" x14ac:dyDescent="0.25">
      <c r="A135" s="7" t="s">
        <v>58</v>
      </c>
      <c r="B135" s="2" t="s">
        <v>1875</v>
      </c>
      <c r="C135" s="2" t="s">
        <v>1876</v>
      </c>
      <c r="D135" s="2" t="s">
        <v>1877</v>
      </c>
      <c r="F135" s="3" t="s">
        <v>58</v>
      </c>
      <c r="G135" s="3" t="s">
        <v>59</v>
      </c>
      <c r="H135" s="3" t="s">
        <v>58</v>
      </c>
      <c r="I135" s="3" t="s">
        <v>58</v>
      </c>
      <c r="J135" s="3" t="s">
        <v>60</v>
      </c>
      <c r="K135" s="2" t="s">
        <v>1878</v>
      </c>
      <c r="L135" s="2" t="s">
        <v>1879</v>
      </c>
      <c r="M135" s="3" t="s">
        <v>1813</v>
      </c>
      <c r="O135" s="3" t="s">
        <v>64</v>
      </c>
      <c r="P135" s="3" t="s">
        <v>670</v>
      </c>
      <c r="R135" s="3" t="s">
        <v>66</v>
      </c>
      <c r="S135" s="4">
        <v>4</v>
      </c>
      <c r="T135" s="4">
        <v>4</v>
      </c>
      <c r="U135" s="5" t="s">
        <v>1880</v>
      </c>
      <c r="V135" s="5" t="s">
        <v>1880</v>
      </c>
      <c r="W135" s="5" t="s">
        <v>497</v>
      </c>
      <c r="X135" s="5" t="s">
        <v>497</v>
      </c>
      <c r="Y135" s="4">
        <v>151</v>
      </c>
      <c r="Z135" s="4">
        <v>145</v>
      </c>
      <c r="AA135" s="4">
        <v>532</v>
      </c>
      <c r="AB135" s="4">
        <v>2</v>
      </c>
      <c r="AC135" s="4">
        <v>5</v>
      </c>
      <c r="AD135" s="4">
        <v>5</v>
      </c>
      <c r="AE135" s="4">
        <v>21</v>
      </c>
      <c r="AF135" s="4">
        <v>1</v>
      </c>
      <c r="AG135" s="4">
        <v>6</v>
      </c>
      <c r="AH135" s="4">
        <v>0</v>
      </c>
      <c r="AI135" s="4">
        <v>4</v>
      </c>
      <c r="AJ135" s="4">
        <v>3</v>
      </c>
      <c r="AK135" s="4">
        <v>9</v>
      </c>
      <c r="AL135" s="4">
        <v>1</v>
      </c>
      <c r="AM135" s="4">
        <v>4</v>
      </c>
      <c r="AN135" s="4">
        <v>0</v>
      </c>
      <c r="AO135" s="4">
        <v>0</v>
      </c>
      <c r="AP135" s="3" t="s">
        <v>58</v>
      </c>
      <c r="AQ135" s="3" t="s">
        <v>58</v>
      </c>
      <c r="AS135" s="6" t="str">
        <f>HYPERLINK("https://creighton-primo.hosted.exlibrisgroup.com/primo-explore/search?tab=default_tab&amp;search_scope=EVERYTHING&amp;vid=01CRU&amp;lang=en_US&amp;offset=0&amp;query=any,contains,991003679579702656","Catalog Record")</f>
        <v>Catalog Record</v>
      </c>
      <c r="AT135" s="6" t="str">
        <f>HYPERLINK("http://www.worldcat.org/oclc/1304107","WorldCat Record")</f>
        <v>WorldCat Record</v>
      </c>
      <c r="AU135" s="3" t="s">
        <v>1881</v>
      </c>
      <c r="AV135" s="3" t="s">
        <v>1882</v>
      </c>
      <c r="AW135" s="3" t="s">
        <v>1883</v>
      </c>
      <c r="AX135" s="3" t="s">
        <v>1883</v>
      </c>
      <c r="AY135" s="3" t="s">
        <v>1884</v>
      </c>
      <c r="AZ135" s="3" t="s">
        <v>74</v>
      </c>
      <c r="BC135" s="3" t="s">
        <v>1885</v>
      </c>
      <c r="BD135" s="3" t="s">
        <v>1886</v>
      </c>
    </row>
    <row r="136" spans="1:56" ht="34.5" customHeight="1" x14ac:dyDescent="0.25">
      <c r="A136" s="7" t="s">
        <v>58</v>
      </c>
      <c r="B136" s="2" t="s">
        <v>1887</v>
      </c>
      <c r="C136" s="2" t="s">
        <v>1888</v>
      </c>
      <c r="D136" s="2" t="s">
        <v>1889</v>
      </c>
      <c r="F136" s="3" t="s">
        <v>58</v>
      </c>
      <c r="G136" s="3" t="s">
        <v>59</v>
      </c>
      <c r="H136" s="3" t="s">
        <v>58</v>
      </c>
      <c r="I136" s="3" t="s">
        <v>58</v>
      </c>
      <c r="J136" s="3" t="s">
        <v>60</v>
      </c>
      <c r="L136" s="2" t="s">
        <v>1890</v>
      </c>
      <c r="M136" s="3" t="s">
        <v>1891</v>
      </c>
      <c r="O136" s="3" t="s">
        <v>64</v>
      </c>
      <c r="P136" s="3" t="s">
        <v>84</v>
      </c>
      <c r="Q136" s="2" t="s">
        <v>1892</v>
      </c>
      <c r="R136" s="3" t="s">
        <v>66</v>
      </c>
      <c r="S136" s="4">
        <v>2</v>
      </c>
      <c r="T136" s="4">
        <v>2</v>
      </c>
      <c r="U136" s="5" t="s">
        <v>1893</v>
      </c>
      <c r="V136" s="5" t="s">
        <v>1893</v>
      </c>
      <c r="W136" s="5" t="s">
        <v>1894</v>
      </c>
      <c r="X136" s="5" t="s">
        <v>1894</v>
      </c>
      <c r="Y136" s="4">
        <v>254</v>
      </c>
      <c r="Z136" s="4">
        <v>178</v>
      </c>
      <c r="AA136" s="4">
        <v>178</v>
      </c>
      <c r="AB136" s="4">
        <v>2</v>
      </c>
      <c r="AC136" s="4">
        <v>2</v>
      </c>
      <c r="AD136" s="4">
        <v>10</v>
      </c>
      <c r="AE136" s="4">
        <v>10</v>
      </c>
      <c r="AF136" s="4">
        <v>2</v>
      </c>
      <c r="AG136" s="4">
        <v>2</v>
      </c>
      <c r="AH136" s="4">
        <v>4</v>
      </c>
      <c r="AI136" s="4">
        <v>4</v>
      </c>
      <c r="AJ136" s="4">
        <v>6</v>
      </c>
      <c r="AK136" s="4">
        <v>6</v>
      </c>
      <c r="AL136" s="4">
        <v>1</v>
      </c>
      <c r="AM136" s="4">
        <v>1</v>
      </c>
      <c r="AN136" s="4">
        <v>0</v>
      </c>
      <c r="AO136" s="4">
        <v>0</v>
      </c>
      <c r="AP136" s="3" t="s">
        <v>58</v>
      </c>
      <c r="AQ136" s="3" t="s">
        <v>58</v>
      </c>
      <c r="AS136" s="6" t="str">
        <f>HYPERLINK("https://creighton-primo.hosted.exlibrisgroup.com/primo-explore/search?tab=default_tab&amp;search_scope=EVERYTHING&amp;vid=01CRU&amp;lang=en_US&amp;offset=0&amp;query=any,contains,991003865539702656","Catalog Record")</f>
        <v>Catalog Record</v>
      </c>
      <c r="AT136" s="6" t="str">
        <f>HYPERLINK("http://www.worldcat.org/oclc/49413255","WorldCat Record")</f>
        <v>WorldCat Record</v>
      </c>
      <c r="AU136" s="3" t="s">
        <v>1895</v>
      </c>
      <c r="AV136" s="3" t="s">
        <v>1896</v>
      </c>
      <c r="AW136" s="3" t="s">
        <v>1897</v>
      </c>
      <c r="AX136" s="3" t="s">
        <v>1897</v>
      </c>
      <c r="AY136" s="3" t="s">
        <v>1898</v>
      </c>
      <c r="AZ136" s="3" t="s">
        <v>74</v>
      </c>
      <c r="BB136" s="3" t="s">
        <v>1899</v>
      </c>
      <c r="BC136" s="3" t="s">
        <v>1900</v>
      </c>
      <c r="BD136" s="3" t="s">
        <v>1901</v>
      </c>
    </row>
    <row r="137" spans="1:56" ht="34.5" customHeight="1" x14ac:dyDescent="0.25">
      <c r="A137" s="7" t="s">
        <v>58</v>
      </c>
      <c r="B137" s="2" t="s">
        <v>1902</v>
      </c>
      <c r="C137" s="2" t="s">
        <v>1903</v>
      </c>
      <c r="D137" s="2" t="s">
        <v>1904</v>
      </c>
      <c r="F137" s="3" t="s">
        <v>58</v>
      </c>
      <c r="G137" s="3" t="s">
        <v>59</v>
      </c>
      <c r="H137" s="3" t="s">
        <v>58</v>
      </c>
      <c r="I137" s="3" t="s">
        <v>58</v>
      </c>
      <c r="J137" s="3" t="s">
        <v>60</v>
      </c>
      <c r="K137" s="2" t="s">
        <v>1905</v>
      </c>
      <c r="L137" s="2" t="s">
        <v>1906</v>
      </c>
      <c r="M137" s="3" t="s">
        <v>579</v>
      </c>
      <c r="O137" s="3" t="s">
        <v>64</v>
      </c>
      <c r="P137" s="3" t="s">
        <v>147</v>
      </c>
      <c r="R137" s="3" t="s">
        <v>66</v>
      </c>
      <c r="S137" s="4">
        <v>6</v>
      </c>
      <c r="T137" s="4">
        <v>6</v>
      </c>
      <c r="U137" s="5" t="s">
        <v>1843</v>
      </c>
      <c r="V137" s="5" t="s">
        <v>1843</v>
      </c>
      <c r="W137" s="5" t="s">
        <v>1907</v>
      </c>
      <c r="X137" s="5" t="s">
        <v>1907</v>
      </c>
      <c r="Y137" s="4">
        <v>631</v>
      </c>
      <c r="Z137" s="4">
        <v>580</v>
      </c>
      <c r="AA137" s="4">
        <v>681</v>
      </c>
      <c r="AB137" s="4">
        <v>5</v>
      </c>
      <c r="AC137" s="4">
        <v>5</v>
      </c>
      <c r="AD137" s="4">
        <v>25</v>
      </c>
      <c r="AE137" s="4">
        <v>29</v>
      </c>
      <c r="AF137" s="4">
        <v>9</v>
      </c>
      <c r="AG137" s="4">
        <v>10</v>
      </c>
      <c r="AH137" s="4">
        <v>8</v>
      </c>
      <c r="AI137" s="4">
        <v>8</v>
      </c>
      <c r="AJ137" s="4">
        <v>11</v>
      </c>
      <c r="AK137" s="4">
        <v>15</v>
      </c>
      <c r="AL137" s="4">
        <v>3</v>
      </c>
      <c r="AM137" s="4">
        <v>3</v>
      </c>
      <c r="AN137" s="4">
        <v>0</v>
      </c>
      <c r="AO137" s="4">
        <v>0</v>
      </c>
      <c r="AP137" s="3" t="s">
        <v>58</v>
      </c>
      <c r="AQ137" s="3" t="s">
        <v>69</v>
      </c>
      <c r="AR137" s="6" t="str">
        <f>HYPERLINK("http://catalog.hathitrust.org/Record/009912831","HathiTrust Record")</f>
        <v>HathiTrust Record</v>
      </c>
      <c r="AS137" s="6" t="str">
        <f>HYPERLINK("https://creighton-primo.hosted.exlibrisgroup.com/primo-explore/search?tab=default_tab&amp;search_scope=EVERYTHING&amp;vid=01CRU&amp;lang=en_US&amp;offset=0&amp;query=any,contains,991002168499702656","Catalog Record")</f>
        <v>Catalog Record</v>
      </c>
      <c r="AT137" s="6" t="str">
        <f>HYPERLINK("http://www.worldcat.org/oclc/276137","WorldCat Record")</f>
        <v>WorldCat Record</v>
      </c>
      <c r="AU137" s="3" t="s">
        <v>1908</v>
      </c>
      <c r="AV137" s="3" t="s">
        <v>1909</v>
      </c>
      <c r="AW137" s="3" t="s">
        <v>1910</v>
      </c>
      <c r="AX137" s="3" t="s">
        <v>1910</v>
      </c>
      <c r="AY137" s="3" t="s">
        <v>1911</v>
      </c>
      <c r="AZ137" s="3" t="s">
        <v>74</v>
      </c>
      <c r="BC137" s="3" t="s">
        <v>1912</v>
      </c>
      <c r="BD137" s="3" t="s">
        <v>1913</v>
      </c>
    </row>
    <row r="138" spans="1:56" ht="34.5" customHeight="1" x14ac:dyDescent="0.25">
      <c r="A138" s="7" t="s">
        <v>58</v>
      </c>
      <c r="B138" s="2" t="s">
        <v>1914</v>
      </c>
      <c r="C138" s="2" t="s">
        <v>1915</v>
      </c>
      <c r="D138" s="2" t="s">
        <v>1916</v>
      </c>
      <c r="F138" s="3" t="s">
        <v>58</v>
      </c>
      <c r="G138" s="3" t="s">
        <v>59</v>
      </c>
      <c r="H138" s="3" t="s">
        <v>58</v>
      </c>
      <c r="I138" s="3" t="s">
        <v>58</v>
      </c>
      <c r="J138" s="3" t="s">
        <v>60</v>
      </c>
      <c r="K138" s="2" t="s">
        <v>1917</v>
      </c>
      <c r="L138" s="2" t="s">
        <v>1918</v>
      </c>
      <c r="M138" s="3" t="s">
        <v>297</v>
      </c>
      <c r="O138" s="3" t="s">
        <v>64</v>
      </c>
      <c r="P138" s="3" t="s">
        <v>65</v>
      </c>
      <c r="Q138" s="2" t="s">
        <v>1919</v>
      </c>
      <c r="R138" s="3" t="s">
        <v>66</v>
      </c>
      <c r="S138" s="4">
        <v>2</v>
      </c>
      <c r="T138" s="4">
        <v>2</v>
      </c>
      <c r="U138" s="5" t="s">
        <v>1920</v>
      </c>
      <c r="V138" s="5" t="s">
        <v>1920</v>
      </c>
      <c r="W138" s="5" t="s">
        <v>1921</v>
      </c>
      <c r="X138" s="5" t="s">
        <v>1921</v>
      </c>
      <c r="Y138" s="4">
        <v>261</v>
      </c>
      <c r="Z138" s="4">
        <v>250</v>
      </c>
      <c r="AA138" s="4">
        <v>307</v>
      </c>
      <c r="AB138" s="4">
        <v>2</v>
      </c>
      <c r="AC138" s="4">
        <v>2</v>
      </c>
      <c r="AD138" s="4">
        <v>9</v>
      </c>
      <c r="AE138" s="4">
        <v>12</v>
      </c>
      <c r="AF138" s="4">
        <v>3</v>
      </c>
      <c r="AG138" s="4">
        <v>6</v>
      </c>
      <c r="AH138" s="4">
        <v>3</v>
      </c>
      <c r="AI138" s="4">
        <v>3</v>
      </c>
      <c r="AJ138" s="4">
        <v>4</v>
      </c>
      <c r="AK138" s="4">
        <v>4</v>
      </c>
      <c r="AL138" s="4">
        <v>1</v>
      </c>
      <c r="AM138" s="4">
        <v>1</v>
      </c>
      <c r="AN138" s="4">
        <v>0</v>
      </c>
      <c r="AO138" s="4">
        <v>0</v>
      </c>
      <c r="AP138" s="3" t="s">
        <v>58</v>
      </c>
      <c r="AQ138" s="3" t="s">
        <v>69</v>
      </c>
      <c r="AR138" s="6" t="str">
        <f>HYPERLINK("http://catalog.hathitrust.org/Record/000410051","HathiTrust Record")</f>
        <v>HathiTrust Record</v>
      </c>
      <c r="AS138" s="6" t="str">
        <f>HYPERLINK("https://creighton-primo.hosted.exlibrisgroup.com/primo-explore/search?tab=default_tab&amp;search_scope=EVERYTHING&amp;vid=01CRU&amp;lang=en_US&amp;offset=0&amp;query=any,contains,991002873489702656","Catalog Record")</f>
        <v>Catalog Record</v>
      </c>
      <c r="AT138" s="6" t="str">
        <f>HYPERLINK("http://www.worldcat.org/oclc/501201","WorldCat Record")</f>
        <v>WorldCat Record</v>
      </c>
      <c r="AU138" s="3" t="s">
        <v>1922</v>
      </c>
      <c r="AV138" s="3" t="s">
        <v>1923</v>
      </c>
      <c r="AW138" s="3" t="s">
        <v>1924</v>
      </c>
      <c r="AX138" s="3" t="s">
        <v>1924</v>
      </c>
      <c r="AY138" s="3" t="s">
        <v>1925</v>
      </c>
      <c r="AZ138" s="3" t="s">
        <v>74</v>
      </c>
      <c r="BC138" s="3" t="s">
        <v>1926</v>
      </c>
      <c r="BD138" s="3" t="s">
        <v>1927</v>
      </c>
    </row>
    <row r="139" spans="1:56" ht="34.5" customHeight="1" x14ac:dyDescent="0.25">
      <c r="A139" s="7" t="s">
        <v>58</v>
      </c>
      <c r="B139" s="2" t="s">
        <v>1928</v>
      </c>
      <c r="C139" s="2" t="s">
        <v>1929</v>
      </c>
      <c r="D139" s="2" t="s">
        <v>1930</v>
      </c>
      <c r="F139" s="3" t="s">
        <v>58</v>
      </c>
      <c r="G139" s="3" t="s">
        <v>59</v>
      </c>
      <c r="H139" s="3" t="s">
        <v>58</v>
      </c>
      <c r="I139" s="3" t="s">
        <v>58</v>
      </c>
      <c r="J139" s="3" t="s">
        <v>60</v>
      </c>
      <c r="K139" s="2" t="s">
        <v>1931</v>
      </c>
      <c r="L139" s="2" t="s">
        <v>1932</v>
      </c>
      <c r="M139" s="3" t="s">
        <v>1303</v>
      </c>
      <c r="O139" s="3" t="s">
        <v>64</v>
      </c>
      <c r="P139" s="3" t="s">
        <v>65</v>
      </c>
      <c r="Q139" s="2" t="s">
        <v>1933</v>
      </c>
      <c r="R139" s="3" t="s">
        <v>66</v>
      </c>
      <c r="S139" s="4">
        <v>1</v>
      </c>
      <c r="T139" s="4">
        <v>1</v>
      </c>
      <c r="U139" s="5" t="s">
        <v>1934</v>
      </c>
      <c r="V139" s="5" t="s">
        <v>1934</v>
      </c>
      <c r="W139" s="5" t="s">
        <v>1935</v>
      </c>
      <c r="X139" s="5" t="s">
        <v>1935</v>
      </c>
      <c r="Y139" s="4">
        <v>168</v>
      </c>
      <c r="Z139" s="4">
        <v>136</v>
      </c>
      <c r="AA139" s="4">
        <v>221</v>
      </c>
      <c r="AB139" s="4">
        <v>1</v>
      </c>
      <c r="AC139" s="4">
        <v>2</v>
      </c>
      <c r="AD139" s="4">
        <v>1</v>
      </c>
      <c r="AE139" s="4">
        <v>3</v>
      </c>
      <c r="AF139" s="4">
        <v>1</v>
      </c>
      <c r="AG139" s="4">
        <v>2</v>
      </c>
      <c r="AH139" s="4">
        <v>0</v>
      </c>
      <c r="AI139" s="4">
        <v>1</v>
      </c>
      <c r="AJ139" s="4">
        <v>0</v>
      </c>
      <c r="AK139" s="4">
        <v>0</v>
      </c>
      <c r="AL139" s="4">
        <v>0</v>
      </c>
      <c r="AM139" s="4">
        <v>1</v>
      </c>
      <c r="AN139" s="4">
        <v>0</v>
      </c>
      <c r="AO139" s="4">
        <v>0</v>
      </c>
      <c r="AP139" s="3" t="s">
        <v>58</v>
      </c>
      <c r="AQ139" s="3" t="s">
        <v>69</v>
      </c>
      <c r="AR139" s="6" t="str">
        <f>HYPERLINK("http://catalog.hathitrust.org/Record/008509672","HathiTrust Record")</f>
        <v>HathiTrust Record</v>
      </c>
      <c r="AS139" s="6" t="str">
        <f>HYPERLINK("https://creighton-primo.hosted.exlibrisgroup.com/primo-explore/search?tab=default_tab&amp;search_scope=EVERYTHING&amp;vid=01CRU&amp;lang=en_US&amp;offset=0&amp;query=any,contains,991002016859702656","Catalog Record")</f>
        <v>Catalog Record</v>
      </c>
      <c r="AT139" s="6" t="str">
        <f>HYPERLINK("http://www.worldcat.org/oclc/25632713","WorldCat Record")</f>
        <v>WorldCat Record</v>
      </c>
      <c r="AU139" s="3" t="s">
        <v>1936</v>
      </c>
      <c r="AV139" s="3" t="s">
        <v>1937</v>
      </c>
      <c r="AW139" s="3" t="s">
        <v>1938</v>
      </c>
      <c r="AX139" s="3" t="s">
        <v>1938</v>
      </c>
      <c r="AY139" s="3" t="s">
        <v>1939</v>
      </c>
      <c r="AZ139" s="3" t="s">
        <v>74</v>
      </c>
      <c r="BB139" s="3" t="s">
        <v>1940</v>
      </c>
      <c r="BC139" s="3" t="s">
        <v>1941</v>
      </c>
      <c r="BD139" s="3" t="s">
        <v>1942</v>
      </c>
    </row>
    <row r="140" spans="1:56" ht="34.5" customHeight="1" x14ac:dyDescent="0.25">
      <c r="A140" s="7" t="s">
        <v>58</v>
      </c>
      <c r="B140" s="2" t="s">
        <v>1943</v>
      </c>
      <c r="C140" s="2" t="s">
        <v>1944</v>
      </c>
      <c r="D140" s="2" t="s">
        <v>1945</v>
      </c>
      <c r="F140" s="3" t="s">
        <v>58</v>
      </c>
      <c r="G140" s="3" t="s">
        <v>59</v>
      </c>
      <c r="H140" s="3" t="s">
        <v>58</v>
      </c>
      <c r="I140" s="3" t="s">
        <v>58</v>
      </c>
      <c r="J140" s="3" t="s">
        <v>60</v>
      </c>
      <c r="K140" s="2" t="s">
        <v>1946</v>
      </c>
      <c r="L140" s="2" t="s">
        <v>1947</v>
      </c>
      <c r="M140" s="3" t="s">
        <v>1374</v>
      </c>
      <c r="O140" s="3" t="s">
        <v>64</v>
      </c>
      <c r="P140" s="3" t="s">
        <v>84</v>
      </c>
      <c r="Q140" s="2" t="s">
        <v>1948</v>
      </c>
      <c r="R140" s="3" t="s">
        <v>66</v>
      </c>
      <c r="S140" s="4">
        <v>6</v>
      </c>
      <c r="T140" s="4">
        <v>6</v>
      </c>
      <c r="U140" s="5" t="s">
        <v>1949</v>
      </c>
      <c r="V140" s="5" t="s">
        <v>1949</v>
      </c>
      <c r="W140" s="5" t="s">
        <v>1950</v>
      </c>
      <c r="X140" s="5" t="s">
        <v>1950</v>
      </c>
      <c r="Y140" s="4">
        <v>77</v>
      </c>
      <c r="Z140" s="4">
        <v>72</v>
      </c>
      <c r="AA140" s="4">
        <v>1094</v>
      </c>
      <c r="AB140" s="4">
        <v>2</v>
      </c>
      <c r="AC140" s="4">
        <v>5</v>
      </c>
      <c r="AD140" s="4">
        <v>6</v>
      </c>
      <c r="AE140" s="4">
        <v>38</v>
      </c>
      <c r="AF140" s="4">
        <v>2</v>
      </c>
      <c r="AG140" s="4">
        <v>16</v>
      </c>
      <c r="AH140" s="4">
        <v>1</v>
      </c>
      <c r="AI140" s="4">
        <v>10</v>
      </c>
      <c r="AJ140" s="4">
        <v>4</v>
      </c>
      <c r="AK140" s="4">
        <v>20</v>
      </c>
      <c r="AL140" s="4">
        <v>1</v>
      </c>
      <c r="AM140" s="4">
        <v>2</v>
      </c>
      <c r="AN140" s="4">
        <v>0</v>
      </c>
      <c r="AO140" s="4">
        <v>0</v>
      </c>
      <c r="AP140" s="3" t="s">
        <v>58</v>
      </c>
      <c r="AQ140" s="3" t="s">
        <v>58</v>
      </c>
      <c r="AS140" s="6" t="str">
        <f>HYPERLINK("https://creighton-primo.hosted.exlibrisgroup.com/primo-explore/search?tab=default_tab&amp;search_scope=EVERYTHING&amp;vid=01CRU&amp;lang=en_US&amp;offset=0&amp;query=any,contains,991005170709702656","Catalog Record")</f>
        <v>Catalog Record</v>
      </c>
      <c r="AT140" s="6" t="str">
        <f>HYPERLINK("http://www.worldcat.org/oclc/7865300","WorldCat Record")</f>
        <v>WorldCat Record</v>
      </c>
      <c r="AU140" s="3" t="s">
        <v>1951</v>
      </c>
      <c r="AV140" s="3" t="s">
        <v>1952</v>
      </c>
      <c r="AW140" s="3" t="s">
        <v>1953</v>
      </c>
      <c r="AX140" s="3" t="s">
        <v>1953</v>
      </c>
      <c r="AY140" s="3" t="s">
        <v>1954</v>
      </c>
      <c r="AZ140" s="3" t="s">
        <v>74</v>
      </c>
      <c r="BC140" s="3" t="s">
        <v>1955</v>
      </c>
      <c r="BD140" s="3" t="s">
        <v>1956</v>
      </c>
    </row>
    <row r="141" spans="1:56" ht="34.5" customHeight="1" x14ac:dyDescent="0.25">
      <c r="A141" s="7" t="s">
        <v>58</v>
      </c>
      <c r="B141" s="2" t="s">
        <v>1957</v>
      </c>
      <c r="C141" s="2" t="s">
        <v>1958</v>
      </c>
      <c r="D141" s="2" t="s">
        <v>1959</v>
      </c>
      <c r="F141" s="3" t="s">
        <v>58</v>
      </c>
      <c r="G141" s="3" t="s">
        <v>59</v>
      </c>
      <c r="H141" s="3" t="s">
        <v>58</v>
      </c>
      <c r="I141" s="3" t="s">
        <v>58</v>
      </c>
      <c r="J141" s="3" t="s">
        <v>60</v>
      </c>
      <c r="K141" s="2" t="s">
        <v>1960</v>
      </c>
      <c r="L141" s="2" t="s">
        <v>1961</v>
      </c>
      <c r="M141" s="3" t="s">
        <v>1962</v>
      </c>
      <c r="O141" s="3" t="s">
        <v>64</v>
      </c>
      <c r="P141" s="3" t="s">
        <v>670</v>
      </c>
      <c r="R141" s="3" t="s">
        <v>66</v>
      </c>
      <c r="S141" s="4">
        <v>3</v>
      </c>
      <c r="T141" s="4">
        <v>3</v>
      </c>
      <c r="U141" s="5" t="s">
        <v>1963</v>
      </c>
      <c r="V141" s="5" t="s">
        <v>1963</v>
      </c>
      <c r="W141" s="5" t="s">
        <v>1964</v>
      </c>
      <c r="X141" s="5" t="s">
        <v>1964</v>
      </c>
      <c r="Y141" s="4">
        <v>49</v>
      </c>
      <c r="Z141" s="4">
        <v>49</v>
      </c>
      <c r="AA141" s="4">
        <v>51</v>
      </c>
      <c r="AB141" s="4">
        <v>20</v>
      </c>
      <c r="AC141" s="4">
        <v>20</v>
      </c>
      <c r="AD141" s="4">
        <v>7</v>
      </c>
      <c r="AE141" s="4">
        <v>7</v>
      </c>
      <c r="AF141" s="4">
        <v>0</v>
      </c>
      <c r="AG141" s="4">
        <v>0</v>
      </c>
      <c r="AH141" s="4">
        <v>0</v>
      </c>
      <c r="AI141" s="4">
        <v>0</v>
      </c>
      <c r="AJ141" s="4">
        <v>0</v>
      </c>
      <c r="AK141" s="4">
        <v>0</v>
      </c>
      <c r="AL141" s="4">
        <v>7</v>
      </c>
      <c r="AM141" s="4">
        <v>7</v>
      </c>
      <c r="AN141" s="4">
        <v>0</v>
      </c>
      <c r="AO141" s="4">
        <v>0</v>
      </c>
      <c r="AP141" s="3" t="s">
        <v>69</v>
      </c>
      <c r="AQ141" s="3" t="s">
        <v>58</v>
      </c>
      <c r="AR141" s="6" t="str">
        <f>HYPERLINK("http://catalog.hathitrust.org/Record/102451958","HathiTrust Record")</f>
        <v>HathiTrust Record</v>
      </c>
      <c r="AS141" s="6" t="str">
        <f>HYPERLINK("https://creighton-primo.hosted.exlibrisgroup.com/primo-explore/search?tab=default_tab&amp;search_scope=EVERYTHING&amp;vid=01CRU&amp;lang=en_US&amp;offset=0&amp;query=any,contains,991004405019702656","Catalog Record")</f>
        <v>Catalog Record</v>
      </c>
      <c r="AT141" s="6" t="str">
        <f>HYPERLINK("http://www.worldcat.org/oclc/3317187","WorldCat Record")</f>
        <v>WorldCat Record</v>
      </c>
      <c r="AU141" s="3" t="s">
        <v>1965</v>
      </c>
      <c r="AV141" s="3" t="s">
        <v>1966</v>
      </c>
      <c r="AW141" s="3" t="s">
        <v>1967</v>
      </c>
      <c r="AX141" s="3" t="s">
        <v>1967</v>
      </c>
      <c r="AY141" s="3" t="s">
        <v>1968</v>
      </c>
      <c r="AZ141" s="3" t="s">
        <v>74</v>
      </c>
      <c r="BC141" s="3" t="s">
        <v>1969</v>
      </c>
      <c r="BD141" s="3" t="s">
        <v>1970</v>
      </c>
    </row>
    <row r="142" spans="1:56" ht="34.5" customHeight="1" x14ac:dyDescent="0.25">
      <c r="A142" s="7" t="s">
        <v>58</v>
      </c>
      <c r="B142" s="2" t="s">
        <v>1971</v>
      </c>
      <c r="C142" s="2" t="s">
        <v>1972</v>
      </c>
      <c r="D142" s="2" t="s">
        <v>1973</v>
      </c>
      <c r="F142" s="3" t="s">
        <v>58</v>
      </c>
      <c r="G142" s="3" t="s">
        <v>59</v>
      </c>
      <c r="H142" s="3" t="s">
        <v>58</v>
      </c>
      <c r="I142" s="3" t="s">
        <v>58</v>
      </c>
      <c r="J142" s="3" t="s">
        <v>60</v>
      </c>
      <c r="L142" s="2" t="s">
        <v>1974</v>
      </c>
      <c r="M142" s="3" t="s">
        <v>739</v>
      </c>
      <c r="O142" s="3" t="s">
        <v>64</v>
      </c>
      <c r="P142" s="3" t="s">
        <v>1975</v>
      </c>
      <c r="R142" s="3" t="s">
        <v>66</v>
      </c>
      <c r="S142" s="4">
        <v>9</v>
      </c>
      <c r="T142" s="4">
        <v>9</v>
      </c>
      <c r="U142" s="5" t="s">
        <v>1963</v>
      </c>
      <c r="V142" s="5" t="s">
        <v>1963</v>
      </c>
      <c r="W142" s="5" t="s">
        <v>1976</v>
      </c>
      <c r="X142" s="5" t="s">
        <v>1976</v>
      </c>
      <c r="Y142" s="4">
        <v>235</v>
      </c>
      <c r="Z142" s="4">
        <v>212</v>
      </c>
      <c r="AA142" s="4">
        <v>218</v>
      </c>
      <c r="AB142" s="4">
        <v>48</v>
      </c>
      <c r="AC142" s="4">
        <v>49</v>
      </c>
      <c r="AD142" s="4">
        <v>19</v>
      </c>
      <c r="AE142" s="4">
        <v>19</v>
      </c>
      <c r="AF142" s="4">
        <v>2</v>
      </c>
      <c r="AG142" s="4">
        <v>2</v>
      </c>
      <c r="AH142" s="4">
        <v>2</v>
      </c>
      <c r="AI142" s="4">
        <v>2</v>
      </c>
      <c r="AJ142" s="4">
        <v>1</v>
      </c>
      <c r="AK142" s="4">
        <v>1</v>
      </c>
      <c r="AL142" s="4">
        <v>15</v>
      </c>
      <c r="AM142" s="4">
        <v>15</v>
      </c>
      <c r="AN142" s="4">
        <v>0</v>
      </c>
      <c r="AO142" s="4">
        <v>0</v>
      </c>
      <c r="AP142" s="3" t="s">
        <v>58</v>
      </c>
      <c r="AQ142" s="3" t="s">
        <v>69</v>
      </c>
      <c r="AR142" s="6" t="str">
        <f>HYPERLINK("http://catalog.hathitrust.org/Record/002232598","HathiTrust Record")</f>
        <v>HathiTrust Record</v>
      </c>
      <c r="AS142" s="6" t="str">
        <f>HYPERLINK("https://creighton-primo.hosted.exlibrisgroup.com/primo-explore/search?tab=default_tab&amp;search_scope=EVERYTHING&amp;vid=01CRU&amp;lang=en_US&amp;offset=0&amp;query=any,contains,991001450059702656","Catalog Record")</f>
        <v>Catalog Record</v>
      </c>
      <c r="AT142" s="6" t="str">
        <f>HYPERLINK("http://www.worldcat.org/oclc/19323830","WorldCat Record")</f>
        <v>WorldCat Record</v>
      </c>
      <c r="AU142" s="3" t="s">
        <v>1977</v>
      </c>
      <c r="AV142" s="3" t="s">
        <v>1978</v>
      </c>
      <c r="AW142" s="3" t="s">
        <v>1979</v>
      </c>
      <c r="AX142" s="3" t="s">
        <v>1979</v>
      </c>
      <c r="AY142" s="3" t="s">
        <v>1980</v>
      </c>
      <c r="AZ142" s="3" t="s">
        <v>74</v>
      </c>
      <c r="BB142" s="3" t="s">
        <v>1981</v>
      </c>
      <c r="BC142" s="3" t="s">
        <v>1982</v>
      </c>
      <c r="BD142" s="3" t="s">
        <v>1983</v>
      </c>
    </row>
    <row r="143" spans="1:56" ht="34.5" customHeight="1" x14ac:dyDescent="0.25">
      <c r="A143" s="7" t="s">
        <v>58</v>
      </c>
      <c r="B143" s="2" t="s">
        <v>1984</v>
      </c>
      <c r="C143" s="2" t="s">
        <v>1985</v>
      </c>
      <c r="D143" s="2" t="s">
        <v>1986</v>
      </c>
      <c r="F143" s="3" t="s">
        <v>58</v>
      </c>
      <c r="G143" s="3" t="s">
        <v>59</v>
      </c>
      <c r="H143" s="3" t="s">
        <v>58</v>
      </c>
      <c r="I143" s="3" t="s">
        <v>58</v>
      </c>
      <c r="J143" s="3" t="s">
        <v>60</v>
      </c>
      <c r="K143" s="2" t="s">
        <v>1987</v>
      </c>
      <c r="L143" s="2" t="s">
        <v>1988</v>
      </c>
      <c r="M143" s="3" t="s">
        <v>479</v>
      </c>
      <c r="O143" s="3" t="s">
        <v>64</v>
      </c>
      <c r="P143" s="3" t="s">
        <v>65</v>
      </c>
      <c r="R143" s="3" t="s">
        <v>66</v>
      </c>
      <c r="S143" s="4">
        <v>1</v>
      </c>
      <c r="T143" s="4">
        <v>1</v>
      </c>
      <c r="U143" s="5" t="s">
        <v>1989</v>
      </c>
      <c r="V143" s="5" t="s">
        <v>1989</v>
      </c>
      <c r="W143" s="5" t="s">
        <v>1990</v>
      </c>
      <c r="X143" s="5" t="s">
        <v>1990</v>
      </c>
      <c r="Y143" s="4">
        <v>187</v>
      </c>
      <c r="Z143" s="4">
        <v>165</v>
      </c>
      <c r="AA143" s="4">
        <v>186</v>
      </c>
      <c r="AB143" s="4">
        <v>3</v>
      </c>
      <c r="AC143" s="4">
        <v>3</v>
      </c>
      <c r="AD143" s="4">
        <v>7</v>
      </c>
      <c r="AE143" s="4">
        <v>7</v>
      </c>
      <c r="AF143" s="4">
        <v>1</v>
      </c>
      <c r="AG143" s="4">
        <v>1</v>
      </c>
      <c r="AH143" s="4">
        <v>1</v>
      </c>
      <c r="AI143" s="4">
        <v>1</v>
      </c>
      <c r="AJ143" s="4">
        <v>4</v>
      </c>
      <c r="AK143" s="4">
        <v>4</v>
      </c>
      <c r="AL143" s="4">
        <v>1</v>
      </c>
      <c r="AM143" s="4">
        <v>1</v>
      </c>
      <c r="AN143" s="4">
        <v>0</v>
      </c>
      <c r="AO143" s="4">
        <v>0</v>
      </c>
      <c r="AP143" s="3" t="s">
        <v>58</v>
      </c>
      <c r="AQ143" s="3" t="s">
        <v>69</v>
      </c>
      <c r="AR143" s="6" t="str">
        <f>HYPERLINK("http://catalog.hathitrust.org/Record/008509703","HathiTrust Record")</f>
        <v>HathiTrust Record</v>
      </c>
      <c r="AS143" s="6" t="str">
        <f>HYPERLINK("https://creighton-primo.hosted.exlibrisgroup.com/primo-explore/search?tab=default_tab&amp;search_scope=EVERYTHING&amp;vid=01CRU&amp;lang=en_US&amp;offset=0&amp;query=any,contains,991004012449702656","Catalog Record")</f>
        <v>Catalog Record</v>
      </c>
      <c r="AT143" s="6" t="str">
        <f>HYPERLINK("http://www.worldcat.org/oclc/41649612","WorldCat Record")</f>
        <v>WorldCat Record</v>
      </c>
      <c r="AU143" s="3" t="s">
        <v>1991</v>
      </c>
      <c r="AV143" s="3" t="s">
        <v>1992</v>
      </c>
      <c r="AW143" s="3" t="s">
        <v>1993</v>
      </c>
      <c r="AX143" s="3" t="s">
        <v>1993</v>
      </c>
      <c r="AY143" s="3" t="s">
        <v>1994</v>
      </c>
      <c r="AZ143" s="3" t="s">
        <v>74</v>
      </c>
      <c r="BB143" s="3" t="s">
        <v>1995</v>
      </c>
      <c r="BC143" s="3" t="s">
        <v>1996</v>
      </c>
      <c r="BD143" s="3" t="s">
        <v>1997</v>
      </c>
    </row>
    <row r="144" spans="1:56" ht="34.5" customHeight="1" x14ac:dyDescent="0.25">
      <c r="A144" s="7" t="s">
        <v>58</v>
      </c>
      <c r="B144" s="2" t="s">
        <v>1998</v>
      </c>
      <c r="C144" s="2" t="s">
        <v>1999</v>
      </c>
      <c r="D144" s="2" t="s">
        <v>2000</v>
      </c>
      <c r="F144" s="3" t="s">
        <v>58</v>
      </c>
      <c r="G144" s="3" t="s">
        <v>59</v>
      </c>
      <c r="H144" s="3" t="s">
        <v>58</v>
      </c>
      <c r="I144" s="3" t="s">
        <v>58</v>
      </c>
      <c r="J144" s="3" t="s">
        <v>60</v>
      </c>
      <c r="K144" s="2" t="s">
        <v>2001</v>
      </c>
      <c r="L144" s="2" t="s">
        <v>2002</v>
      </c>
      <c r="M144" s="3" t="s">
        <v>479</v>
      </c>
      <c r="O144" s="3" t="s">
        <v>64</v>
      </c>
      <c r="P144" s="3" t="s">
        <v>131</v>
      </c>
      <c r="R144" s="3" t="s">
        <v>66</v>
      </c>
      <c r="S144" s="4">
        <v>1</v>
      </c>
      <c r="T144" s="4">
        <v>1</v>
      </c>
      <c r="U144" s="5" t="s">
        <v>2003</v>
      </c>
      <c r="V144" s="5" t="s">
        <v>2003</v>
      </c>
      <c r="W144" s="5" t="s">
        <v>2004</v>
      </c>
      <c r="X144" s="5" t="s">
        <v>2004</v>
      </c>
      <c r="Y144" s="4">
        <v>207</v>
      </c>
      <c r="Z144" s="4">
        <v>136</v>
      </c>
      <c r="AA144" s="4">
        <v>150</v>
      </c>
      <c r="AB144" s="4">
        <v>3</v>
      </c>
      <c r="AC144" s="4">
        <v>3</v>
      </c>
      <c r="AD144" s="4">
        <v>8</v>
      </c>
      <c r="AE144" s="4">
        <v>8</v>
      </c>
      <c r="AF144" s="4">
        <v>1</v>
      </c>
      <c r="AG144" s="4">
        <v>1</v>
      </c>
      <c r="AH144" s="4">
        <v>3</v>
      </c>
      <c r="AI144" s="4">
        <v>3</v>
      </c>
      <c r="AJ144" s="4">
        <v>5</v>
      </c>
      <c r="AK144" s="4">
        <v>5</v>
      </c>
      <c r="AL144" s="4">
        <v>1</v>
      </c>
      <c r="AM144" s="4">
        <v>1</v>
      </c>
      <c r="AN144" s="4">
        <v>0</v>
      </c>
      <c r="AO144" s="4">
        <v>0</v>
      </c>
      <c r="AP144" s="3" t="s">
        <v>58</v>
      </c>
      <c r="AQ144" s="3" t="s">
        <v>69</v>
      </c>
      <c r="AR144" s="6" t="str">
        <f>HYPERLINK("http://catalog.hathitrust.org/Record/005942239","HathiTrust Record")</f>
        <v>HathiTrust Record</v>
      </c>
      <c r="AS144" s="6" t="str">
        <f>HYPERLINK("https://creighton-primo.hosted.exlibrisgroup.com/primo-explore/search?tab=default_tab&amp;search_scope=EVERYTHING&amp;vid=01CRU&amp;lang=en_US&amp;offset=0&amp;query=any,contains,991004012329702656","Catalog Record")</f>
        <v>Catalog Record</v>
      </c>
      <c r="AT144" s="6" t="str">
        <f>HYPERLINK("http://www.worldcat.org/oclc/45669102","WorldCat Record")</f>
        <v>WorldCat Record</v>
      </c>
      <c r="AU144" s="3" t="s">
        <v>2005</v>
      </c>
      <c r="AV144" s="3" t="s">
        <v>2006</v>
      </c>
      <c r="AW144" s="3" t="s">
        <v>2007</v>
      </c>
      <c r="AX144" s="3" t="s">
        <v>2007</v>
      </c>
      <c r="AY144" s="3" t="s">
        <v>2008</v>
      </c>
      <c r="AZ144" s="3" t="s">
        <v>74</v>
      </c>
      <c r="BB144" s="3" t="s">
        <v>2009</v>
      </c>
      <c r="BC144" s="3" t="s">
        <v>2010</v>
      </c>
      <c r="BD144" s="3" t="s">
        <v>2011</v>
      </c>
    </row>
    <row r="145" spans="1:56" ht="34.5" customHeight="1" x14ac:dyDescent="0.25">
      <c r="A145" s="7" t="s">
        <v>58</v>
      </c>
      <c r="B145" s="2" t="s">
        <v>2012</v>
      </c>
      <c r="C145" s="2" t="s">
        <v>2013</v>
      </c>
      <c r="D145" s="2" t="s">
        <v>2014</v>
      </c>
      <c r="F145" s="3" t="s">
        <v>58</v>
      </c>
      <c r="G145" s="3" t="s">
        <v>59</v>
      </c>
      <c r="H145" s="3" t="s">
        <v>58</v>
      </c>
      <c r="I145" s="3" t="s">
        <v>58</v>
      </c>
      <c r="J145" s="3" t="s">
        <v>60</v>
      </c>
      <c r="L145" s="2" t="s">
        <v>2015</v>
      </c>
      <c r="M145" s="3" t="s">
        <v>1545</v>
      </c>
      <c r="O145" s="3" t="s">
        <v>64</v>
      </c>
      <c r="P145" s="3" t="s">
        <v>147</v>
      </c>
      <c r="Q145" s="2" t="s">
        <v>2016</v>
      </c>
      <c r="R145" s="3" t="s">
        <v>66</v>
      </c>
      <c r="S145" s="4">
        <v>2</v>
      </c>
      <c r="T145" s="4">
        <v>2</v>
      </c>
      <c r="U145" s="5" t="s">
        <v>2017</v>
      </c>
      <c r="V145" s="5" t="s">
        <v>2017</v>
      </c>
      <c r="W145" s="5" t="s">
        <v>68</v>
      </c>
      <c r="X145" s="5" t="s">
        <v>68</v>
      </c>
      <c r="Y145" s="4">
        <v>598</v>
      </c>
      <c r="Z145" s="4">
        <v>433</v>
      </c>
      <c r="AA145" s="4">
        <v>434</v>
      </c>
      <c r="AB145" s="4">
        <v>4</v>
      </c>
      <c r="AC145" s="4">
        <v>4</v>
      </c>
      <c r="AD145" s="4">
        <v>16</v>
      </c>
      <c r="AE145" s="4">
        <v>16</v>
      </c>
      <c r="AF145" s="4">
        <v>3</v>
      </c>
      <c r="AG145" s="4">
        <v>3</v>
      </c>
      <c r="AH145" s="4">
        <v>6</v>
      </c>
      <c r="AI145" s="4">
        <v>6</v>
      </c>
      <c r="AJ145" s="4">
        <v>7</v>
      </c>
      <c r="AK145" s="4">
        <v>7</v>
      </c>
      <c r="AL145" s="4">
        <v>3</v>
      </c>
      <c r="AM145" s="4">
        <v>3</v>
      </c>
      <c r="AN145" s="4">
        <v>0</v>
      </c>
      <c r="AO145" s="4">
        <v>0</v>
      </c>
      <c r="AP145" s="3" t="s">
        <v>58</v>
      </c>
      <c r="AQ145" s="3" t="s">
        <v>58</v>
      </c>
      <c r="AS145" s="6" t="str">
        <f>HYPERLINK("https://creighton-primo.hosted.exlibrisgroup.com/primo-explore/search?tab=default_tab&amp;search_scope=EVERYTHING&amp;vid=01CRU&amp;lang=en_US&amp;offset=0&amp;query=any,contains,991004168589702656","Catalog Record")</f>
        <v>Catalog Record</v>
      </c>
      <c r="AT145" s="6" t="str">
        <f>HYPERLINK("http://www.worldcat.org/oclc/2572927","WorldCat Record")</f>
        <v>WorldCat Record</v>
      </c>
      <c r="AU145" s="3" t="s">
        <v>2018</v>
      </c>
      <c r="AV145" s="3" t="s">
        <v>2019</v>
      </c>
      <c r="AW145" s="3" t="s">
        <v>2020</v>
      </c>
      <c r="AX145" s="3" t="s">
        <v>2020</v>
      </c>
      <c r="AY145" s="3" t="s">
        <v>2021</v>
      </c>
      <c r="AZ145" s="3" t="s">
        <v>74</v>
      </c>
      <c r="BB145" s="3" t="s">
        <v>2022</v>
      </c>
      <c r="BC145" s="3" t="s">
        <v>2023</v>
      </c>
      <c r="BD145" s="3" t="s">
        <v>2024</v>
      </c>
    </row>
    <row r="146" spans="1:56" ht="34.5" customHeight="1" x14ac:dyDescent="0.25">
      <c r="A146" s="7" t="s">
        <v>58</v>
      </c>
      <c r="B146" s="2" t="s">
        <v>2025</v>
      </c>
      <c r="C146" s="2" t="s">
        <v>2026</v>
      </c>
      <c r="D146" s="2" t="s">
        <v>2027</v>
      </c>
      <c r="F146" s="3" t="s">
        <v>58</v>
      </c>
      <c r="G146" s="3" t="s">
        <v>59</v>
      </c>
      <c r="H146" s="3" t="s">
        <v>58</v>
      </c>
      <c r="I146" s="3" t="s">
        <v>58</v>
      </c>
      <c r="J146" s="3" t="s">
        <v>60</v>
      </c>
      <c r="K146" s="2" t="s">
        <v>2028</v>
      </c>
      <c r="L146" s="2" t="s">
        <v>1331</v>
      </c>
      <c r="M146" s="3" t="s">
        <v>99</v>
      </c>
      <c r="O146" s="3" t="s">
        <v>64</v>
      </c>
      <c r="P146" s="3" t="s">
        <v>65</v>
      </c>
      <c r="R146" s="3" t="s">
        <v>66</v>
      </c>
      <c r="S146" s="4">
        <v>2</v>
      </c>
      <c r="T146" s="4">
        <v>2</v>
      </c>
      <c r="U146" s="5" t="s">
        <v>2029</v>
      </c>
      <c r="V146" s="5" t="s">
        <v>2029</v>
      </c>
      <c r="W146" s="5" t="s">
        <v>754</v>
      </c>
      <c r="X146" s="5" t="s">
        <v>754</v>
      </c>
      <c r="Y146" s="4">
        <v>756</v>
      </c>
      <c r="Z146" s="4">
        <v>702</v>
      </c>
      <c r="AA146" s="4">
        <v>711</v>
      </c>
      <c r="AB146" s="4">
        <v>5</v>
      </c>
      <c r="AC146" s="4">
        <v>5</v>
      </c>
      <c r="AD146" s="4">
        <v>12</v>
      </c>
      <c r="AE146" s="4">
        <v>12</v>
      </c>
      <c r="AF146" s="4">
        <v>2</v>
      </c>
      <c r="AG146" s="4">
        <v>2</v>
      </c>
      <c r="AH146" s="4">
        <v>4</v>
      </c>
      <c r="AI146" s="4">
        <v>4</v>
      </c>
      <c r="AJ146" s="4">
        <v>5</v>
      </c>
      <c r="AK146" s="4">
        <v>5</v>
      </c>
      <c r="AL146" s="4">
        <v>2</v>
      </c>
      <c r="AM146" s="4">
        <v>2</v>
      </c>
      <c r="AN146" s="4">
        <v>0</v>
      </c>
      <c r="AO146" s="4">
        <v>0</v>
      </c>
      <c r="AP146" s="3" t="s">
        <v>58</v>
      </c>
      <c r="AQ146" s="3" t="s">
        <v>69</v>
      </c>
      <c r="AR146" s="6" t="str">
        <f>HYPERLINK("http://catalog.hathitrust.org/Record/000689872","HathiTrust Record")</f>
        <v>HathiTrust Record</v>
      </c>
      <c r="AS146" s="6" t="str">
        <f>HYPERLINK("https://creighton-primo.hosted.exlibrisgroup.com/primo-explore/search?tab=default_tab&amp;search_scope=EVERYTHING&amp;vid=01CRU&amp;lang=en_US&amp;offset=0&amp;query=any,contains,991004911409702656","Catalog Record")</f>
        <v>Catalog Record</v>
      </c>
      <c r="AT146" s="6" t="str">
        <f>HYPERLINK("http://www.worldcat.org/oclc/5992351","WorldCat Record")</f>
        <v>WorldCat Record</v>
      </c>
      <c r="AU146" s="3" t="s">
        <v>2030</v>
      </c>
      <c r="AV146" s="3" t="s">
        <v>2031</v>
      </c>
      <c r="AW146" s="3" t="s">
        <v>2032</v>
      </c>
      <c r="AX146" s="3" t="s">
        <v>2032</v>
      </c>
      <c r="AY146" s="3" t="s">
        <v>2033</v>
      </c>
      <c r="AZ146" s="3" t="s">
        <v>74</v>
      </c>
      <c r="BB146" s="3" t="s">
        <v>2034</v>
      </c>
      <c r="BC146" s="3" t="s">
        <v>2035</v>
      </c>
      <c r="BD146" s="3" t="s">
        <v>2036</v>
      </c>
    </row>
    <row r="147" spans="1:56" ht="34.5" customHeight="1" x14ac:dyDescent="0.25">
      <c r="A147" s="7" t="s">
        <v>58</v>
      </c>
      <c r="B147" s="2" t="s">
        <v>2037</v>
      </c>
      <c r="C147" s="2" t="s">
        <v>2038</v>
      </c>
      <c r="D147" s="2" t="s">
        <v>2039</v>
      </c>
      <c r="F147" s="3" t="s">
        <v>58</v>
      </c>
      <c r="G147" s="3" t="s">
        <v>59</v>
      </c>
      <c r="H147" s="3" t="s">
        <v>58</v>
      </c>
      <c r="I147" s="3" t="s">
        <v>58</v>
      </c>
      <c r="J147" s="3" t="s">
        <v>60</v>
      </c>
      <c r="K147" s="2" t="s">
        <v>2040</v>
      </c>
      <c r="L147" s="2" t="s">
        <v>2041</v>
      </c>
      <c r="M147" s="3" t="s">
        <v>1357</v>
      </c>
      <c r="O147" s="3" t="s">
        <v>64</v>
      </c>
      <c r="P147" s="3" t="s">
        <v>955</v>
      </c>
      <c r="Q147" s="2" t="s">
        <v>2042</v>
      </c>
      <c r="R147" s="3" t="s">
        <v>66</v>
      </c>
      <c r="S147" s="4">
        <v>7</v>
      </c>
      <c r="T147" s="4">
        <v>7</v>
      </c>
      <c r="U147" s="5" t="s">
        <v>2043</v>
      </c>
      <c r="V147" s="5" t="s">
        <v>2043</v>
      </c>
      <c r="W147" s="5" t="s">
        <v>2044</v>
      </c>
      <c r="X147" s="5" t="s">
        <v>2044</v>
      </c>
      <c r="Y147" s="4">
        <v>598</v>
      </c>
      <c r="Z147" s="4">
        <v>483</v>
      </c>
      <c r="AA147" s="4">
        <v>495</v>
      </c>
      <c r="AB147" s="4">
        <v>3</v>
      </c>
      <c r="AC147" s="4">
        <v>3</v>
      </c>
      <c r="AD147" s="4">
        <v>29</v>
      </c>
      <c r="AE147" s="4">
        <v>29</v>
      </c>
      <c r="AF147" s="4">
        <v>12</v>
      </c>
      <c r="AG147" s="4">
        <v>12</v>
      </c>
      <c r="AH147" s="4">
        <v>7</v>
      </c>
      <c r="AI147" s="4">
        <v>7</v>
      </c>
      <c r="AJ147" s="4">
        <v>15</v>
      </c>
      <c r="AK147" s="4">
        <v>15</v>
      </c>
      <c r="AL147" s="4">
        <v>2</v>
      </c>
      <c r="AM147" s="4">
        <v>2</v>
      </c>
      <c r="AN147" s="4">
        <v>0</v>
      </c>
      <c r="AO147" s="4">
        <v>0</v>
      </c>
      <c r="AP147" s="3" t="s">
        <v>69</v>
      </c>
      <c r="AQ147" s="3" t="s">
        <v>58</v>
      </c>
      <c r="AR147" s="6" t="str">
        <f>HYPERLINK("http://catalog.hathitrust.org/Record/002063962","HathiTrust Record")</f>
        <v>HathiTrust Record</v>
      </c>
      <c r="AS147" s="6" t="str">
        <f>HYPERLINK("https://creighton-primo.hosted.exlibrisgroup.com/primo-explore/search?tab=default_tab&amp;search_scope=EVERYTHING&amp;vid=01CRU&amp;lang=en_US&amp;offset=0&amp;query=any,contains,991001481369702656","Catalog Record")</f>
        <v>Catalog Record</v>
      </c>
      <c r="AT147" s="6" t="str">
        <f>HYPERLINK("http://www.worldcat.org/oclc/19626119","WorldCat Record")</f>
        <v>WorldCat Record</v>
      </c>
      <c r="AU147" s="3" t="s">
        <v>2045</v>
      </c>
      <c r="AV147" s="3" t="s">
        <v>2046</v>
      </c>
      <c r="AW147" s="3" t="s">
        <v>2047</v>
      </c>
      <c r="AX147" s="3" t="s">
        <v>2047</v>
      </c>
      <c r="AY147" s="3" t="s">
        <v>2048</v>
      </c>
      <c r="AZ147" s="3" t="s">
        <v>74</v>
      </c>
      <c r="BB147" s="3" t="s">
        <v>2049</v>
      </c>
      <c r="BC147" s="3" t="s">
        <v>2050</v>
      </c>
      <c r="BD147" s="3" t="s">
        <v>2051</v>
      </c>
    </row>
    <row r="148" spans="1:56" ht="34.5" customHeight="1" x14ac:dyDescent="0.25">
      <c r="A148" s="7" t="s">
        <v>58</v>
      </c>
      <c r="B148" s="2" t="s">
        <v>2052</v>
      </c>
      <c r="C148" s="2" t="s">
        <v>2053</v>
      </c>
      <c r="D148" s="2" t="s">
        <v>2054</v>
      </c>
      <c r="F148" s="3" t="s">
        <v>58</v>
      </c>
      <c r="G148" s="3" t="s">
        <v>59</v>
      </c>
      <c r="H148" s="3" t="s">
        <v>58</v>
      </c>
      <c r="I148" s="3" t="s">
        <v>58</v>
      </c>
      <c r="J148" s="3" t="s">
        <v>60</v>
      </c>
      <c r="K148" s="2" t="s">
        <v>2055</v>
      </c>
      <c r="L148" s="2" t="s">
        <v>2056</v>
      </c>
      <c r="M148" s="3" t="s">
        <v>2057</v>
      </c>
      <c r="O148" s="3" t="s">
        <v>64</v>
      </c>
      <c r="P148" s="3" t="s">
        <v>2058</v>
      </c>
      <c r="R148" s="3" t="s">
        <v>66</v>
      </c>
      <c r="S148" s="4">
        <v>5</v>
      </c>
      <c r="T148" s="4">
        <v>5</v>
      </c>
      <c r="U148" s="5" t="s">
        <v>2059</v>
      </c>
      <c r="V148" s="5" t="s">
        <v>2059</v>
      </c>
      <c r="W148" s="5" t="s">
        <v>1135</v>
      </c>
      <c r="X148" s="5" t="s">
        <v>1135</v>
      </c>
      <c r="Y148" s="4">
        <v>252</v>
      </c>
      <c r="Z148" s="4">
        <v>218</v>
      </c>
      <c r="AA148" s="4">
        <v>227</v>
      </c>
      <c r="AB148" s="4">
        <v>2</v>
      </c>
      <c r="AC148" s="4">
        <v>2</v>
      </c>
      <c r="AD148" s="4">
        <v>22</v>
      </c>
      <c r="AE148" s="4">
        <v>22</v>
      </c>
      <c r="AF148" s="4">
        <v>6</v>
      </c>
      <c r="AG148" s="4">
        <v>6</v>
      </c>
      <c r="AH148" s="4">
        <v>5</v>
      </c>
      <c r="AI148" s="4">
        <v>5</v>
      </c>
      <c r="AJ148" s="4">
        <v>15</v>
      </c>
      <c r="AK148" s="4">
        <v>15</v>
      </c>
      <c r="AL148" s="4">
        <v>0</v>
      </c>
      <c r="AM148" s="4">
        <v>0</v>
      </c>
      <c r="AN148" s="4">
        <v>0</v>
      </c>
      <c r="AO148" s="4">
        <v>0</v>
      </c>
      <c r="AP148" s="3" t="s">
        <v>58</v>
      </c>
      <c r="AQ148" s="3" t="s">
        <v>69</v>
      </c>
      <c r="AR148" s="6" t="str">
        <f>HYPERLINK("http://catalog.hathitrust.org/Record/007472292","HathiTrust Record")</f>
        <v>HathiTrust Record</v>
      </c>
      <c r="AS148" s="6" t="str">
        <f>HYPERLINK("https://creighton-primo.hosted.exlibrisgroup.com/primo-explore/search?tab=default_tab&amp;search_scope=EVERYTHING&amp;vid=01CRU&amp;lang=en_US&amp;offset=0&amp;query=any,contains,991003688519702656","Catalog Record")</f>
        <v>Catalog Record</v>
      </c>
      <c r="AT148" s="6" t="str">
        <f>HYPERLINK("http://www.worldcat.org/oclc/1317632","WorldCat Record")</f>
        <v>WorldCat Record</v>
      </c>
      <c r="AU148" s="3" t="s">
        <v>2060</v>
      </c>
      <c r="AV148" s="3" t="s">
        <v>2061</v>
      </c>
      <c r="AW148" s="3" t="s">
        <v>2062</v>
      </c>
      <c r="AX148" s="3" t="s">
        <v>2062</v>
      </c>
      <c r="AY148" s="3" t="s">
        <v>2063</v>
      </c>
      <c r="AZ148" s="3" t="s">
        <v>74</v>
      </c>
      <c r="BC148" s="3" t="s">
        <v>2064</v>
      </c>
      <c r="BD148" s="3" t="s">
        <v>2065</v>
      </c>
    </row>
    <row r="149" spans="1:56" ht="34.5" customHeight="1" x14ac:dyDescent="0.25">
      <c r="A149" s="7" t="s">
        <v>58</v>
      </c>
      <c r="B149" s="2" t="s">
        <v>2066</v>
      </c>
      <c r="C149" s="2" t="s">
        <v>2067</v>
      </c>
      <c r="D149" s="2" t="s">
        <v>2068</v>
      </c>
      <c r="F149" s="3" t="s">
        <v>58</v>
      </c>
      <c r="G149" s="3" t="s">
        <v>59</v>
      </c>
      <c r="H149" s="3" t="s">
        <v>58</v>
      </c>
      <c r="I149" s="3" t="s">
        <v>58</v>
      </c>
      <c r="J149" s="3" t="s">
        <v>60</v>
      </c>
      <c r="K149" s="2" t="s">
        <v>2069</v>
      </c>
      <c r="L149" s="2" t="s">
        <v>2070</v>
      </c>
      <c r="M149" s="3" t="s">
        <v>354</v>
      </c>
      <c r="O149" s="3" t="s">
        <v>64</v>
      </c>
      <c r="P149" s="3" t="s">
        <v>670</v>
      </c>
      <c r="R149" s="3" t="s">
        <v>66</v>
      </c>
      <c r="S149" s="4">
        <v>3</v>
      </c>
      <c r="T149" s="4">
        <v>3</v>
      </c>
      <c r="U149" s="5" t="s">
        <v>2071</v>
      </c>
      <c r="V149" s="5" t="s">
        <v>2071</v>
      </c>
      <c r="W149" s="5" t="s">
        <v>2072</v>
      </c>
      <c r="X149" s="5" t="s">
        <v>2072</v>
      </c>
      <c r="Y149" s="4">
        <v>254</v>
      </c>
      <c r="Z149" s="4">
        <v>224</v>
      </c>
      <c r="AA149" s="4">
        <v>230</v>
      </c>
      <c r="AB149" s="4">
        <v>5</v>
      </c>
      <c r="AC149" s="4">
        <v>5</v>
      </c>
      <c r="AD149" s="4">
        <v>24</v>
      </c>
      <c r="AE149" s="4">
        <v>24</v>
      </c>
      <c r="AF149" s="4">
        <v>6</v>
      </c>
      <c r="AG149" s="4">
        <v>6</v>
      </c>
      <c r="AH149" s="4">
        <v>5</v>
      </c>
      <c r="AI149" s="4">
        <v>5</v>
      </c>
      <c r="AJ149" s="4">
        <v>16</v>
      </c>
      <c r="AK149" s="4">
        <v>16</v>
      </c>
      <c r="AL149" s="4">
        <v>2</v>
      </c>
      <c r="AM149" s="4">
        <v>2</v>
      </c>
      <c r="AN149" s="4">
        <v>0</v>
      </c>
      <c r="AO149" s="4">
        <v>0</v>
      </c>
      <c r="AP149" s="3" t="s">
        <v>58</v>
      </c>
      <c r="AQ149" s="3" t="s">
        <v>58</v>
      </c>
      <c r="AS149" s="6" t="str">
        <f>HYPERLINK("https://creighton-primo.hosted.exlibrisgroup.com/primo-explore/search?tab=default_tab&amp;search_scope=EVERYTHING&amp;vid=01CRU&amp;lang=en_US&amp;offset=0&amp;query=any,contains,991003247409702656","Catalog Record")</f>
        <v>Catalog Record</v>
      </c>
      <c r="AT149" s="6" t="str">
        <f>HYPERLINK("http://www.worldcat.org/oclc/772195","WorldCat Record")</f>
        <v>WorldCat Record</v>
      </c>
      <c r="AU149" s="3" t="s">
        <v>2073</v>
      </c>
      <c r="AV149" s="3" t="s">
        <v>2074</v>
      </c>
      <c r="AW149" s="3" t="s">
        <v>2075</v>
      </c>
      <c r="AX149" s="3" t="s">
        <v>2075</v>
      </c>
      <c r="AY149" s="3" t="s">
        <v>2076</v>
      </c>
      <c r="AZ149" s="3" t="s">
        <v>74</v>
      </c>
      <c r="BC149" s="3" t="s">
        <v>2077</v>
      </c>
      <c r="BD149" s="3" t="s">
        <v>2078</v>
      </c>
    </row>
    <row r="150" spans="1:56" ht="34.5" customHeight="1" x14ac:dyDescent="0.25">
      <c r="A150" s="7" t="s">
        <v>58</v>
      </c>
      <c r="B150" s="2" t="s">
        <v>2079</v>
      </c>
      <c r="C150" s="2" t="s">
        <v>2080</v>
      </c>
      <c r="D150" s="2" t="s">
        <v>2081</v>
      </c>
      <c r="F150" s="3" t="s">
        <v>58</v>
      </c>
      <c r="G150" s="3" t="s">
        <v>59</v>
      </c>
      <c r="H150" s="3" t="s">
        <v>58</v>
      </c>
      <c r="I150" s="3" t="s">
        <v>58</v>
      </c>
      <c r="J150" s="3" t="s">
        <v>60</v>
      </c>
      <c r="K150" s="2" t="s">
        <v>2082</v>
      </c>
      <c r="L150" s="2" t="s">
        <v>2083</v>
      </c>
      <c r="M150" s="3" t="s">
        <v>1506</v>
      </c>
      <c r="O150" s="3" t="s">
        <v>64</v>
      </c>
      <c r="P150" s="3" t="s">
        <v>65</v>
      </c>
      <c r="R150" s="3" t="s">
        <v>66</v>
      </c>
      <c r="S150" s="4">
        <v>3</v>
      </c>
      <c r="T150" s="4">
        <v>3</v>
      </c>
      <c r="U150" s="5" t="s">
        <v>2084</v>
      </c>
      <c r="V150" s="5" t="s">
        <v>2084</v>
      </c>
      <c r="W150" s="5" t="s">
        <v>754</v>
      </c>
      <c r="X150" s="5" t="s">
        <v>754</v>
      </c>
      <c r="Y150" s="4">
        <v>502</v>
      </c>
      <c r="Z150" s="4">
        <v>452</v>
      </c>
      <c r="AA150" s="4">
        <v>455</v>
      </c>
      <c r="AB150" s="4">
        <v>3</v>
      </c>
      <c r="AC150" s="4">
        <v>3</v>
      </c>
      <c r="AD150" s="4">
        <v>20</v>
      </c>
      <c r="AE150" s="4">
        <v>20</v>
      </c>
      <c r="AF150" s="4">
        <v>6</v>
      </c>
      <c r="AG150" s="4">
        <v>6</v>
      </c>
      <c r="AH150" s="4">
        <v>7</v>
      </c>
      <c r="AI150" s="4">
        <v>7</v>
      </c>
      <c r="AJ150" s="4">
        <v>10</v>
      </c>
      <c r="AK150" s="4">
        <v>10</v>
      </c>
      <c r="AL150" s="4">
        <v>2</v>
      </c>
      <c r="AM150" s="4">
        <v>2</v>
      </c>
      <c r="AN150" s="4">
        <v>0</v>
      </c>
      <c r="AO150" s="4">
        <v>0</v>
      </c>
      <c r="AP150" s="3" t="s">
        <v>58</v>
      </c>
      <c r="AQ150" s="3" t="s">
        <v>58</v>
      </c>
      <c r="AS150" s="6" t="str">
        <f>HYPERLINK("https://creighton-primo.hosted.exlibrisgroup.com/primo-explore/search?tab=default_tab&amp;search_scope=EVERYTHING&amp;vid=01CRU&amp;lang=en_US&amp;offset=0&amp;query=any,contains,991004361289702656","Catalog Record")</f>
        <v>Catalog Record</v>
      </c>
      <c r="AT150" s="6" t="str">
        <f>HYPERLINK("http://www.worldcat.org/oclc/3167538","WorldCat Record")</f>
        <v>WorldCat Record</v>
      </c>
      <c r="AU150" s="3" t="s">
        <v>2085</v>
      </c>
      <c r="AV150" s="3" t="s">
        <v>2086</v>
      </c>
      <c r="AW150" s="3" t="s">
        <v>2087</v>
      </c>
      <c r="AX150" s="3" t="s">
        <v>2087</v>
      </c>
      <c r="AY150" s="3" t="s">
        <v>2088</v>
      </c>
      <c r="AZ150" s="3" t="s">
        <v>74</v>
      </c>
      <c r="BB150" s="3" t="s">
        <v>2089</v>
      </c>
      <c r="BC150" s="3" t="s">
        <v>2090</v>
      </c>
      <c r="BD150" s="3" t="s">
        <v>2091</v>
      </c>
    </row>
    <row r="151" spans="1:56" ht="34.5" customHeight="1" x14ac:dyDescent="0.25">
      <c r="A151" s="7" t="s">
        <v>58</v>
      </c>
      <c r="B151" s="2" t="s">
        <v>2092</v>
      </c>
      <c r="C151" s="2" t="s">
        <v>2093</v>
      </c>
      <c r="D151" s="2" t="s">
        <v>2094</v>
      </c>
      <c r="F151" s="3" t="s">
        <v>58</v>
      </c>
      <c r="G151" s="3" t="s">
        <v>59</v>
      </c>
      <c r="H151" s="3" t="s">
        <v>58</v>
      </c>
      <c r="I151" s="3" t="s">
        <v>58</v>
      </c>
      <c r="J151" s="3" t="s">
        <v>60</v>
      </c>
      <c r="K151" s="2" t="s">
        <v>2095</v>
      </c>
      <c r="L151" s="2" t="s">
        <v>2096</v>
      </c>
      <c r="M151" s="3" t="s">
        <v>209</v>
      </c>
      <c r="O151" s="3" t="s">
        <v>64</v>
      </c>
      <c r="P151" s="3" t="s">
        <v>2097</v>
      </c>
      <c r="R151" s="3" t="s">
        <v>66</v>
      </c>
      <c r="S151" s="4">
        <v>9</v>
      </c>
      <c r="T151" s="4">
        <v>9</v>
      </c>
      <c r="U151" s="5" t="s">
        <v>2098</v>
      </c>
      <c r="V151" s="5" t="s">
        <v>2098</v>
      </c>
      <c r="W151" s="5" t="s">
        <v>2099</v>
      </c>
      <c r="X151" s="5" t="s">
        <v>2099</v>
      </c>
      <c r="Y151" s="4">
        <v>492</v>
      </c>
      <c r="Z151" s="4">
        <v>471</v>
      </c>
      <c r="AA151" s="4">
        <v>703</v>
      </c>
      <c r="AB151" s="4">
        <v>3</v>
      </c>
      <c r="AC151" s="4">
        <v>5</v>
      </c>
      <c r="AD151" s="4">
        <v>16</v>
      </c>
      <c r="AE151" s="4">
        <v>28</v>
      </c>
      <c r="AF151" s="4">
        <v>9</v>
      </c>
      <c r="AG151" s="4">
        <v>11</v>
      </c>
      <c r="AH151" s="4">
        <v>3</v>
      </c>
      <c r="AI151" s="4">
        <v>6</v>
      </c>
      <c r="AJ151" s="4">
        <v>9</v>
      </c>
      <c r="AK151" s="4">
        <v>15</v>
      </c>
      <c r="AL151" s="4">
        <v>1</v>
      </c>
      <c r="AM151" s="4">
        <v>3</v>
      </c>
      <c r="AN151" s="4">
        <v>0</v>
      </c>
      <c r="AO151" s="4">
        <v>0</v>
      </c>
      <c r="AP151" s="3" t="s">
        <v>58</v>
      </c>
      <c r="AQ151" s="3" t="s">
        <v>69</v>
      </c>
      <c r="AR151" s="6" t="str">
        <f>HYPERLINK("http://catalog.hathitrust.org/Record/007480566","HathiTrust Record")</f>
        <v>HathiTrust Record</v>
      </c>
      <c r="AS151" s="6" t="str">
        <f>HYPERLINK("https://creighton-primo.hosted.exlibrisgroup.com/primo-explore/search?tab=default_tab&amp;search_scope=EVERYTHING&amp;vid=01CRU&amp;lang=en_US&amp;offset=0&amp;query=any,contains,991000731729702656","Catalog Record")</f>
        <v>Catalog Record</v>
      </c>
      <c r="AT151" s="6" t="str">
        <f>HYPERLINK("http://www.worldcat.org/oclc/12727527","WorldCat Record")</f>
        <v>WorldCat Record</v>
      </c>
      <c r="AU151" s="3" t="s">
        <v>2100</v>
      </c>
      <c r="AV151" s="3" t="s">
        <v>2101</v>
      </c>
      <c r="AW151" s="3" t="s">
        <v>2102</v>
      </c>
      <c r="AX151" s="3" t="s">
        <v>2102</v>
      </c>
      <c r="AY151" s="3" t="s">
        <v>2103</v>
      </c>
      <c r="AZ151" s="3" t="s">
        <v>74</v>
      </c>
      <c r="BB151" s="3" t="s">
        <v>2104</v>
      </c>
      <c r="BC151" s="3" t="s">
        <v>2105</v>
      </c>
      <c r="BD151" s="3" t="s">
        <v>2106</v>
      </c>
    </row>
    <row r="152" spans="1:56" ht="34.5" customHeight="1" x14ac:dyDescent="0.25">
      <c r="A152" s="7" t="s">
        <v>58</v>
      </c>
      <c r="B152" s="2" t="s">
        <v>2107</v>
      </c>
      <c r="C152" s="2" t="s">
        <v>2108</v>
      </c>
      <c r="D152" s="2" t="s">
        <v>2109</v>
      </c>
      <c r="F152" s="3" t="s">
        <v>58</v>
      </c>
      <c r="G152" s="3" t="s">
        <v>59</v>
      </c>
      <c r="H152" s="3" t="s">
        <v>58</v>
      </c>
      <c r="I152" s="3" t="s">
        <v>58</v>
      </c>
      <c r="J152" s="3" t="s">
        <v>60</v>
      </c>
      <c r="K152" s="2" t="s">
        <v>2110</v>
      </c>
      <c r="L152" s="2" t="s">
        <v>2111</v>
      </c>
      <c r="M152" s="3" t="s">
        <v>162</v>
      </c>
      <c r="N152" s="2" t="s">
        <v>2112</v>
      </c>
      <c r="O152" s="3" t="s">
        <v>64</v>
      </c>
      <c r="P152" s="3" t="s">
        <v>65</v>
      </c>
      <c r="Q152" s="2" t="s">
        <v>2113</v>
      </c>
      <c r="R152" s="3" t="s">
        <v>66</v>
      </c>
      <c r="S152" s="4">
        <v>1</v>
      </c>
      <c r="T152" s="4">
        <v>1</v>
      </c>
      <c r="U152" s="5" t="s">
        <v>2114</v>
      </c>
      <c r="V152" s="5" t="s">
        <v>2114</v>
      </c>
      <c r="W152" s="5" t="s">
        <v>2114</v>
      </c>
      <c r="X152" s="5" t="s">
        <v>2114</v>
      </c>
      <c r="Y152" s="4">
        <v>338</v>
      </c>
      <c r="Z152" s="4">
        <v>308</v>
      </c>
      <c r="AA152" s="4">
        <v>753</v>
      </c>
      <c r="AB152" s="4">
        <v>3</v>
      </c>
      <c r="AC152" s="4">
        <v>5</v>
      </c>
      <c r="AD152" s="4">
        <v>11</v>
      </c>
      <c r="AE152" s="4">
        <v>33</v>
      </c>
      <c r="AF152" s="4">
        <v>2</v>
      </c>
      <c r="AG152" s="4">
        <v>14</v>
      </c>
      <c r="AH152" s="4">
        <v>5</v>
      </c>
      <c r="AI152" s="4">
        <v>9</v>
      </c>
      <c r="AJ152" s="4">
        <v>5</v>
      </c>
      <c r="AK152" s="4">
        <v>17</v>
      </c>
      <c r="AL152" s="4">
        <v>1</v>
      </c>
      <c r="AM152" s="4">
        <v>3</v>
      </c>
      <c r="AN152" s="4">
        <v>0</v>
      </c>
      <c r="AO152" s="4">
        <v>0</v>
      </c>
      <c r="AP152" s="3" t="s">
        <v>58</v>
      </c>
      <c r="AQ152" s="3" t="s">
        <v>69</v>
      </c>
      <c r="AR152" s="6" t="str">
        <f>HYPERLINK("http://catalog.hathitrust.org/Record/102081352","HathiTrust Record")</f>
        <v>HathiTrust Record</v>
      </c>
      <c r="AS152" s="6" t="str">
        <f>HYPERLINK("https://creighton-primo.hosted.exlibrisgroup.com/primo-explore/search?tab=default_tab&amp;search_scope=EVERYTHING&amp;vid=01CRU&amp;lang=en_US&amp;offset=0&amp;query=any,contains,991005220849702656","Catalog Record")</f>
        <v>Catalog Record</v>
      </c>
      <c r="AT152" s="6" t="str">
        <f>HYPERLINK("http://www.worldcat.org/oclc/10799301","WorldCat Record")</f>
        <v>WorldCat Record</v>
      </c>
      <c r="AU152" s="3" t="s">
        <v>2115</v>
      </c>
      <c r="AV152" s="3" t="s">
        <v>2116</v>
      </c>
      <c r="AW152" s="3" t="s">
        <v>2117</v>
      </c>
      <c r="AX152" s="3" t="s">
        <v>2117</v>
      </c>
      <c r="AY152" s="3" t="s">
        <v>2118</v>
      </c>
      <c r="AZ152" s="3" t="s">
        <v>74</v>
      </c>
      <c r="BB152" s="3" t="s">
        <v>2119</v>
      </c>
      <c r="BC152" s="3" t="s">
        <v>2120</v>
      </c>
      <c r="BD152" s="3" t="s">
        <v>2121</v>
      </c>
    </row>
    <row r="153" spans="1:56" ht="34.5" customHeight="1" x14ac:dyDescent="0.25">
      <c r="A153" s="7" t="s">
        <v>58</v>
      </c>
      <c r="B153" s="2" t="s">
        <v>2122</v>
      </c>
      <c r="C153" s="2" t="s">
        <v>2123</v>
      </c>
      <c r="D153" s="2" t="s">
        <v>2124</v>
      </c>
      <c r="F153" s="3" t="s">
        <v>58</v>
      </c>
      <c r="G153" s="3" t="s">
        <v>59</v>
      </c>
      <c r="H153" s="3" t="s">
        <v>58</v>
      </c>
      <c r="I153" s="3" t="s">
        <v>58</v>
      </c>
      <c r="J153" s="3" t="s">
        <v>60</v>
      </c>
      <c r="L153" s="2" t="s">
        <v>2125</v>
      </c>
      <c r="M153" s="3" t="s">
        <v>550</v>
      </c>
      <c r="O153" s="3" t="s">
        <v>64</v>
      </c>
      <c r="P153" s="3" t="s">
        <v>65</v>
      </c>
      <c r="R153" s="3" t="s">
        <v>66</v>
      </c>
      <c r="S153" s="4">
        <v>4</v>
      </c>
      <c r="T153" s="4">
        <v>4</v>
      </c>
      <c r="U153" s="5" t="s">
        <v>2126</v>
      </c>
      <c r="V153" s="5" t="s">
        <v>2126</v>
      </c>
      <c r="W153" s="5" t="s">
        <v>2127</v>
      </c>
      <c r="X153" s="5" t="s">
        <v>2127</v>
      </c>
      <c r="Y153" s="4">
        <v>1646</v>
      </c>
      <c r="Z153" s="4">
        <v>1571</v>
      </c>
      <c r="AA153" s="4">
        <v>1783</v>
      </c>
      <c r="AB153" s="4">
        <v>12</v>
      </c>
      <c r="AC153" s="4">
        <v>17</v>
      </c>
      <c r="AD153" s="4">
        <v>41</v>
      </c>
      <c r="AE153" s="4">
        <v>44</v>
      </c>
      <c r="AF153" s="4">
        <v>18</v>
      </c>
      <c r="AG153" s="4">
        <v>20</v>
      </c>
      <c r="AH153" s="4">
        <v>4</v>
      </c>
      <c r="AI153" s="4">
        <v>5</v>
      </c>
      <c r="AJ153" s="4">
        <v>20</v>
      </c>
      <c r="AK153" s="4">
        <v>20</v>
      </c>
      <c r="AL153" s="4">
        <v>7</v>
      </c>
      <c r="AM153" s="4">
        <v>8</v>
      </c>
      <c r="AN153" s="4">
        <v>0</v>
      </c>
      <c r="AO153" s="4">
        <v>0</v>
      </c>
      <c r="AP153" s="3" t="s">
        <v>58</v>
      </c>
      <c r="AQ153" s="3" t="s">
        <v>69</v>
      </c>
      <c r="AR153" s="6" t="str">
        <f>HYPERLINK("http://catalog.hathitrust.org/Record/000566525","HathiTrust Record")</f>
        <v>HathiTrust Record</v>
      </c>
      <c r="AS153" s="6" t="str">
        <f>HYPERLINK("https://creighton-primo.hosted.exlibrisgroup.com/primo-explore/search?tab=default_tab&amp;search_scope=EVERYTHING&amp;vid=01CRU&amp;lang=en_US&amp;offset=0&amp;query=any,contains,991002805149702656","Catalog Record")</f>
        <v>Catalog Record</v>
      </c>
      <c r="AT153" s="6" t="str">
        <f>HYPERLINK("http://www.worldcat.org/oclc/449235","WorldCat Record")</f>
        <v>WorldCat Record</v>
      </c>
      <c r="AU153" s="3" t="s">
        <v>2128</v>
      </c>
      <c r="AV153" s="3" t="s">
        <v>2129</v>
      </c>
      <c r="AW153" s="3" t="s">
        <v>2130</v>
      </c>
      <c r="AX153" s="3" t="s">
        <v>2130</v>
      </c>
      <c r="AY153" s="3" t="s">
        <v>2131</v>
      </c>
      <c r="AZ153" s="3" t="s">
        <v>74</v>
      </c>
      <c r="BC153" s="3" t="s">
        <v>2132</v>
      </c>
      <c r="BD153" s="3" t="s">
        <v>2133</v>
      </c>
    </row>
    <row r="154" spans="1:56" ht="34.5" customHeight="1" x14ac:dyDescent="0.25">
      <c r="A154" s="7" t="s">
        <v>58</v>
      </c>
      <c r="B154" s="2" t="s">
        <v>2134</v>
      </c>
      <c r="C154" s="2" t="s">
        <v>2135</v>
      </c>
      <c r="D154" s="2" t="s">
        <v>2136</v>
      </c>
      <c r="F154" s="3" t="s">
        <v>58</v>
      </c>
      <c r="G154" s="3" t="s">
        <v>59</v>
      </c>
      <c r="H154" s="3" t="s">
        <v>58</v>
      </c>
      <c r="I154" s="3" t="s">
        <v>58</v>
      </c>
      <c r="J154" s="3" t="s">
        <v>60</v>
      </c>
      <c r="K154" s="2" t="s">
        <v>2137</v>
      </c>
      <c r="L154" s="2" t="s">
        <v>2138</v>
      </c>
      <c r="M154" s="3" t="s">
        <v>819</v>
      </c>
      <c r="O154" s="3" t="s">
        <v>64</v>
      </c>
      <c r="P154" s="3" t="s">
        <v>84</v>
      </c>
      <c r="R154" s="3" t="s">
        <v>66</v>
      </c>
      <c r="S154" s="4">
        <v>4</v>
      </c>
      <c r="T154" s="4">
        <v>4</v>
      </c>
      <c r="U154" s="5" t="s">
        <v>2139</v>
      </c>
      <c r="V154" s="5" t="s">
        <v>2139</v>
      </c>
      <c r="W154" s="5" t="s">
        <v>2140</v>
      </c>
      <c r="X154" s="5" t="s">
        <v>2140</v>
      </c>
      <c r="Y154" s="4">
        <v>141</v>
      </c>
      <c r="Z154" s="4">
        <v>101</v>
      </c>
      <c r="AA154" s="4">
        <v>104</v>
      </c>
      <c r="AB154" s="4">
        <v>2</v>
      </c>
      <c r="AC154" s="4">
        <v>2</v>
      </c>
      <c r="AD154" s="4">
        <v>3</v>
      </c>
      <c r="AE154" s="4">
        <v>3</v>
      </c>
      <c r="AF154" s="4">
        <v>0</v>
      </c>
      <c r="AG154" s="4">
        <v>0</v>
      </c>
      <c r="AH154" s="4">
        <v>0</v>
      </c>
      <c r="AI154" s="4">
        <v>0</v>
      </c>
      <c r="AJ154" s="4">
        <v>2</v>
      </c>
      <c r="AK154" s="4">
        <v>2</v>
      </c>
      <c r="AL154" s="4">
        <v>1</v>
      </c>
      <c r="AM154" s="4">
        <v>1</v>
      </c>
      <c r="AN154" s="4">
        <v>0</v>
      </c>
      <c r="AO154" s="4">
        <v>0</v>
      </c>
      <c r="AP154" s="3" t="s">
        <v>58</v>
      </c>
      <c r="AQ154" s="3" t="s">
        <v>69</v>
      </c>
      <c r="AR154" s="6" t="str">
        <f>HYPERLINK("http://catalog.hathitrust.org/Record/101849473","HathiTrust Record")</f>
        <v>HathiTrust Record</v>
      </c>
      <c r="AS154" s="6" t="str">
        <f>HYPERLINK("https://creighton-primo.hosted.exlibrisgroup.com/primo-explore/search?tab=default_tab&amp;search_scope=EVERYTHING&amp;vid=01CRU&amp;lang=en_US&amp;offset=0&amp;query=any,contains,991003599159702656","Catalog Record")</f>
        <v>Catalog Record</v>
      </c>
      <c r="AT154" s="6" t="str">
        <f>HYPERLINK("http://www.worldcat.org/oclc/1176883","WorldCat Record")</f>
        <v>WorldCat Record</v>
      </c>
      <c r="AU154" s="3" t="s">
        <v>2141</v>
      </c>
      <c r="AV154" s="3" t="s">
        <v>2142</v>
      </c>
      <c r="AW154" s="3" t="s">
        <v>2143</v>
      </c>
      <c r="AX154" s="3" t="s">
        <v>2143</v>
      </c>
      <c r="AY154" s="3" t="s">
        <v>2144</v>
      </c>
      <c r="AZ154" s="3" t="s">
        <v>74</v>
      </c>
      <c r="BB154" s="3" t="s">
        <v>2145</v>
      </c>
      <c r="BC154" s="3" t="s">
        <v>2146</v>
      </c>
      <c r="BD154" s="3" t="s">
        <v>2147</v>
      </c>
    </row>
    <row r="155" spans="1:56" ht="34.5" customHeight="1" x14ac:dyDescent="0.25">
      <c r="A155" s="7" t="s">
        <v>58</v>
      </c>
      <c r="B155" s="2" t="s">
        <v>2148</v>
      </c>
      <c r="C155" s="2" t="s">
        <v>2149</v>
      </c>
      <c r="D155" s="2" t="s">
        <v>2150</v>
      </c>
      <c r="F155" s="3" t="s">
        <v>58</v>
      </c>
      <c r="G155" s="3" t="s">
        <v>59</v>
      </c>
      <c r="H155" s="3" t="s">
        <v>58</v>
      </c>
      <c r="I155" s="3" t="s">
        <v>58</v>
      </c>
      <c r="J155" s="3" t="s">
        <v>60</v>
      </c>
      <c r="K155" s="2" t="s">
        <v>2151</v>
      </c>
      <c r="L155" s="2" t="s">
        <v>2152</v>
      </c>
      <c r="M155" s="3" t="s">
        <v>99</v>
      </c>
      <c r="O155" s="3" t="s">
        <v>64</v>
      </c>
      <c r="P155" s="3" t="s">
        <v>65</v>
      </c>
      <c r="Q155" s="2" t="s">
        <v>2153</v>
      </c>
      <c r="R155" s="3" t="s">
        <v>66</v>
      </c>
      <c r="S155" s="4">
        <v>4</v>
      </c>
      <c r="T155" s="4">
        <v>4</v>
      </c>
      <c r="U155" s="5" t="s">
        <v>2154</v>
      </c>
      <c r="V155" s="5" t="s">
        <v>2154</v>
      </c>
      <c r="W155" s="5" t="s">
        <v>2155</v>
      </c>
      <c r="X155" s="5" t="s">
        <v>2155</v>
      </c>
      <c r="Y155" s="4">
        <v>663</v>
      </c>
      <c r="Z155" s="4">
        <v>600</v>
      </c>
      <c r="AA155" s="4">
        <v>1244</v>
      </c>
      <c r="AB155" s="4">
        <v>1</v>
      </c>
      <c r="AC155" s="4">
        <v>4</v>
      </c>
      <c r="AD155" s="4">
        <v>15</v>
      </c>
      <c r="AE155" s="4">
        <v>36</v>
      </c>
      <c r="AF155" s="4">
        <v>8</v>
      </c>
      <c r="AG155" s="4">
        <v>19</v>
      </c>
      <c r="AH155" s="4">
        <v>7</v>
      </c>
      <c r="AI155" s="4">
        <v>8</v>
      </c>
      <c r="AJ155" s="4">
        <v>5</v>
      </c>
      <c r="AK155" s="4">
        <v>16</v>
      </c>
      <c r="AL155" s="4">
        <v>0</v>
      </c>
      <c r="AM155" s="4">
        <v>2</v>
      </c>
      <c r="AN155" s="4">
        <v>0</v>
      </c>
      <c r="AO155" s="4">
        <v>0</v>
      </c>
      <c r="AP155" s="3" t="s">
        <v>58</v>
      </c>
      <c r="AQ155" s="3" t="s">
        <v>69</v>
      </c>
      <c r="AR155" s="6" t="str">
        <f>HYPERLINK("http://catalog.hathitrust.org/Record/000692138","HathiTrust Record")</f>
        <v>HathiTrust Record</v>
      </c>
      <c r="AS155" s="6" t="str">
        <f>HYPERLINK("https://creighton-primo.hosted.exlibrisgroup.com/primo-explore/search?tab=default_tab&amp;search_scope=EVERYTHING&amp;vid=01CRU&amp;lang=en_US&amp;offset=0&amp;query=any,contains,991004840739702656","Catalog Record")</f>
        <v>Catalog Record</v>
      </c>
      <c r="AT155" s="6" t="str">
        <f>HYPERLINK("http://www.worldcat.org/oclc/5497803","WorldCat Record")</f>
        <v>WorldCat Record</v>
      </c>
      <c r="AU155" s="3" t="s">
        <v>2156</v>
      </c>
      <c r="AV155" s="3" t="s">
        <v>2157</v>
      </c>
      <c r="AW155" s="3" t="s">
        <v>2158</v>
      </c>
      <c r="AX155" s="3" t="s">
        <v>2158</v>
      </c>
      <c r="AY155" s="3" t="s">
        <v>2159</v>
      </c>
      <c r="AZ155" s="3" t="s">
        <v>74</v>
      </c>
      <c r="BB155" s="3" t="s">
        <v>2160</v>
      </c>
      <c r="BC155" s="3" t="s">
        <v>2161</v>
      </c>
      <c r="BD155" s="3" t="s">
        <v>2162</v>
      </c>
    </row>
    <row r="156" spans="1:56" ht="34.5" customHeight="1" x14ac:dyDescent="0.25">
      <c r="A156" s="7" t="s">
        <v>58</v>
      </c>
      <c r="B156" s="2" t="s">
        <v>2163</v>
      </c>
      <c r="C156" s="2" t="s">
        <v>2164</v>
      </c>
      <c r="D156" s="2" t="s">
        <v>2165</v>
      </c>
      <c r="E156" s="3" t="s">
        <v>2166</v>
      </c>
      <c r="F156" s="3" t="s">
        <v>69</v>
      </c>
      <c r="G156" s="3" t="s">
        <v>59</v>
      </c>
      <c r="H156" s="3" t="s">
        <v>58</v>
      </c>
      <c r="I156" s="3" t="s">
        <v>58</v>
      </c>
      <c r="J156" s="3" t="s">
        <v>60</v>
      </c>
      <c r="K156" s="2" t="s">
        <v>2167</v>
      </c>
      <c r="L156" s="2" t="s">
        <v>2168</v>
      </c>
      <c r="M156" s="3" t="s">
        <v>819</v>
      </c>
      <c r="O156" s="3" t="s">
        <v>64</v>
      </c>
      <c r="P156" s="3" t="s">
        <v>65</v>
      </c>
      <c r="R156" s="3" t="s">
        <v>66</v>
      </c>
      <c r="S156" s="4">
        <v>3</v>
      </c>
      <c r="T156" s="4">
        <v>11</v>
      </c>
      <c r="V156" s="5" t="s">
        <v>2169</v>
      </c>
      <c r="W156" s="5" t="s">
        <v>102</v>
      </c>
      <c r="X156" s="5" t="s">
        <v>102</v>
      </c>
      <c r="Y156" s="4">
        <v>260</v>
      </c>
      <c r="Z156" s="4">
        <v>208</v>
      </c>
      <c r="AA156" s="4">
        <v>381</v>
      </c>
      <c r="AB156" s="4">
        <v>2</v>
      </c>
      <c r="AC156" s="4">
        <v>3</v>
      </c>
      <c r="AD156" s="4">
        <v>6</v>
      </c>
      <c r="AE156" s="4">
        <v>10</v>
      </c>
      <c r="AF156" s="4">
        <v>2</v>
      </c>
      <c r="AG156" s="4">
        <v>2</v>
      </c>
      <c r="AH156" s="4">
        <v>1</v>
      </c>
      <c r="AI156" s="4">
        <v>1</v>
      </c>
      <c r="AJ156" s="4">
        <v>3</v>
      </c>
      <c r="AK156" s="4">
        <v>6</v>
      </c>
      <c r="AL156" s="4">
        <v>1</v>
      </c>
      <c r="AM156" s="4">
        <v>2</v>
      </c>
      <c r="AN156" s="4">
        <v>0</v>
      </c>
      <c r="AO156" s="4">
        <v>0</v>
      </c>
      <c r="AP156" s="3" t="s">
        <v>58</v>
      </c>
      <c r="AQ156" s="3" t="s">
        <v>69</v>
      </c>
      <c r="AR156" s="6" t="str">
        <f>HYPERLINK("http://catalog.hathitrust.org/Record/009917186","HathiTrust Record")</f>
        <v>HathiTrust Record</v>
      </c>
      <c r="AS156" s="6" t="str">
        <f>HYPERLINK("https://creighton-primo.hosted.exlibrisgroup.com/primo-explore/search?tab=default_tab&amp;search_scope=EVERYTHING&amp;vid=01CRU&amp;lang=en_US&amp;offset=0&amp;query=any,contains,991003940409702656","Catalog Record")</f>
        <v>Catalog Record</v>
      </c>
      <c r="AT156" s="6" t="str">
        <f>HYPERLINK("http://www.worldcat.org/oclc/1928737","WorldCat Record")</f>
        <v>WorldCat Record</v>
      </c>
      <c r="AU156" s="3" t="s">
        <v>2170</v>
      </c>
      <c r="AV156" s="3" t="s">
        <v>2171</v>
      </c>
      <c r="AW156" s="3" t="s">
        <v>2172</v>
      </c>
      <c r="AX156" s="3" t="s">
        <v>2172</v>
      </c>
      <c r="AY156" s="3" t="s">
        <v>2173</v>
      </c>
      <c r="AZ156" s="3" t="s">
        <v>74</v>
      </c>
      <c r="BB156" s="3" t="s">
        <v>2174</v>
      </c>
      <c r="BC156" s="3" t="s">
        <v>2175</v>
      </c>
      <c r="BD156" s="3" t="s">
        <v>2176</v>
      </c>
    </row>
    <row r="157" spans="1:56" ht="34.5" customHeight="1" x14ac:dyDescent="0.25">
      <c r="A157" s="7" t="s">
        <v>58</v>
      </c>
      <c r="B157" s="2" t="s">
        <v>2163</v>
      </c>
      <c r="C157" s="2" t="s">
        <v>2164</v>
      </c>
      <c r="D157" s="2" t="s">
        <v>2165</v>
      </c>
      <c r="E157" s="3" t="s">
        <v>202</v>
      </c>
      <c r="F157" s="3" t="s">
        <v>69</v>
      </c>
      <c r="G157" s="3" t="s">
        <v>59</v>
      </c>
      <c r="H157" s="3" t="s">
        <v>58</v>
      </c>
      <c r="I157" s="3" t="s">
        <v>58</v>
      </c>
      <c r="J157" s="3" t="s">
        <v>60</v>
      </c>
      <c r="K157" s="2" t="s">
        <v>2167</v>
      </c>
      <c r="L157" s="2" t="s">
        <v>2168</v>
      </c>
      <c r="M157" s="3" t="s">
        <v>819</v>
      </c>
      <c r="O157" s="3" t="s">
        <v>64</v>
      </c>
      <c r="P157" s="3" t="s">
        <v>65</v>
      </c>
      <c r="R157" s="3" t="s">
        <v>66</v>
      </c>
      <c r="S157" s="4">
        <v>5</v>
      </c>
      <c r="T157" s="4">
        <v>11</v>
      </c>
      <c r="U157" s="5" t="s">
        <v>2169</v>
      </c>
      <c r="V157" s="5" t="s">
        <v>2169</v>
      </c>
      <c r="W157" s="5" t="s">
        <v>102</v>
      </c>
      <c r="X157" s="5" t="s">
        <v>102</v>
      </c>
      <c r="Y157" s="4">
        <v>260</v>
      </c>
      <c r="Z157" s="4">
        <v>208</v>
      </c>
      <c r="AA157" s="4">
        <v>381</v>
      </c>
      <c r="AB157" s="4">
        <v>2</v>
      </c>
      <c r="AC157" s="4">
        <v>3</v>
      </c>
      <c r="AD157" s="4">
        <v>6</v>
      </c>
      <c r="AE157" s="4">
        <v>10</v>
      </c>
      <c r="AF157" s="4">
        <v>2</v>
      </c>
      <c r="AG157" s="4">
        <v>2</v>
      </c>
      <c r="AH157" s="4">
        <v>1</v>
      </c>
      <c r="AI157" s="4">
        <v>1</v>
      </c>
      <c r="AJ157" s="4">
        <v>3</v>
      </c>
      <c r="AK157" s="4">
        <v>6</v>
      </c>
      <c r="AL157" s="4">
        <v>1</v>
      </c>
      <c r="AM157" s="4">
        <v>2</v>
      </c>
      <c r="AN157" s="4">
        <v>0</v>
      </c>
      <c r="AO157" s="4">
        <v>0</v>
      </c>
      <c r="AP157" s="3" t="s">
        <v>58</v>
      </c>
      <c r="AQ157" s="3" t="s">
        <v>69</v>
      </c>
      <c r="AR157" s="6" t="str">
        <f>HYPERLINK("http://catalog.hathitrust.org/Record/009917186","HathiTrust Record")</f>
        <v>HathiTrust Record</v>
      </c>
      <c r="AS157" s="6" t="str">
        <f>HYPERLINK("https://creighton-primo.hosted.exlibrisgroup.com/primo-explore/search?tab=default_tab&amp;search_scope=EVERYTHING&amp;vid=01CRU&amp;lang=en_US&amp;offset=0&amp;query=any,contains,991003940409702656","Catalog Record")</f>
        <v>Catalog Record</v>
      </c>
      <c r="AT157" s="6" t="str">
        <f>HYPERLINK("http://www.worldcat.org/oclc/1928737","WorldCat Record")</f>
        <v>WorldCat Record</v>
      </c>
      <c r="AU157" s="3" t="s">
        <v>2170</v>
      </c>
      <c r="AV157" s="3" t="s">
        <v>2171</v>
      </c>
      <c r="AW157" s="3" t="s">
        <v>2172</v>
      </c>
      <c r="AX157" s="3" t="s">
        <v>2172</v>
      </c>
      <c r="AY157" s="3" t="s">
        <v>2173</v>
      </c>
      <c r="AZ157" s="3" t="s">
        <v>74</v>
      </c>
      <c r="BB157" s="3" t="s">
        <v>2174</v>
      </c>
      <c r="BC157" s="3" t="s">
        <v>2177</v>
      </c>
      <c r="BD157" s="3" t="s">
        <v>2178</v>
      </c>
    </row>
    <row r="158" spans="1:56" ht="34.5" customHeight="1" x14ac:dyDescent="0.25">
      <c r="A158" s="7" t="s">
        <v>58</v>
      </c>
      <c r="B158" s="2" t="s">
        <v>2163</v>
      </c>
      <c r="C158" s="2" t="s">
        <v>2164</v>
      </c>
      <c r="D158" s="2" t="s">
        <v>2165</v>
      </c>
      <c r="E158" s="3" t="s">
        <v>190</v>
      </c>
      <c r="F158" s="3" t="s">
        <v>69</v>
      </c>
      <c r="G158" s="3" t="s">
        <v>59</v>
      </c>
      <c r="H158" s="3" t="s">
        <v>58</v>
      </c>
      <c r="I158" s="3" t="s">
        <v>58</v>
      </c>
      <c r="J158" s="3" t="s">
        <v>60</v>
      </c>
      <c r="K158" s="2" t="s">
        <v>2167</v>
      </c>
      <c r="L158" s="2" t="s">
        <v>2168</v>
      </c>
      <c r="M158" s="3" t="s">
        <v>819</v>
      </c>
      <c r="O158" s="3" t="s">
        <v>64</v>
      </c>
      <c r="P158" s="3" t="s">
        <v>65</v>
      </c>
      <c r="R158" s="3" t="s">
        <v>66</v>
      </c>
      <c r="S158" s="4">
        <v>3</v>
      </c>
      <c r="T158" s="4">
        <v>11</v>
      </c>
      <c r="V158" s="5" t="s">
        <v>2169</v>
      </c>
      <c r="W158" s="5" t="s">
        <v>102</v>
      </c>
      <c r="X158" s="5" t="s">
        <v>102</v>
      </c>
      <c r="Y158" s="4">
        <v>260</v>
      </c>
      <c r="Z158" s="4">
        <v>208</v>
      </c>
      <c r="AA158" s="4">
        <v>381</v>
      </c>
      <c r="AB158" s="4">
        <v>2</v>
      </c>
      <c r="AC158" s="4">
        <v>3</v>
      </c>
      <c r="AD158" s="4">
        <v>6</v>
      </c>
      <c r="AE158" s="4">
        <v>10</v>
      </c>
      <c r="AF158" s="4">
        <v>2</v>
      </c>
      <c r="AG158" s="4">
        <v>2</v>
      </c>
      <c r="AH158" s="4">
        <v>1</v>
      </c>
      <c r="AI158" s="4">
        <v>1</v>
      </c>
      <c r="AJ158" s="4">
        <v>3</v>
      </c>
      <c r="AK158" s="4">
        <v>6</v>
      </c>
      <c r="AL158" s="4">
        <v>1</v>
      </c>
      <c r="AM158" s="4">
        <v>2</v>
      </c>
      <c r="AN158" s="4">
        <v>0</v>
      </c>
      <c r="AO158" s="4">
        <v>0</v>
      </c>
      <c r="AP158" s="3" t="s">
        <v>58</v>
      </c>
      <c r="AQ158" s="3" t="s">
        <v>69</v>
      </c>
      <c r="AR158" s="6" t="str">
        <f>HYPERLINK("http://catalog.hathitrust.org/Record/009917186","HathiTrust Record")</f>
        <v>HathiTrust Record</v>
      </c>
      <c r="AS158" s="6" t="str">
        <f>HYPERLINK("https://creighton-primo.hosted.exlibrisgroup.com/primo-explore/search?tab=default_tab&amp;search_scope=EVERYTHING&amp;vid=01CRU&amp;lang=en_US&amp;offset=0&amp;query=any,contains,991003940409702656","Catalog Record")</f>
        <v>Catalog Record</v>
      </c>
      <c r="AT158" s="6" t="str">
        <f>HYPERLINK("http://www.worldcat.org/oclc/1928737","WorldCat Record")</f>
        <v>WorldCat Record</v>
      </c>
      <c r="AU158" s="3" t="s">
        <v>2170</v>
      </c>
      <c r="AV158" s="3" t="s">
        <v>2171</v>
      </c>
      <c r="AW158" s="3" t="s">
        <v>2172</v>
      </c>
      <c r="AX158" s="3" t="s">
        <v>2172</v>
      </c>
      <c r="AY158" s="3" t="s">
        <v>2173</v>
      </c>
      <c r="AZ158" s="3" t="s">
        <v>74</v>
      </c>
      <c r="BB158" s="3" t="s">
        <v>2174</v>
      </c>
      <c r="BC158" s="3" t="s">
        <v>2179</v>
      </c>
      <c r="BD158" s="3" t="s">
        <v>2180</v>
      </c>
    </row>
    <row r="159" spans="1:56" ht="34.5" customHeight="1" x14ac:dyDescent="0.25">
      <c r="A159" s="7" t="s">
        <v>58</v>
      </c>
      <c r="B159" s="2" t="s">
        <v>2181</v>
      </c>
      <c r="C159" s="2" t="s">
        <v>2182</v>
      </c>
      <c r="D159" s="2" t="s">
        <v>2183</v>
      </c>
      <c r="F159" s="3" t="s">
        <v>58</v>
      </c>
      <c r="G159" s="3" t="s">
        <v>59</v>
      </c>
      <c r="H159" s="3" t="s">
        <v>58</v>
      </c>
      <c r="I159" s="3" t="s">
        <v>58</v>
      </c>
      <c r="J159" s="3" t="s">
        <v>60</v>
      </c>
      <c r="K159" s="2" t="s">
        <v>2184</v>
      </c>
      <c r="L159" s="2" t="s">
        <v>2185</v>
      </c>
      <c r="M159" s="3" t="s">
        <v>1234</v>
      </c>
      <c r="O159" s="3" t="s">
        <v>64</v>
      </c>
      <c r="P159" s="3" t="s">
        <v>670</v>
      </c>
      <c r="Q159" s="2" t="s">
        <v>2186</v>
      </c>
      <c r="R159" s="3" t="s">
        <v>66</v>
      </c>
      <c r="S159" s="4">
        <v>3</v>
      </c>
      <c r="T159" s="4">
        <v>3</v>
      </c>
      <c r="U159" s="5" t="s">
        <v>2187</v>
      </c>
      <c r="V159" s="5" t="s">
        <v>2187</v>
      </c>
      <c r="W159" s="5" t="s">
        <v>68</v>
      </c>
      <c r="X159" s="5" t="s">
        <v>68</v>
      </c>
      <c r="Y159" s="4">
        <v>67</v>
      </c>
      <c r="Z159" s="4">
        <v>27</v>
      </c>
      <c r="AA159" s="4">
        <v>1300</v>
      </c>
      <c r="AB159" s="4">
        <v>1</v>
      </c>
      <c r="AC159" s="4">
        <v>10</v>
      </c>
      <c r="AD159" s="4">
        <v>1</v>
      </c>
      <c r="AE159" s="4">
        <v>47</v>
      </c>
      <c r="AF159" s="4">
        <v>1</v>
      </c>
      <c r="AG159" s="4">
        <v>18</v>
      </c>
      <c r="AH159" s="4">
        <v>1</v>
      </c>
      <c r="AI159" s="4">
        <v>9</v>
      </c>
      <c r="AJ159" s="4">
        <v>0</v>
      </c>
      <c r="AK159" s="4">
        <v>22</v>
      </c>
      <c r="AL159" s="4">
        <v>0</v>
      </c>
      <c r="AM159" s="4">
        <v>8</v>
      </c>
      <c r="AN159" s="4">
        <v>0</v>
      </c>
      <c r="AO159" s="4">
        <v>0</v>
      </c>
      <c r="AP159" s="3" t="s">
        <v>58</v>
      </c>
      <c r="AQ159" s="3" t="s">
        <v>58</v>
      </c>
      <c r="AS159" s="6" t="str">
        <f>HYPERLINK("https://creighton-primo.hosted.exlibrisgroup.com/primo-explore/search?tab=default_tab&amp;search_scope=EVERYTHING&amp;vid=01CRU&amp;lang=en_US&amp;offset=0&amp;query=any,contains,991003716999702656","Catalog Record")</f>
        <v>Catalog Record</v>
      </c>
      <c r="AT159" s="6" t="str">
        <f>HYPERLINK("http://www.worldcat.org/oclc/1362785","WorldCat Record")</f>
        <v>WorldCat Record</v>
      </c>
      <c r="AU159" s="3" t="s">
        <v>2188</v>
      </c>
      <c r="AV159" s="3" t="s">
        <v>2189</v>
      </c>
      <c r="AW159" s="3" t="s">
        <v>2190</v>
      </c>
      <c r="AX159" s="3" t="s">
        <v>2190</v>
      </c>
      <c r="AY159" s="3" t="s">
        <v>2191</v>
      </c>
      <c r="AZ159" s="3" t="s">
        <v>74</v>
      </c>
      <c r="BC159" s="3" t="s">
        <v>2192</v>
      </c>
      <c r="BD159" s="3" t="s">
        <v>2193</v>
      </c>
    </row>
    <row r="160" spans="1:56" ht="34.5" customHeight="1" x14ac:dyDescent="0.25">
      <c r="A160" s="7" t="s">
        <v>58</v>
      </c>
      <c r="B160" s="2" t="s">
        <v>2194</v>
      </c>
      <c r="C160" s="2" t="s">
        <v>2195</v>
      </c>
      <c r="D160" s="2" t="s">
        <v>2196</v>
      </c>
      <c r="F160" s="3" t="s">
        <v>58</v>
      </c>
      <c r="G160" s="3" t="s">
        <v>59</v>
      </c>
      <c r="H160" s="3" t="s">
        <v>58</v>
      </c>
      <c r="I160" s="3" t="s">
        <v>58</v>
      </c>
      <c r="J160" s="3" t="s">
        <v>60</v>
      </c>
      <c r="K160" s="2" t="s">
        <v>2197</v>
      </c>
      <c r="L160" s="2" t="s">
        <v>2198</v>
      </c>
      <c r="M160" s="3" t="s">
        <v>130</v>
      </c>
      <c r="O160" s="3" t="s">
        <v>64</v>
      </c>
      <c r="P160" s="3" t="s">
        <v>177</v>
      </c>
      <c r="Q160" s="2" t="s">
        <v>2199</v>
      </c>
      <c r="R160" s="3" t="s">
        <v>66</v>
      </c>
      <c r="S160" s="4">
        <v>9</v>
      </c>
      <c r="T160" s="4">
        <v>9</v>
      </c>
      <c r="U160" s="5" t="s">
        <v>2200</v>
      </c>
      <c r="V160" s="5" t="s">
        <v>2200</v>
      </c>
      <c r="W160" s="5" t="s">
        <v>685</v>
      </c>
      <c r="X160" s="5" t="s">
        <v>685</v>
      </c>
      <c r="Y160" s="4">
        <v>647</v>
      </c>
      <c r="Z160" s="4">
        <v>602</v>
      </c>
      <c r="AA160" s="4">
        <v>655</v>
      </c>
      <c r="AB160" s="4">
        <v>2</v>
      </c>
      <c r="AC160" s="4">
        <v>2</v>
      </c>
      <c r="AD160" s="4">
        <v>27</v>
      </c>
      <c r="AE160" s="4">
        <v>28</v>
      </c>
      <c r="AF160" s="4">
        <v>10</v>
      </c>
      <c r="AG160" s="4">
        <v>11</v>
      </c>
      <c r="AH160" s="4">
        <v>9</v>
      </c>
      <c r="AI160" s="4">
        <v>9</v>
      </c>
      <c r="AJ160" s="4">
        <v>14</v>
      </c>
      <c r="AK160" s="4">
        <v>14</v>
      </c>
      <c r="AL160" s="4">
        <v>1</v>
      </c>
      <c r="AM160" s="4">
        <v>1</v>
      </c>
      <c r="AN160" s="4">
        <v>0</v>
      </c>
      <c r="AO160" s="4">
        <v>0</v>
      </c>
      <c r="AP160" s="3" t="s">
        <v>58</v>
      </c>
      <c r="AQ160" s="3" t="s">
        <v>69</v>
      </c>
      <c r="AR160" s="6" t="str">
        <f>HYPERLINK("http://catalog.hathitrust.org/Record/003945217","HathiTrust Record")</f>
        <v>HathiTrust Record</v>
      </c>
      <c r="AS160" s="6" t="str">
        <f>HYPERLINK("https://creighton-primo.hosted.exlibrisgroup.com/primo-explore/search?tab=default_tab&amp;search_scope=EVERYTHING&amp;vid=01CRU&amp;lang=en_US&amp;offset=0&amp;query=any,contains,991002688439702656","Catalog Record")</f>
        <v>Catalog Record</v>
      </c>
      <c r="AT160" s="6" t="str">
        <f>HYPERLINK("http://www.worldcat.org/oclc/35121684","WorldCat Record")</f>
        <v>WorldCat Record</v>
      </c>
      <c r="AU160" s="3" t="s">
        <v>2201</v>
      </c>
      <c r="AV160" s="3" t="s">
        <v>2202</v>
      </c>
      <c r="AW160" s="3" t="s">
        <v>2203</v>
      </c>
      <c r="AX160" s="3" t="s">
        <v>2203</v>
      </c>
      <c r="AY160" s="3" t="s">
        <v>2204</v>
      </c>
      <c r="AZ160" s="3" t="s">
        <v>74</v>
      </c>
      <c r="BB160" s="3" t="s">
        <v>2205</v>
      </c>
      <c r="BC160" s="3" t="s">
        <v>2206</v>
      </c>
      <c r="BD160" s="3" t="s">
        <v>2207</v>
      </c>
    </row>
    <row r="161" spans="1:56" ht="34.5" customHeight="1" x14ac:dyDescent="0.25">
      <c r="A161" s="7" t="s">
        <v>58</v>
      </c>
      <c r="B161" s="2" t="s">
        <v>2208</v>
      </c>
      <c r="C161" s="2" t="s">
        <v>2209</v>
      </c>
      <c r="D161" s="2" t="s">
        <v>2210</v>
      </c>
      <c r="F161" s="3" t="s">
        <v>58</v>
      </c>
      <c r="G161" s="3" t="s">
        <v>59</v>
      </c>
      <c r="H161" s="3" t="s">
        <v>58</v>
      </c>
      <c r="I161" s="3" t="s">
        <v>58</v>
      </c>
      <c r="J161" s="3" t="s">
        <v>60</v>
      </c>
      <c r="K161" s="2" t="s">
        <v>2211</v>
      </c>
      <c r="L161" s="2" t="s">
        <v>2212</v>
      </c>
      <c r="M161" s="3" t="s">
        <v>382</v>
      </c>
      <c r="O161" s="3" t="s">
        <v>64</v>
      </c>
      <c r="P161" s="3" t="s">
        <v>65</v>
      </c>
      <c r="Q161" s="2" t="s">
        <v>2213</v>
      </c>
      <c r="R161" s="3" t="s">
        <v>66</v>
      </c>
      <c r="S161" s="4">
        <v>6</v>
      </c>
      <c r="T161" s="4">
        <v>6</v>
      </c>
      <c r="U161" s="5" t="s">
        <v>2214</v>
      </c>
      <c r="V161" s="5" t="s">
        <v>2214</v>
      </c>
      <c r="W161" s="5" t="s">
        <v>2215</v>
      </c>
      <c r="X161" s="5" t="s">
        <v>2215</v>
      </c>
      <c r="Y161" s="4">
        <v>359</v>
      </c>
      <c r="Z161" s="4">
        <v>308</v>
      </c>
      <c r="AA161" s="4">
        <v>443</v>
      </c>
      <c r="AB161" s="4">
        <v>3</v>
      </c>
      <c r="AC161" s="4">
        <v>3</v>
      </c>
      <c r="AD161" s="4">
        <v>11</v>
      </c>
      <c r="AE161" s="4">
        <v>22</v>
      </c>
      <c r="AF161" s="4">
        <v>2</v>
      </c>
      <c r="AG161" s="4">
        <v>10</v>
      </c>
      <c r="AH161" s="4">
        <v>5</v>
      </c>
      <c r="AI161" s="4">
        <v>5</v>
      </c>
      <c r="AJ161" s="4">
        <v>4</v>
      </c>
      <c r="AK161" s="4">
        <v>9</v>
      </c>
      <c r="AL161" s="4">
        <v>2</v>
      </c>
      <c r="AM161" s="4">
        <v>2</v>
      </c>
      <c r="AN161" s="4">
        <v>0</v>
      </c>
      <c r="AO161" s="4">
        <v>1</v>
      </c>
      <c r="AP161" s="3" t="s">
        <v>58</v>
      </c>
      <c r="AQ161" s="3" t="s">
        <v>69</v>
      </c>
      <c r="AR161" s="6" t="str">
        <f>HYPERLINK("http://catalog.hathitrust.org/Record/000806820","HathiTrust Record")</f>
        <v>HathiTrust Record</v>
      </c>
      <c r="AS161" s="6" t="str">
        <f>HYPERLINK("https://creighton-primo.hosted.exlibrisgroup.com/primo-explore/search?tab=default_tab&amp;search_scope=EVERYTHING&amp;vid=01CRU&amp;lang=en_US&amp;offset=0&amp;query=any,contains,991000760599702656","Catalog Record")</f>
        <v>Catalog Record</v>
      </c>
      <c r="AT161" s="6" t="str">
        <f>HYPERLINK("http://www.worldcat.org/oclc/12972939","WorldCat Record")</f>
        <v>WorldCat Record</v>
      </c>
      <c r="AU161" s="3" t="s">
        <v>2216</v>
      </c>
      <c r="AV161" s="3" t="s">
        <v>2217</v>
      </c>
      <c r="AW161" s="3" t="s">
        <v>2218</v>
      </c>
      <c r="AX161" s="3" t="s">
        <v>2218</v>
      </c>
      <c r="AY161" s="3" t="s">
        <v>2219</v>
      </c>
      <c r="AZ161" s="3" t="s">
        <v>74</v>
      </c>
      <c r="BB161" s="3" t="s">
        <v>2220</v>
      </c>
      <c r="BC161" s="3" t="s">
        <v>2221</v>
      </c>
      <c r="BD161" s="3" t="s">
        <v>2222</v>
      </c>
    </row>
    <row r="162" spans="1:56" ht="34.5" customHeight="1" x14ac:dyDescent="0.25">
      <c r="A162" s="7" t="s">
        <v>58</v>
      </c>
      <c r="B162" s="2" t="s">
        <v>2223</v>
      </c>
      <c r="C162" s="2" t="s">
        <v>2224</v>
      </c>
      <c r="D162" s="2" t="s">
        <v>2225</v>
      </c>
      <c r="F162" s="3" t="s">
        <v>58</v>
      </c>
      <c r="G162" s="3" t="s">
        <v>59</v>
      </c>
      <c r="H162" s="3" t="s">
        <v>58</v>
      </c>
      <c r="I162" s="3" t="s">
        <v>58</v>
      </c>
      <c r="J162" s="3" t="s">
        <v>60</v>
      </c>
      <c r="K162" s="2" t="s">
        <v>2226</v>
      </c>
      <c r="L162" s="2" t="s">
        <v>2227</v>
      </c>
      <c r="M162" s="3" t="s">
        <v>550</v>
      </c>
      <c r="O162" s="3" t="s">
        <v>64</v>
      </c>
      <c r="P162" s="3" t="s">
        <v>955</v>
      </c>
      <c r="Q162" s="2" t="s">
        <v>2228</v>
      </c>
      <c r="R162" s="3" t="s">
        <v>66</v>
      </c>
      <c r="S162" s="4">
        <v>3</v>
      </c>
      <c r="T162" s="4">
        <v>3</v>
      </c>
      <c r="U162" s="5" t="s">
        <v>2229</v>
      </c>
      <c r="V162" s="5" t="s">
        <v>2229</v>
      </c>
      <c r="W162" s="5" t="s">
        <v>68</v>
      </c>
      <c r="X162" s="5" t="s">
        <v>68</v>
      </c>
      <c r="Y162" s="4">
        <v>916</v>
      </c>
      <c r="Z162" s="4">
        <v>814</v>
      </c>
      <c r="AA162" s="4">
        <v>865</v>
      </c>
      <c r="AB162" s="4">
        <v>5</v>
      </c>
      <c r="AC162" s="4">
        <v>5</v>
      </c>
      <c r="AD162" s="4">
        <v>40</v>
      </c>
      <c r="AE162" s="4">
        <v>41</v>
      </c>
      <c r="AF162" s="4">
        <v>15</v>
      </c>
      <c r="AG162" s="4">
        <v>16</v>
      </c>
      <c r="AH162" s="4">
        <v>10</v>
      </c>
      <c r="AI162" s="4">
        <v>10</v>
      </c>
      <c r="AJ162" s="4">
        <v>21</v>
      </c>
      <c r="AK162" s="4">
        <v>21</v>
      </c>
      <c r="AL162" s="4">
        <v>4</v>
      </c>
      <c r="AM162" s="4">
        <v>4</v>
      </c>
      <c r="AN162" s="4">
        <v>0</v>
      </c>
      <c r="AO162" s="4">
        <v>0</v>
      </c>
      <c r="AP162" s="3" t="s">
        <v>58</v>
      </c>
      <c r="AQ162" s="3" t="s">
        <v>69</v>
      </c>
      <c r="AR162" s="6" t="str">
        <f>HYPERLINK("http://catalog.hathitrust.org/Record/000566790","HathiTrust Record")</f>
        <v>HathiTrust Record</v>
      </c>
      <c r="AS162" s="6" t="str">
        <f>HYPERLINK("https://creighton-primo.hosted.exlibrisgroup.com/primo-explore/search?tab=default_tab&amp;search_scope=EVERYTHING&amp;vid=01CRU&amp;lang=en_US&amp;offset=0&amp;query=any,contains,991002645519702656","Catalog Record")</f>
        <v>Catalog Record</v>
      </c>
      <c r="AT162" s="6" t="str">
        <f>HYPERLINK("http://www.worldcat.org/oclc/385717","WorldCat Record")</f>
        <v>WorldCat Record</v>
      </c>
      <c r="AU162" s="3" t="s">
        <v>2230</v>
      </c>
      <c r="AV162" s="3" t="s">
        <v>2231</v>
      </c>
      <c r="AW162" s="3" t="s">
        <v>2232</v>
      </c>
      <c r="AX162" s="3" t="s">
        <v>2232</v>
      </c>
      <c r="AY162" s="3" t="s">
        <v>2233</v>
      </c>
      <c r="AZ162" s="3" t="s">
        <v>74</v>
      </c>
      <c r="BC162" s="3" t="s">
        <v>2234</v>
      </c>
      <c r="BD162" s="3" t="s">
        <v>2235</v>
      </c>
    </row>
    <row r="163" spans="1:56" ht="34.5" customHeight="1" x14ac:dyDescent="0.25">
      <c r="A163" s="7" t="s">
        <v>58</v>
      </c>
      <c r="B163" s="2" t="s">
        <v>2236</v>
      </c>
      <c r="C163" s="2" t="s">
        <v>2237</v>
      </c>
      <c r="D163" s="2" t="s">
        <v>2238</v>
      </c>
      <c r="F163" s="3" t="s">
        <v>58</v>
      </c>
      <c r="G163" s="3" t="s">
        <v>59</v>
      </c>
      <c r="H163" s="3" t="s">
        <v>58</v>
      </c>
      <c r="I163" s="3" t="s">
        <v>58</v>
      </c>
      <c r="J163" s="3" t="s">
        <v>60</v>
      </c>
      <c r="K163" s="2" t="s">
        <v>2239</v>
      </c>
      <c r="L163" s="2" t="s">
        <v>2240</v>
      </c>
      <c r="M163" s="3" t="s">
        <v>283</v>
      </c>
      <c r="O163" s="3" t="s">
        <v>64</v>
      </c>
      <c r="P163" s="3" t="s">
        <v>65</v>
      </c>
      <c r="R163" s="3" t="s">
        <v>66</v>
      </c>
      <c r="S163" s="4">
        <v>10</v>
      </c>
      <c r="T163" s="4">
        <v>10</v>
      </c>
      <c r="U163" s="5" t="s">
        <v>2241</v>
      </c>
      <c r="V163" s="5" t="s">
        <v>2241</v>
      </c>
      <c r="W163" s="5" t="s">
        <v>2242</v>
      </c>
      <c r="X163" s="5" t="s">
        <v>2242</v>
      </c>
      <c r="Y163" s="4">
        <v>696</v>
      </c>
      <c r="Z163" s="4">
        <v>604</v>
      </c>
      <c r="AA163" s="4">
        <v>610</v>
      </c>
      <c r="AB163" s="4">
        <v>3</v>
      </c>
      <c r="AC163" s="4">
        <v>3</v>
      </c>
      <c r="AD163" s="4">
        <v>31</v>
      </c>
      <c r="AE163" s="4">
        <v>31</v>
      </c>
      <c r="AF163" s="4">
        <v>15</v>
      </c>
      <c r="AG163" s="4">
        <v>15</v>
      </c>
      <c r="AH163" s="4">
        <v>7</v>
      </c>
      <c r="AI163" s="4">
        <v>7</v>
      </c>
      <c r="AJ163" s="4">
        <v>15</v>
      </c>
      <c r="AK163" s="4">
        <v>15</v>
      </c>
      <c r="AL163" s="4">
        <v>2</v>
      </c>
      <c r="AM163" s="4">
        <v>2</v>
      </c>
      <c r="AN163" s="4">
        <v>0</v>
      </c>
      <c r="AO163" s="4">
        <v>0</v>
      </c>
      <c r="AP163" s="3" t="s">
        <v>58</v>
      </c>
      <c r="AQ163" s="3" t="s">
        <v>58</v>
      </c>
      <c r="AS163" s="6" t="str">
        <f>HYPERLINK("https://creighton-primo.hosted.exlibrisgroup.com/primo-explore/search?tab=default_tab&amp;search_scope=EVERYTHING&amp;vid=01CRU&amp;lang=en_US&amp;offset=0&amp;query=any,contains,991004624769702656","Catalog Record")</f>
        <v>Catalog Record</v>
      </c>
      <c r="AT163" s="6" t="str">
        <f>HYPERLINK("http://www.worldcat.org/oclc/36528313","WorldCat Record")</f>
        <v>WorldCat Record</v>
      </c>
      <c r="AU163" s="3" t="s">
        <v>2243</v>
      </c>
      <c r="AV163" s="3" t="s">
        <v>2244</v>
      </c>
      <c r="AW163" s="3" t="s">
        <v>2245</v>
      </c>
      <c r="AX163" s="3" t="s">
        <v>2245</v>
      </c>
      <c r="AY163" s="3" t="s">
        <v>2246</v>
      </c>
      <c r="AZ163" s="3" t="s">
        <v>74</v>
      </c>
      <c r="BB163" s="3" t="s">
        <v>2247</v>
      </c>
      <c r="BC163" s="3" t="s">
        <v>2248</v>
      </c>
      <c r="BD163" s="3" t="s">
        <v>2249</v>
      </c>
    </row>
    <row r="164" spans="1:56" ht="34.5" customHeight="1" x14ac:dyDescent="0.25">
      <c r="A164" s="7" t="s">
        <v>58</v>
      </c>
      <c r="B164" s="2" t="s">
        <v>2250</v>
      </c>
      <c r="C164" s="2" t="s">
        <v>2251</v>
      </c>
      <c r="D164" s="2" t="s">
        <v>2252</v>
      </c>
      <c r="F164" s="3" t="s">
        <v>58</v>
      </c>
      <c r="G164" s="3" t="s">
        <v>59</v>
      </c>
      <c r="H164" s="3" t="s">
        <v>58</v>
      </c>
      <c r="I164" s="3" t="s">
        <v>58</v>
      </c>
      <c r="J164" s="3" t="s">
        <v>60</v>
      </c>
      <c r="K164" s="2" t="s">
        <v>2253</v>
      </c>
      <c r="L164" s="2" t="s">
        <v>2254</v>
      </c>
      <c r="M164" s="3" t="s">
        <v>983</v>
      </c>
      <c r="N164" s="2" t="s">
        <v>436</v>
      </c>
      <c r="O164" s="3" t="s">
        <v>64</v>
      </c>
      <c r="P164" s="3" t="s">
        <v>65</v>
      </c>
      <c r="R164" s="3" t="s">
        <v>66</v>
      </c>
      <c r="S164" s="4">
        <v>5</v>
      </c>
      <c r="T164" s="4">
        <v>5</v>
      </c>
      <c r="U164" s="5" t="s">
        <v>2255</v>
      </c>
      <c r="V164" s="5" t="s">
        <v>2255</v>
      </c>
      <c r="W164" s="5" t="s">
        <v>2256</v>
      </c>
      <c r="X164" s="5" t="s">
        <v>2256</v>
      </c>
      <c r="Y164" s="4">
        <v>350</v>
      </c>
      <c r="Z164" s="4">
        <v>335</v>
      </c>
      <c r="AA164" s="4">
        <v>408</v>
      </c>
      <c r="AB164" s="4">
        <v>2</v>
      </c>
      <c r="AC164" s="4">
        <v>3</v>
      </c>
      <c r="AD164" s="4">
        <v>13</v>
      </c>
      <c r="AE164" s="4">
        <v>16</v>
      </c>
      <c r="AF164" s="4">
        <v>4</v>
      </c>
      <c r="AG164" s="4">
        <v>5</v>
      </c>
      <c r="AH164" s="4">
        <v>2</v>
      </c>
      <c r="AI164" s="4">
        <v>3</v>
      </c>
      <c r="AJ164" s="4">
        <v>7</v>
      </c>
      <c r="AK164" s="4">
        <v>8</v>
      </c>
      <c r="AL164" s="4">
        <v>1</v>
      </c>
      <c r="AM164" s="4">
        <v>2</v>
      </c>
      <c r="AN164" s="4">
        <v>0</v>
      </c>
      <c r="AO164" s="4">
        <v>0</v>
      </c>
      <c r="AP164" s="3" t="s">
        <v>58</v>
      </c>
      <c r="AQ164" s="3" t="s">
        <v>58</v>
      </c>
      <c r="AS164" s="6" t="str">
        <f>HYPERLINK("https://creighton-primo.hosted.exlibrisgroup.com/primo-explore/search?tab=default_tab&amp;search_scope=EVERYTHING&amp;vid=01CRU&amp;lang=en_US&amp;offset=0&amp;query=any,contains,991004872409702656","Catalog Record")</f>
        <v>Catalog Record</v>
      </c>
      <c r="AT164" s="6" t="str">
        <f>HYPERLINK("http://www.worldcat.org/oclc/5765581","WorldCat Record")</f>
        <v>WorldCat Record</v>
      </c>
      <c r="AU164" s="3" t="s">
        <v>2257</v>
      </c>
      <c r="AV164" s="3" t="s">
        <v>2258</v>
      </c>
      <c r="AW164" s="3" t="s">
        <v>2259</v>
      </c>
      <c r="AX164" s="3" t="s">
        <v>2259</v>
      </c>
      <c r="AY164" s="3" t="s">
        <v>2260</v>
      </c>
      <c r="AZ164" s="3" t="s">
        <v>74</v>
      </c>
      <c r="BB164" s="3" t="s">
        <v>2261</v>
      </c>
      <c r="BC164" s="3" t="s">
        <v>2262</v>
      </c>
      <c r="BD164" s="3" t="s">
        <v>2263</v>
      </c>
    </row>
    <row r="165" spans="1:56" ht="34.5" customHeight="1" x14ac:dyDescent="0.25">
      <c r="A165" s="7" t="s">
        <v>58</v>
      </c>
      <c r="B165" s="2" t="s">
        <v>2264</v>
      </c>
      <c r="C165" s="2" t="s">
        <v>2265</v>
      </c>
      <c r="D165" s="2" t="s">
        <v>2266</v>
      </c>
      <c r="F165" s="3" t="s">
        <v>58</v>
      </c>
      <c r="G165" s="3" t="s">
        <v>59</v>
      </c>
      <c r="H165" s="3" t="s">
        <v>58</v>
      </c>
      <c r="I165" s="3" t="s">
        <v>58</v>
      </c>
      <c r="J165" s="3" t="s">
        <v>60</v>
      </c>
      <c r="K165" s="2" t="s">
        <v>2267</v>
      </c>
      <c r="L165" s="2" t="s">
        <v>2268</v>
      </c>
      <c r="M165" s="3" t="s">
        <v>739</v>
      </c>
      <c r="O165" s="3" t="s">
        <v>64</v>
      </c>
      <c r="P165" s="3" t="s">
        <v>84</v>
      </c>
      <c r="R165" s="3" t="s">
        <v>66</v>
      </c>
      <c r="S165" s="4">
        <v>2</v>
      </c>
      <c r="T165" s="4">
        <v>2</v>
      </c>
      <c r="U165" s="5" t="s">
        <v>2269</v>
      </c>
      <c r="V165" s="5" t="s">
        <v>2269</v>
      </c>
      <c r="W165" s="5" t="s">
        <v>2270</v>
      </c>
      <c r="X165" s="5" t="s">
        <v>2270</v>
      </c>
      <c r="Y165" s="4">
        <v>133</v>
      </c>
      <c r="Z165" s="4">
        <v>57</v>
      </c>
      <c r="AA165" s="4">
        <v>58</v>
      </c>
      <c r="AB165" s="4">
        <v>2</v>
      </c>
      <c r="AC165" s="4">
        <v>2</v>
      </c>
      <c r="AD165" s="4">
        <v>4</v>
      </c>
      <c r="AE165" s="4">
        <v>4</v>
      </c>
      <c r="AF165" s="4">
        <v>2</v>
      </c>
      <c r="AG165" s="4">
        <v>2</v>
      </c>
      <c r="AH165" s="4">
        <v>0</v>
      </c>
      <c r="AI165" s="4">
        <v>0</v>
      </c>
      <c r="AJ165" s="4">
        <v>2</v>
      </c>
      <c r="AK165" s="4">
        <v>2</v>
      </c>
      <c r="AL165" s="4">
        <v>1</v>
      </c>
      <c r="AM165" s="4">
        <v>1</v>
      </c>
      <c r="AN165" s="4">
        <v>0</v>
      </c>
      <c r="AO165" s="4">
        <v>0</v>
      </c>
      <c r="AP165" s="3" t="s">
        <v>58</v>
      </c>
      <c r="AQ165" s="3" t="s">
        <v>69</v>
      </c>
      <c r="AR165" s="6" t="str">
        <f>HYPERLINK("http://catalog.hathitrust.org/Record/001541023","HathiTrust Record")</f>
        <v>HathiTrust Record</v>
      </c>
      <c r="AS165" s="6" t="str">
        <f>HYPERLINK("https://creighton-primo.hosted.exlibrisgroup.com/primo-explore/search?tab=default_tab&amp;search_scope=EVERYTHING&amp;vid=01CRU&amp;lang=en_US&amp;offset=0&amp;query=any,contains,991001579279702656","Catalog Record")</f>
        <v>Catalog Record</v>
      </c>
      <c r="AT165" s="6" t="str">
        <f>HYPERLINK("http://www.worldcat.org/oclc/24710046","WorldCat Record")</f>
        <v>WorldCat Record</v>
      </c>
      <c r="AU165" s="3" t="s">
        <v>2271</v>
      </c>
      <c r="AV165" s="3" t="s">
        <v>2272</v>
      </c>
      <c r="AW165" s="3" t="s">
        <v>2273</v>
      </c>
      <c r="AX165" s="3" t="s">
        <v>2273</v>
      </c>
      <c r="AY165" s="3" t="s">
        <v>2274</v>
      </c>
      <c r="AZ165" s="3" t="s">
        <v>74</v>
      </c>
      <c r="BB165" s="3" t="s">
        <v>2275</v>
      </c>
      <c r="BC165" s="3" t="s">
        <v>2276</v>
      </c>
      <c r="BD165" s="3" t="s">
        <v>2277</v>
      </c>
    </row>
    <row r="166" spans="1:56" ht="34.5" customHeight="1" x14ac:dyDescent="0.25">
      <c r="A166" s="7" t="s">
        <v>58</v>
      </c>
      <c r="B166" s="2" t="s">
        <v>2278</v>
      </c>
      <c r="C166" s="2" t="s">
        <v>2279</v>
      </c>
      <c r="D166" s="2" t="s">
        <v>2280</v>
      </c>
      <c r="F166" s="3" t="s">
        <v>58</v>
      </c>
      <c r="G166" s="3" t="s">
        <v>59</v>
      </c>
      <c r="H166" s="3" t="s">
        <v>58</v>
      </c>
      <c r="I166" s="3" t="s">
        <v>58</v>
      </c>
      <c r="J166" s="3" t="s">
        <v>60</v>
      </c>
      <c r="K166" s="2" t="s">
        <v>2281</v>
      </c>
      <c r="L166" s="2" t="s">
        <v>2282</v>
      </c>
      <c r="M166" s="3" t="s">
        <v>2283</v>
      </c>
      <c r="O166" s="3" t="s">
        <v>64</v>
      </c>
      <c r="P166" s="3" t="s">
        <v>65</v>
      </c>
      <c r="R166" s="3" t="s">
        <v>66</v>
      </c>
      <c r="S166" s="4">
        <v>2</v>
      </c>
      <c r="T166" s="4">
        <v>2</v>
      </c>
      <c r="U166" s="5" t="s">
        <v>2284</v>
      </c>
      <c r="V166" s="5" t="s">
        <v>2284</v>
      </c>
      <c r="W166" s="5" t="s">
        <v>68</v>
      </c>
      <c r="X166" s="5" t="s">
        <v>68</v>
      </c>
      <c r="Y166" s="4">
        <v>215</v>
      </c>
      <c r="Z166" s="4">
        <v>209</v>
      </c>
      <c r="AA166" s="4">
        <v>340</v>
      </c>
      <c r="AB166" s="4">
        <v>2</v>
      </c>
      <c r="AC166" s="4">
        <v>3</v>
      </c>
      <c r="AD166" s="4">
        <v>9</v>
      </c>
      <c r="AE166" s="4">
        <v>18</v>
      </c>
      <c r="AF166" s="4">
        <v>2</v>
      </c>
      <c r="AG166" s="4">
        <v>3</v>
      </c>
      <c r="AH166" s="4">
        <v>3</v>
      </c>
      <c r="AI166" s="4">
        <v>5</v>
      </c>
      <c r="AJ166" s="4">
        <v>6</v>
      </c>
      <c r="AK166" s="4">
        <v>11</v>
      </c>
      <c r="AL166" s="4">
        <v>1</v>
      </c>
      <c r="AM166" s="4">
        <v>2</v>
      </c>
      <c r="AN166" s="4">
        <v>0</v>
      </c>
      <c r="AO166" s="4">
        <v>0</v>
      </c>
      <c r="AP166" s="3" t="s">
        <v>69</v>
      </c>
      <c r="AQ166" s="3" t="s">
        <v>58</v>
      </c>
      <c r="AR166" s="6" t="str">
        <f>HYPERLINK("http://catalog.hathitrust.org/Record/000602393","HathiTrust Record")</f>
        <v>HathiTrust Record</v>
      </c>
      <c r="AS166" s="6" t="str">
        <f>HYPERLINK("https://creighton-primo.hosted.exlibrisgroup.com/primo-explore/search?tab=default_tab&amp;search_scope=EVERYTHING&amp;vid=01CRU&amp;lang=en_US&amp;offset=0&amp;query=any,contains,991002589189702656","Catalog Record")</f>
        <v>Catalog Record</v>
      </c>
      <c r="AT166" s="6" t="str">
        <f>HYPERLINK("http://www.worldcat.org/oclc/375443","WorldCat Record")</f>
        <v>WorldCat Record</v>
      </c>
      <c r="AU166" s="3" t="s">
        <v>2285</v>
      </c>
      <c r="AV166" s="3" t="s">
        <v>2286</v>
      </c>
      <c r="AW166" s="3" t="s">
        <v>2287</v>
      </c>
      <c r="AX166" s="3" t="s">
        <v>2287</v>
      </c>
      <c r="AY166" s="3" t="s">
        <v>2288</v>
      </c>
      <c r="AZ166" s="3" t="s">
        <v>74</v>
      </c>
      <c r="BC166" s="3" t="s">
        <v>2289</v>
      </c>
      <c r="BD166" s="3" t="s">
        <v>2290</v>
      </c>
    </row>
    <row r="167" spans="1:56" ht="34.5" customHeight="1" x14ac:dyDescent="0.25">
      <c r="A167" s="7" t="s">
        <v>58</v>
      </c>
      <c r="B167" s="2" t="s">
        <v>2291</v>
      </c>
      <c r="C167" s="2" t="s">
        <v>2292</v>
      </c>
      <c r="D167" s="2" t="s">
        <v>2293</v>
      </c>
      <c r="F167" s="3" t="s">
        <v>58</v>
      </c>
      <c r="G167" s="3" t="s">
        <v>59</v>
      </c>
      <c r="H167" s="3" t="s">
        <v>58</v>
      </c>
      <c r="I167" s="3" t="s">
        <v>58</v>
      </c>
      <c r="J167" s="3" t="s">
        <v>60</v>
      </c>
      <c r="K167" s="2" t="s">
        <v>2294</v>
      </c>
      <c r="L167" s="2" t="s">
        <v>2295</v>
      </c>
      <c r="M167" s="3" t="s">
        <v>607</v>
      </c>
      <c r="O167" s="3" t="s">
        <v>64</v>
      </c>
      <c r="P167" s="3" t="s">
        <v>252</v>
      </c>
      <c r="R167" s="3" t="s">
        <v>66</v>
      </c>
      <c r="S167" s="4">
        <v>2</v>
      </c>
      <c r="T167" s="4">
        <v>2</v>
      </c>
      <c r="U167" s="5" t="s">
        <v>2296</v>
      </c>
      <c r="V167" s="5" t="s">
        <v>2296</v>
      </c>
      <c r="W167" s="5" t="s">
        <v>68</v>
      </c>
      <c r="X167" s="5" t="s">
        <v>68</v>
      </c>
      <c r="Y167" s="4">
        <v>528</v>
      </c>
      <c r="Z167" s="4">
        <v>493</v>
      </c>
      <c r="AA167" s="4">
        <v>684</v>
      </c>
      <c r="AB167" s="4">
        <v>2</v>
      </c>
      <c r="AC167" s="4">
        <v>4</v>
      </c>
      <c r="AD167" s="4">
        <v>14</v>
      </c>
      <c r="AE167" s="4">
        <v>20</v>
      </c>
      <c r="AF167" s="4">
        <v>4</v>
      </c>
      <c r="AG167" s="4">
        <v>5</v>
      </c>
      <c r="AH167" s="4">
        <v>1</v>
      </c>
      <c r="AI167" s="4">
        <v>3</v>
      </c>
      <c r="AJ167" s="4">
        <v>9</v>
      </c>
      <c r="AK167" s="4">
        <v>13</v>
      </c>
      <c r="AL167" s="4">
        <v>1</v>
      </c>
      <c r="AM167" s="4">
        <v>2</v>
      </c>
      <c r="AN167" s="4">
        <v>0</v>
      </c>
      <c r="AO167" s="4">
        <v>0</v>
      </c>
      <c r="AP167" s="3" t="s">
        <v>58</v>
      </c>
      <c r="AQ167" s="3" t="s">
        <v>69</v>
      </c>
      <c r="AR167" s="6" t="str">
        <f>HYPERLINK("http://catalog.hathitrust.org/Record/000568124","HathiTrust Record")</f>
        <v>HathiTrust Record</v>
      </c>
      <c r="AS167" s="6" t="str">
        <f>HYPERLINK("https://creighton-primo.hosted.exlibrisgroup.com/primo-explore/search?tab=default_tab&amp;search_scope=EVERYTHING&amp;vid=01CRU&amp;lang=en_US&amp;offset=0&amp;query=any,contains,991005355339702656","Catalog Record")</f>
        <v>Catalog Record</v>
      </c>
      <c r="AT167" s="6" t="str">
        <f>HYPERLINK("http://www.worldcat.org/oclc/420357","WorldCat Record")</f>
        <v>WorldCat Record</v>
      </c>
      <c r="AU167" s="3" t="s">
        <v>2297</v>
      </c>
      <c r="AV167" s="3" t="s">
        <v>2298</v>
      </c>
      <c r="AW167" s="3" t="s">
        <v>2299</v>
      </c>
      <c r="AX167" s="3" t="s">
        <v>2299</v>
      </c>
      <c r="AY167" s="3" t="s">
        <v>2300</v>
      </c>
      <c r="AZ167" s="3" t="s">
        <v>74</v>
      </c>
      <c r="BC167" s="3" t="s">
        <v>2301</v>
      </c>
      <c r="BD167" s="3" t="s">
        <v>2302</v>
      </c>
    </row>
    <row r="168" spans="1:56" ht="34.5" customHeight="1" x14ac:dyDescent="0.25">
      <c r="A168" s="7" t="s">
        <v>58</v>
      </c>
      <c r="B168" s="2" t="s">
        <v>2303</v>
      </c>
      <c r="C168" s="2" t="s">
        <v>2304</v>
      </c>
      <c r="D168" s="2" t="s">
        <v>2305</v>
      </c>
      <c r="F168" s="3" t="s">
        <v>58</v>
      </c>
      <c r="G168" s="3" t="s">
        <v>59</v>
      </c>
      <c r="H168" s="3" t="s">
        <v>58</v>
      </c>
      <c r="I168" s="3" t="s">
        <v>58</v>
      </c>
      <c r="J168" s="3" t="s">
        <v>60</v>
      </c>
      <c r="K168" s="2" t="s">
        <v>2306</v>
      </c>
      <c r="L168" s="2" t="s">
        <v>2307</v>
      </c>
      <c r="M168" s="3" t="s">
        <v>209</v>
      </c>
      <c r="O168" s="3" t="s">
        <v>64</v>
      </c>
      <c r="P168" s="3" t="s">
        <v>84</v>
      </c>
      <c r="Q168" s="2" t="s">
        <v>2308</v>
      </c>
      <c r="R168" s="3" t="s">
        <v>66</v>
      </c>
      <c r="S168" s="4">
        <v>7</v>
      </c>
      <c r="T168" s="4">
        <v>7</v>
      </c>
      <c r="U168" s="5" t="s">
        <v>2284</v>
      </c>
      <c r="V168" s="5" t="s">
        <v>2284</v>
      </c>
      <c r="W168" s="5" t="s">
        <v>2309</v>
      </c>
      <c r="X168" s="5" t="s">
        <v>2309</v>
      </c>
      <c r="Y168" s="4">
        <v>98</v>
      </c>
      <c r="Z168" s="4">
        <v>78</v>
      </c>
      <c r="AA168" s="4">
        <v>344</v>
      </c>
      <c r="AB168" s="4">
        <v>2</v>
      </c>
      <c r="AC168" s="4">
        <v>3</v>
      </c>
      <c r="AD168" s="4">
        <v>6</v>
      </c>
      <c r="AE168" s="4">
        <v>20</v>
      </c>
      <c r="AF168" s="4">
        <v>3</v>
      </c>
      <c r="AG168" s="4">
        <v>6</v>
      </c>
      <c r="AH168" s="4">
        <v>2</v>
      </c>
      <c r="AI168" s="4">
        <v>5</v>
      </c>
      <c r="AJ168" s="4">
        <v>2</v>
      </c>
      <c r="AK168" s="4">
        <v>10</v>
      </c>
      <c r="AL168" s="4">
        <v>1</v>
      </c>
      <c r="AM168" s="4">
        <v>2</v>
      </c>
      <c r="AN168" s="4">
        <v>0</v>
      </c>
      <c r="AO168" s="4">
        <v>0</v>
      </c>
      <c r="AP168" s="3" t="s">
        <v>58</v>
      </c>
      <c r="AQ168" s="3" t="s">
        <v>58</v>
      </c>
      <c r="AS168" s="6" t="str">
        <f>HYPERLINK("https://creighton-primo.hosted.exlibrisgroup.com/primo-explore/search?tab=default_tab&amp;search_scope=EVERYTHING&amp;vid=01CRU&amp;lang=en_US&amp;offset=0&amp;query=any,contains,991000953869702656","Catalog Record")</f>
        <v>Catalog Record</v>
      </c>
      <c r="AT168" s="6" t="str">
        <f>HYPERLINK("http://www.worldcat.org/oclc/14696067","WorldCat Record")</f>
        <v>WorldCat Record</v>
      </c>
      <c r="AU168" s="3" t="s">
        <v>2310</v>
      </c>
      <c r="AV168" s="3" t="s">
        <v>2311</v>
      </c>
      <c r="AW168" s="3" t="s">
        <v>2312</v>
      </c>
      <c r="AX168" s="3" t="s">
        <v>2312</v>
      </c>
      <c r="AY168" s="3" t="s">
        <v>2313</v>
      </c>
      <c r="AZ168" s="3" t="s">
        <v>74</v>
      </c>
      <c r="BB168" s="3" t="s">
        <v>2314</v>
      </c>
      <c r="BC168" s="3" t="s">
        <v>2315</v>
      </c>
      <c r="BD168" s="3" t="s">
        <v>2316</v>
      </c>
    </row>
    <row r="169" spans="1:56" ht="34.5" customHeight="1" x14ac:dyDescent="0.25">
      <c r="A169" s="7" t="s">
        <v>58</v>
      </c>
      <c r="B169" s="2" t="s">
        <v>2317</v>
      </c>
      <c r="C169" s="2" t="s">
        <v>2318</v>
      </c>
      <c r="D169" s="2" t="s">
        <v>2319</v>
      </c>
      <c r="F169" s="3" t="s">
        <v>58</v>
      </c>
      <c r="G169" s="3" t="s">
        <v>59</v>
      </c>
      <c r="H169" s="3" t="s">
        <v>58</v>
      </c>
      <c r="I169" s="3" t="s">
        <v>58</v>
      </c>
      <c r="J169" s="3" t="s">
        <v>60</v>
      </c>
      <c r="K169" s="2" t="s">
        <v>2320</v>
      </c>
      <c r="L169" s="2" t="s">
        <v>2321</v>
      </c>
      <c r="M169" s="3" t="s">
        <v>1813</v>
      </c>
      <c r="O169" s="3" t="s">
        <v>64</v>
      </c>
      <c r="P169" s="3" t="s">
        <v>84</v>
      </c>
      <c r="R169" s="3" t="s">
        <v>66</v>
      </c>
      <c r="S169" s="4">
        <v>2</v>
      </c>
      <c r="T169" s="4">
        <v>2</v>
      </c>
      <c r="U169" s="5" t="s">
        <v>2322</v>
      </c>
      <c r="V169" s="5" t="s">
        <v>2322</v>
      </c>
      <c r="W169" s="5" t="s">
        <v>68</v>
      </c>
      <c r="X169" s="5" t="s">
        <v>68</v>
      </c>
      <c r="Y169" s="4">
        <v>495</v>
      </c>
      <c r="Z169" s="4">
        <v>395</v>
      </c>
      <c r="AA169" s="4">
        <v>488</v>
      </c>
      <c r="AB169" s="4">
        <v>3</v>
      </c>
      <c r="AC169" s="4">
        <v>3</v>
      </c>
      <c r="AD169" s="4">
        <v>15</v>
      </c>
      <c r="AE169" s="4">
        <v>23</v>
      </c>
      <c r="AF169" s="4">
        <v>3</v>
      </c>
      <c r="AG169" s="4">
        <v>9</v>
      </c>
      <c r="AH169" s="4">
        <v>4</v>
      </c>
      <c r="AI169" s="4">
        <v>5</v>
      </c>
      <c r="AJ169" s="4">
        <v>10</v>
      </c>
      <c r="AK169" s="4">
        <v>14</v>
      </c>
      <c r="AL169" s="4">
        <v>2</v>
      </c>
      <c r="AM169" s="4">
        <v>2</v>
      </c>
      <c r="AN169" s="4">
        <v>0</v>
      </c>
      <c r="AO169" s="4">
        <v>0</v>
      </c>
      <c r="AP169" s="3" t="s">
        <v>58</v>
      </c>
      <c r="AQ169" s="3" t="s">
        <v>69</v>
      </c>
      <c r="AR169" s="6" t="str">
        <f>HYPERLINK("http://catalog.hathitrust.org/Record/000567362","HathiTrust Record")</f>
        <v>HathiTrust Record</v>
      </c>
      <c r="AS169" s="6" t="str">
        <f>HYPERLINK("https://creighton-primo.hosted.exlibrisgroup.com/primo-explore/search?tab=default_tab&amp;search_scope=EVERYTHING&amp;vid=01CRU&amp;lang=en_US&amp;offset=0&amp;query=any,contains,991003769639702656","Catalog Record")</f>
        <v>Catalog Record</v>
      </c>
      <c r="AT169" s="6" t="str">
        <f>HYPERLINK("http://www.worldcat.org/oclc/1467685","WorldCat Record")</f>
        <v>WorldCat Record</v>
      </c>
      <c r="AU169" s="3" t="s">
        <v>2323</v>
      </c>
      <c r="AV169" s="3" t="s">
        <v>2324</v>
      </c>
      <c r="AW169" s="3" t="s">
        <v>2325</v>
      </c>
      <c r="AX169" s="3" t="s">
        <v>2325</v>
      </c>
      <c r="AY169" s="3" t="s">
        <v>2326</v>
      </c>
      <c r="AZ169" s="3" t="s">
        <v>74</v>
      </c>
      <c r="BC169" s="3" t="s">
        <v>2327</v>
      </c>
      <c r="BD169" s="3" t="s">
        <v>2328</v>
      </c>
    </row>
    <row r="170" spans="1:56" ht="34.5" customHeight="1" x14ac:dyDescent="0.25">
      <c r="A170" s="7" t="s">
        <v>58</v>
      </c>
      <c r="B170" s="2" t="s">
        <v>2329</v>
      </c>
      <c r="C170" s="2" t="s">
        <v>2330</v>
      </c>
      <c r="D170" s="2" t="s">
        <v>2331</v>
      </c>
      <c r="F170" s="3" t="s">
        <v>58</v>
      </c>
      <c r="G170" s="3" t="s">
        <v>59</v>
      </c>
      <c r="H170" s="3" t="s">
        <v>58</v>
      </c>
      <c r="I170" s="3" t="s">
        <v>58</v>
      </c>
      <c r="J170" s="3" t="s">
        <v>60</v>
      </c>
      <c r="K170" s="2" t="s">
        <v>2332</v>
      </c>
      <c r="L170" s="2" t="s">
        <v>2333</v>
      </c>
      <c r="M170" s="3" t="s">
        <v>1234</v>
      </c>
      <c r="N170" s="2" t="s">
        <v>2334</v>
      </c>
      <c r="O170" s="3" t="s">
        <v>64</v>
      </c>
      <c r="P170" s="3" t="s">
        <v>65</v>
      </c>
      <c r="R170" s="3" t="s">
        <v>66</v>
      </c>
      <c r="S170" s="4">
        <v>2</v>
      </c>
      <c r="T170" s="4">
        <v>2</v>
      </c>
      <c r="U170" s="5" t="s">
        <v>2335</v>
      </c>
      <c r="V170" s="5" t="s">
        <v>2335</v>
      </c>
      <c r="W170" s="5" t="s">
        <v>2336</v>
      </c>
      <c r="X170" s="5" t="s">
        <v>2336</v>
      </c>
      <c r="Y170" s="4">
        <v>492</v>
      </c>
      <c r="Z170" s="4">
        <v>467</v>
      </c>
      <c r="AA170" s="4">
        <v>1545</v>
      </c>
      <c r="AB170" s="4">
        <v>5</v>
      </c>
      <c r="AC170" s="4">
        <v>12</v>
      </c>
      <c r="AD170" s="4">
        <v>11</v>
      </c>
      <c r="AE170" s="4">
        <v>51</v>
      </c>
      <c r="AF170" s="4">
        <v>5</v>
      </c>
      <c r="AG170" s="4">
        <v>23</v>
      </c>
      <c r="AH170" s="4">
        <v>1</v>
      </c>
      <c r="AI170" s="4">
        <v>10</v>
      </c>
      <c r="AJ170" s="4">
        <v>5</v>
      </c>
      <c r="AK170" s="4">
        <v>25</v>
      </c>
      <c r="AL170" s="4">
        <v>2</v>
      </c>
      <c r="AM170" s="4">
        <v>6</v>
      </c>
      <c r="AN170" s="4">
        <v>0</v>
      </c>
      <c r="AO170" s="4">
        <v>0</v>
      </c>
      <c r="AP170" s="3" t="s">
        <v>58</v>
      </c>
      <c r="AQ170" s="3" t="s">
        <v>58</v>
      </c>
      <c r="AS170" s="6" t="str">
        <f>HYPERLINK("https://creighton-primo.hosted.exlibrisgroup.com/primo-explore/search?tab=default_tab&amp;search_scope=EVERYTHING&amp;vid=01CRU&amp;lang=en_US&amp;offset=0&amp;query=any,contains,991002793319702656","Catalog Record")</f>
        <v>Catalog Record</v>
      </c>
      <c r="AT170" s="6" t="str">
        <f>HYPERLINK("http://www.worldcat.org/oclc/444303","WorldCat Record")</f>
        <v>WorldCat Record</v>
      </c>
      <c r="AU170" s="3" t="s">
        <v>2337</v>
      </c>
      <c r="AV170" s="3" t="s">
        <v>2338</v>
      </c>
      <c r="AW170" s="3" t="s">
        <v>2339</v>
      </c>
      <c r="AX170" s="3" t="s">
        <v>2339</v>
      </c>
      <c r="AY170" s="3" t="s">
        <v>2340</v>
      </c>
      <c r="AZ170" s="3" t="s">
        <v>74</v>
      </c>
      <c r="BC170" s="3" t="s">
        <v>2341</v>
      </c>
      <c r="BD170" s="3" t="s">
        <v>2342</v>
      </c>
    </row>
    <row r="171" spans="1:56" ht="34.5" customHeight="1" x14ac:dyDescent="0.25">
      <c r="A171" s="7" t="s">
        <v>58</v>
      </c>
      <c r="B171" s="2" t="s">
        <v>2343</v>
      </c>
      <c r="C171" s="2" t="s">
        <v>2344</v>
      </c>
      <c r="D171" s="2" t="s">
        <v>2345</v>
      </c>
      <c r="F171" s="3" t="s">
        <v>58</v>
      </c>
      <c r="G171" s="3" t="s">
        <v>59</v>
      </c>
      <c r="H171" s="3" t="s">
        <v>58</v>
      </c>
      <c r="I171" s="3" t="s">
        <v>58</v>
      </c>
      <c r="J171" s="3" t="s">
        <v>60</v>
      </c>
      <c r="K171" s="2" t="s">
        <v>2346</v>
      </c>
      <c r="L171" s="2" t="s">
        <v>2347</v>
      </c>
      <c r="M171" s="3" t="s">
        <v>224</v>
      </c>
      <c r="O171" s="3" t="s">
        <v>64</v>
      </c>
      <c r="P171" s="3" t="s">
        <v>147</v>
      </c>
      <c r="R171" s="3" t="s">
        <v>66</v>
      </c>
      <c r="S171" s="4">
        <v>3</v>
      </c>
      <c r="T171" s="4">
        <v>3</v>
      </c>
      <c r="U171" s="5" t="s">
        <v>2348</v>
      </c>
      <c r="V171" s="5" t="s">
        <v>2348</v>
      </c>
      <c r="W171" s="5" t="s">
        <v>2349</v>
      </c>
      <c r="X171" s="5" t="s">
        <v>2349</v>
      </c>
      <c r="Y171" s="4">
        <v>622</v>
      </c>
      <c r="Z171" s="4">
        <v>481</v>
      </c>
      <c r="AA171" s="4">
        <v>485</v>
      </c>
      <c r="AB171" s="4">
        <v>3</v>
      </c>
      <c r="AC171" s="4">
        <v>3</v>
      </c>
      <c r="AD171" s="4">
        <v>23</v>
      </c>
      <c r="AE171" s="4">
        <v>23</v>
      </c>
      <c r="AF171" s="4">
        <v>10</v>
      </c>
      <c r="AG171" s="4">
        <v>10</v>
      </c>
      <c r="AH171" s="4">
        <v>5</v>
      </c>
      <c r="AI171" s="4">
        <v>5</v>
      </c>
      <c r="AJ171" s="4">
        <v>12</v>
      </c>
      <c r="AK171" s="4">
        <v>12</v>
      </c>
      <c r="AL171" s="4">
        <v>1</v>
      </c>
      <c r="AM171" s="4">
        <v>1</v>
      </c>
      <c r="AN171" s="4">
        <v>0</v>
      </c>
      <c r="AO171" s="4">
        <v>0</v>
      </c>
      <c r="AP171" s="3" t="s">
        <v>58</v>
      </c>
      <c r="AQ171" s="3" t="s">
        <v>58</v>
      </c>
      <c r="AS171" s="6" t="str">
        <f>HYPERLINK("https://creighton-primo.hosted.exlibrisgroup.com/primo-explore/search?tab=default_tab&amp;search_scope=EVERYTHING&amp;vid=01CRU&amp;lang=en_US&amp;offset=0&amp;query=any,contains,991005397509702656","Catalog Record")</f>
        <v>Catalog Record</v>
      </c>
      <c r="AT171" s="6" t="str">
        <f>HYPERLINK("http://www.worldcat.org/oclc/8553086","WorldCat Record")</f>
        <v>WorldCat Record</v>
      </c>
      <c r="AU171" s="3" t="s">
        <v>2350</v>
      </c>
      <c r="AV171" s="3" t="s">
        <v>2351</v>
      </c>
      <c r="AW171" s="3" t="s">
        <v>2352</v>
      </c>
      <c r="AX171" s="3" t="s">
        <v>2352</v>
      </c>
      <c r="AY171" s="3" t="s">
        <v>2353</v>
      </c>
      <c r="AZ171" s="3" t="s">
        <v>74</v>
      </c>
      <c r="BB171" s="3" t="s">
        <v>2354</v>
      </c>
      <c r="BC171" s="3" t="s">
        <v>2355</v>
      </c>
      <c r="BD171" s="3" t="s">
        <v>2356</v>
      </c>
    </row>
    <row r="172" spans="1:56" ht="34.5" customHeight="1" x14ac:dyDescent="0.25">
      <c r="A172" s="7" t="s">
        <v>58</v>
      </c>
      <c r="B172" s="2" t="s">
        <v>2357</v>
      </c>
      <c r="C172" s="2" t="s">
        <v>2358</v>
      </c>
      <c r="D172" s="2" t="s">
        <v>2359</v>
      </c>
      <c r="F172" s="3" t="s">
        <v>58</v>
      </c>
      <c r="G172" s="3" t="s">
        <v>59</v>
      </c>
      <c r="H172" s="3" t="s">
        <v>58</v>
      </c>
      <c r="I172" s="3" t="s">
        <v>58</v>
      </c>
      <c r="J172" s="3" t="s">
        <v>60</v>
      </c>
      <c r="K172" s="2" t="s">
        <v>2360</v>
      </c>
      <c r="L172" s="2" t="s">
        <v>2361</v>
      </c>
      <c r="M172" s="3" t="s">
        <v>2362</v>
      </c>
      <c r="O172" s="3" t="s">
        <v>64</v>
      </c>
      <c r="P172" s="3" t="s">
        <v>2363</v>
      </c>
      <c r="R172" s="3" t="s">
        <v>66</v>
      </c>
      <c r="S172" s="4">
        <v>2</v>
      </c>
      <c r="T172" s="4">
        <v>2</v>
      </c>
      <c r="U172" s="5" t="s">
        <v>2364</v>
      </c>
      <c r="V172" s="5" t="s">
        <v>2364</v>
      </c>
      <c r="W172" s="5" t="s">
        <v>754</v>
      </c>
      <c r="X172" s="5" t="s">
        <v>754</v>
      </c>
      <c r="Y172" s="4">
        <v>167</v>
      </c>
      <c r="Z172" s="4">
        <v>160</v>
      </c>
      <c r="AA172" s="4">
        <v>167</v>
      </c>
      <c r="AB172" s="4">
        <v>3</v>
      </c>
      <c r="AC172" s="4">
        <v>3</v>
      </c>
      <c r="AD172" s="4">
        <v>21</v>
      </c>
      <c r="AE172" s="4">
        <v>21</v>
      </c>
      <c r="AF172" s="4">
        <v>8</v>
      </c>
      <c r="AG172" s="4">
        <v>8</v>
      </c>
      <c r="AH172" s="4">
        <v>4</v>
      </c>
      <c r="AI172" s="4">
        <v>4</v>
      </c>
      <c r="AJ172" s="4">
        <v>14</v>
      </c>
      <c r="AK172" s="4">
        <v>14</v>
      </c>
      <c r="AL172" s="4">
        <v>1</v>
      </c>
      <c r="AM172" s="4">
        <v>1</v>
      </c>
      <c r="AN172" s="4">
        <v>0</v>
      </c>
      <c r="AO172" s="4">
        <v>0</v>
      </c>
      <c r="AP172" s="3" t="s">
        <v>58</v>
      </c>
      <c r="AQ172" s="3" t="s">
        <v>58</v>
      </c>
      <c r="AS172" s="6" t="str">
        <f>HYPERLINK("https://creighton-primo.hosted.exlibrisgroup.com/primo-explore/search?tab=default_tab&amp;search_scope=EVERYTHING&amp;vid=01CRU&amp;lang=en_US&amp;offset=0&amp;query=any,contains,991002644659702656","Catalog Record")</f>
        <v>Catalog Record</v>
      </c>
      <c r="AT172" s="6" t="str">
        <f>HYPERLINK("http://www.worldcat.org/oclc/385444","WorldCat Record")</f>
        <v>WorldCat Record</v>
      </c>
      <c r="AU172" s="3" t="s">
        <v>2365</v>
      </c>
      <c r="AV172" s="3" t="s">
        <v>2366</v>
      </c>
      <c r="AW172" s="3" t="s">
        <v>2367</v>
      </c>
      <c r="AX172" s="3" t="s">
        <v>2367</v>
      </c>
      <c r="AY172" s="3" t="s">
        <v>2368</v>
      </c>
      <c r="AZ172" s="3" t="s">
        <v>74</v>
      </c>
      <c r="BC172" s="3" t="s">
        <v>2369</v>
      </c>
      <c r="BD172" s="3" t="s">
        <v>2370</v>
      </c>
    </row>
    <row r="173" spans="1:56" ht="34.5" customHeight="1" x14ac:dyDescent="0.25">
      <c r="A173" s="7" t="s">
        <v>58</v>
      </c>
      <c r="B173" s="2" t="s">
        <v>2371</v>
      </c>
      <c r="C173" s="2" t="s">
        <v>2372</v>
      </c>
      <c r="D173" s="2" t="s">
        <v>2373</v>
      </c>
      <c r="F173" s="3" t="s">
        <v>58</v>
      </c>
      <c r="G173" s="3" t="s">
        <v>59</v>
      </c>
      <c r="H173" s="3" t="s">
        <v>58</v>
      </c>
      <c r="I173" s="3" t="s">
        <v>58</v>
      </c>
      <c r="J173" s="3" t="s">
        <v>60</v>
      </c>
      <c r="K173" s="2" t="s">
        <v>2374</v>
      </c>
      <c r="L173" s="2" t="s">
        <v>2375</v>
      </c>
      <c r="M173" s="3" t="s">
        <v>1374</v>
      </c>
      <c r="O173" s="3" t="s">
        <v>64</v>
      </c>
      <c r="P173" s="3" t="s">
        <v>65</v>
      </c>
      <c r="R173" s="3" t="s">
        <v>66</v>
      </c>
      <c r="S173" s="4">
        <v>5</v>
      </c>
      <c r="T173" s="4">
        <v>5</v>
      </c>
      <c r="U173" s="5" t="s">
        <v>1107</v>
      </c>
      <c r="V173" s="5" t="s">
        <v>1107</v>
      </c>
      <c r="W173" s="5" t="s">
        <v>1696</v>
      </c>
      <c r="X173" s="5" t="s">
        <v>1696</v>
      </c>
      <c r="Y173" s="4">
        <v>200</v>
      </c>
      <c r="Z173" s="4">
        <v>180</v>
      </c>
      <c r="AA173" s="4">
        <v>288</v>
      </c>
      <c r="AB173" s="4">
        <v>3</v>
      </c>
      <c r="AC173" s="4">
        <v>4</v>
      </c>
      <c r="AD173" s="4">
        <v>6</v>
      </c>
      <c r="AE173" s="4">
        <v>11</v>
      </c>
      <c r="AF173" s="4">
        <v>2</v>
      </c>
      <c r="AG173" s="4">
        <v>3</v>
      </c>
      <c r="AH173" s="4">
        <v>2</v>
      </c>
      <c r="AI173" s="4">
        <v>2</v>
      </c>
      <c r="AJ173" s="4">
        <v>0</v>
      </c>
      <c r="AK173" s="4">
        <v>4</v>
      </c>
      <c r="AL173" s="4">
        <v>2</v>
      </c>
      <c r="AM173" s="4">
        <v>3</v>
      </c>
      <c r="AN173" s="4">
        <v>0</v>
      </c>
      <c r="AO173" s="4">
        <v>0</v>
      </c>
      <c r="AP173" s="3" t="s">
        <v>58</v>
      </c>
      <c r="AQ173" s="3" t="s">
        <v>58</v>
      </c>
      <c r="AS173" s="6" t="str">
        <f>HYPERLINK("https://creighton-primo.hosted.exlibrisgroup.com/primo-explore/search?tab=default_tab&amp;search_scope=EVERYTHING&amp;vid=01CRU&amp;lang=en_US&amp;offset=0&amp;query=any,contains,991001384889702656","Catalog Record")</f>
        <v>Catalog Record</v>
      </c>
      <c r="AT173" s="6" t="str">
        <f>HYPERLINK("http://www.worldcat.org/oclc/226415","WorldCat Record")</f>
        <v>WorldCat Record</v>
      </c>
      <c r="AU173" s="3" t="s">
        <v>2376</v>
      </c>
      <c r="AV173" s="3" t="s">
        <v>2377</v>
      </c>
      <c r="AW173" s="3" t="s">
        <v>2378</v>
      </c>
      <c r="AX173" s="3" t="s">
        <v>2378</v>
      </c>
      <c r="AY173" s="3" t="s">
        <v>2379</v>
      </c>
      <c r="AZ173" s="3" t="s">
        <v>74</v>
      </c>
      <c r="BC173" s="3" t="s">
        <v>2380</v>
      </c>
      <c r="BD173" s="3" t="s">
        <v>2381</v>
      </c>
    </row>
    <row r="174" spans="1:56" ht="34.5" customHeight="1" x14ac:dyDescent="0.25">
      <c r="A174" s="7" t="s">
        <v>58</v>
      </c>
      <c r="B174" s="2" t="s">
        <v>2382</v>
      </c>
      <c r="C174" s="2" t="s">
        <v>2383</v>
      </c>
      <c r="D174" s="2" t="s">
        <v>2384</v>
      </c>
      <c r="F174" s="3" t="s">
        <v>58</v>
      </c>
      <c r="G174" s="3" t="s">
        <v>59</v>
      </c>
      <c r="H174" s="3" t="s">
        <v>58</v>
      </c>
      <c r="I174" s="3" t="s">
        <v>58</v>
      </c>
      <c r="J174" s="3" t="s">
        <v>60</v>
      </c>
      <c r="L174" s="2" t="s">
        <v>2385</v>
      </c>
      <c r="M174" s="3" t="s">
        <v>209</v>
      </c>
      <c r="O174" s="3" t="s">
        <v>2386</v>
      </c>
      <c r="P174" s="3" t="s">
        <v>2387</v>
      </c>
      <c r="R174" s="3" t="s">
        <v>66</v>
      </c>
      <c r="S174" s="4">
        <v>4</v>
      </c>
      <c r="T174" s="4">
        <v>4</v>
      </c>
      <c r="U174" s="5" t="s">
        <v>2388</v>
      </c>
      <c r="V174" s="5" t="s">
        <v>2388</v>
      </c>
      <c r="W174" s="5" t="s">
        <v>2389</v>
      </c>
      <c r="X174" s="5" t="s">
        <v>2389</v>
      </c>
      <c r="Y174" s="4">
        <v>27</v>
      </c>
      <c r="Z174" s="4">
        <v>21</v>
      </c>
      <c r="AA174" s="4">
        <v>52</v>
      </c>
      <c r="AB174" s="4">
        <v>2</v>
      </c>
      <c r="AC174" s="4">
        <v>2</v>
      </c>
      <c r="AD174" s="4">
        <v>3</v>
      </c>
      <c r="AE174" s="4">
        <v>5</v>
      </c>
      <c r="AF174" s="4">
        <v>0</v>
      </c>
      <c r="AG174" s="4">
        <v>0</v>
      </c>
      <c r="AH174" s="4">
        <v>1</v>
      </c>
      <c r="AI174" s="4">
        <v>2</v>
      </c>
      <c r="AJ174" s="4">
        <v>1</v>
      </c>
      <c r="AK174" s="4">
        <v>3</v>
      </c>
      <c r="AL174" s="4">
        <v>1</v>
      </c>
      <c r="AM174" s="4">
        <v>1</v>
      </c>
      <c r="AN174" s="4">
        <v>0</v>
      </c>
      <c r="AO174" s="4">
        <v>0</v>
      </c>
      <c r="AP174" s="3" t="s">
        <v>58</v>
      </c>
      <c r="AQ174" s="3" t="s">
        <v>69</v>
      </c>
      <c r="AR174" s="6" t="str">
        <f>HYPERLINK("http://catalog.hathitrust.org/Record/007502765","HathiTrust Record")</f>
        <v>HathiTrust Record</v>
      </c>
      <c r="AS174" s="6" t="str">
        <f>HYPERLINK("https://creighton-primo.hosted.exlibrisgroup.com/primo-explore/search?tab=default_tab&amp;search_scope=EVERYTHING&amp;vid=01CRU&amp;lang=en_US&amp;offset=0&amp;query=any,contains,991000994399702656","Catalog Record")</f>
        <v>Catalog Record</v>
      </c>
      <c r="AT174" s="6" t="str">
        <f>HYPERLINK("http://www.worldcat.org/oclc/15128795","WorldCat Record")</f>
        <v>WorldCat Record</v>
      </c>
      <c r="AU174" s="3" t="s">
        <v>2390</v>
      </c>
      <c r="AV174" s="3" t="s">
        <v>2391</v>
      </c>
      <c r="AW174" s="3" t="s">
        <v>2392</v>
      </c>
      <c r="AX174" s="3" t="s">
        <v>2392</v>
      </c>
      <c r="AY174" s="3" t="s">
        <v>2393</v>
      </c>
      <c r="AZ174" s="3" t="s">
        <v>74</v>
      </c>
      <c r="BC174" s="3" t="s">
        <v>2394</v>
      </c>
      <c r="BD174" s="3" t="s">
        <v>2395</v>
      </c>
    </row>
    <row r="175" spans="1:56" ht="34.5" customHeight="1" x14ac:dyDescent="0.25">
      <c r="A175" s="7" t="s">
        <v>58</v>
      </c>
      <c r="B175" s="2" t="s">
        <v>2396</v>
      </c>
      <c r="C175" s="2" t="s">
        <v>2397</v>
      </c>
      <c r="D175" s="2" t="s">
        <v>2398</v>
      </c>
      <c r="F175" s="3" t="s">
        <v>58</v>
      </c>
      <c r="G175" s="3" t="s">
        <v>59</v>
      </c>
      <c r="H175" s="3" t="s">
        <v>58</v>
      </c>
      <c r="I175" s="3" t="s">
        <v>58</v>
      </c>
      <c r="J175" s="3" t="s">
        <v>60</v>
      </c>
      <c r="K175" s="2" t="s">
        <v>2399</v>
      </c>
      <c r="L175" s="2" t="s">
        <v>2400</v>
      </c>
      <c r="M175" s="3" t="s">
        <v>607</v>
      </c>
      <c r="O175" s="3" t="s">
        <v>64</v>
      </c>
      <c r="P175" s="3" t="s">
        <v>65</v>
      </c>
      <c r="Q175" s="2" t="s">
        <v>634</v>
      </c>
      <c r="R175" s="3" t="s">
        <v>66</v>
      </c>
      <c r="S175" s="4">
        <v>2</v>
      </c>
      <c r="T175" s="4">
        <v>2</v>
      </c>
      <c r="U175" s="5" t="s">
        <v>2401</v>
      </c>
      <c r="V175" s="5" t="s">
        <v>2401</v>
      </c>
      <c r="W175" s="5" t="s">
        <v>68</v>
      </c>
      <c r="X175" s="5" t="s">
        <v>68</v>
      </c>
      <c r="Y175" s="4">
        <v>36</v>
      </c>
      <c r="Z175" s="4">
        <v>29</v>
      </c>
      <c r="AA175" s="4">
        <v>1337</v>
      </c>
      <c r="AB175" s="4">
        <v>2</v>
      </c>
      <c r="AC175" s="4">
        <v>12</v>
      </c>
      <c r="AD175" s="4">
        <v>2</v>
      </c>
      <c r="AE175" s="4">
        <v>46</v>
      </c>
      <c r="AF175" s="4">
        <v>1</v>
      </c>
      <c r="AG175" s="4">
        <v>17</v>
      </c>
      <c r="AH175" s="4">
        <v>0</v>
      </c>
      <c r="AI175" s="4">
        <v>6</v>
      </c>
      <c r="AJ175" s="4">
        <v>0</v>
      </c>
      <c r="AK175" s="4">
        <v>21</v>
      </c>
      <c r="AL175" s="4">
        <v>1</v>
      </c>
      <c r="AM175" s="4">
        <v>10</v>
      </c>
      <c r="AN175" s="4">
        <v>0</v>
      </c>
      <c r="AO175" s="4">
        <v>0</v>
      </c>
      <c r="AP175" s="3" t="s">
        <v>58</v>
      </c>
      <c r="AQ175" s="3" t="s">
        <v>58</v>
      </c>
      <c r="AS175" s="6" t="str">
        <f>HYPERLINK("https://creighton-primo.hosted.exlibrisgroup.com/primo-explore/search?tab=default_tab&amp;search_scope=EVERYTHING&amp;vid=01CRU&amp;lang=en_US&amp;offset=0&amp;query=any,contains,991000625239702656","Catalog Record")</f>
        <v>Catalog Record</v>
      </c>
      <c r="AT175" s="6" t="str">
        <f>HYPERLINK("http://www.worldcat.org/oclc/12012348","WorldCat Record")</f>
        <v>WorldCat Record</v>
      </c>
      <c r="AU175" s="3" t="s">
        <v>2402</v>
      </c>
      <c r="AV175" s="3" t="s">
        <v>2403</v>
      </c>
      <c r="AW175" s="3" t="s">
        <v>2404</v>
      </c>
      <c r="AX175" s="3" t="s">
        <v>2404</v>
      </c>
      <c r="AY175" s="3" t="s">
        <v>2405</v>
      </c>
      <c r="AZ175" s="3" t="s">
        <v>74</v>
      </c>
      <c r="BC175" s="3" t="s">
        <v>2406</v>
      </c>
      <c r="BD175" s="3" t="s">
        <v>2407</v>
      </c>
    </row>
    <row r="176" spans="1:56" ht="34.5" customHeight="1" x14ac:dyDescent="0.25">
      <c r="A176" s="7" t="s">
        <v>58</v>
      </c>
      <c r="B176" s="2" t="s">
        <v>2408</v>
      </c>
      <c r="C176" s="2" t="s">
        <v>2409</v>
      </c>
      <c r="D176" s="2" t="s">
        <v>2410</v>
      </c>
      <c r="F176" s="3" t="s">
        <v>58</v>
      </c>
      <c r="G176" s="3" t="s">
        <v>59</v>
      </c>
      <c r="H176" s="3" t="s">
        <v>58</v>
      </c>
      <c r="I176" s="3" t="s">
        <v>58</v>
      </c>
      <c r="J176" s="3" t="s">
        <v>60</v>
      </c>
      <c r="K176" s="2" t="s">
        <v>1372</v>
      </c>
      <c r="L176" s="2" t="s">
        <v>2411</v>
      </c>
      <c r="M176" s="3" t="s">
        <v>712</v>
      </c>
      <c r="O176" s="3" t="s">
        <v>64</v>
      </c>
      <c r="P176" s="3" t="s">
        <v>65</v>
      </c>
      <c r="Q176" s="2" t="s">
        <v>2412</v>
      </c>
      <c r="R176" s="3" t="s">
        <v>66</v>
      </c>
      <c r="S176" s="4">
        <v>9</v>
      </c>
      <c r="T176" s="4">
        <v>9</v>
      </c>
      <c r="U176" s="5" t="s">
        <v>2413</v>
      </c>
      <c r="V176" s="5" t="s">
        <v>2413</v>
      </c>
      <c r="W176" s="5" t="s">
        <v>2414</v>
      </c>
      <c r="X176" s="5" t="s">
        <v>2414</v>
      </c>
      <c r="Y176" s="4">
        <v>809</v>
      </c>
      <c r="Z176" s="4">
        <v>709</v>
      </c>
      <c r="AA176" s="4">
        <v>1088</v>
      </c>
      <c r="AB176" s="4">
        <v>8</v>
      </c>
      <c r="AC176" s="4">
        <v>9</v>
      </c>
      <c r="AD176" s="4">
        <v>28</v>
      </c>
      <c r="AE176" s="4">
        <v>38</v>
      </c>
      <c r="AF176" s="4">
        <v>10</v>
      </c>
      <c r="AG176" s="4">
        <v>14</v>
      </c>
      <c r="AH176" s="4">
        <v>9</v>
      </c>
      <c r="AI176" s="4">
        <v>10</v>
      </c>
      <c r="AJ176" s="4">
        <v>13</v>
      </c>
      <c r="AK176" s="4">
        <v>17</v>
      </c>
      <c r="AL176" s="4">
        <v>5</v>
      </c>
      <c r="AM176" s="4">
        <v>6</v>
      </c>
      <c r="AN176" s="4">
        <v>0</v>
      </c>
      <c r="AO176" s="4">
        <v>0</v>
      </c>
      <c r="AP176" s="3" t="s">
        <v>58</v>
      </c>
      <c r="AQ176" s="3" t="s">
        <v>69</v>
      </c>
      <c r="AR176" s="6" t="str">
        <f>HYPERLINK("http://catalog.hathitrust.org/Record/000411101","HathiTrust Record")</f>
        <v>HathiTrust Record</v>
      </c>
      <c r="AS176" s="6" t="str">
        <f>HYPERLINK("https://creighton-primo.hosted.exlibrisgroup.com/primo-explore/search?tab=default_tab&amp;search_scope=EVERYTHING&amp;vid=01CRU&amp;lang=en_US&amp;offset=0&amp;query=any,contains,991002712779702656","Catalog Record")</f>
        <v>Catalog Record</v>
      </c>
      <c r="AT176" s="6" t="str">
        <f>HYPERLINK("http://www.worldcat.org/oclc/410360","WorldCat Record")</f>
        <v>WorldCat Record</v>
      </c>
      <c r="AU176" s="3" t="s">
        <v>2415</v>
      </c>
      <c r="AV176" s="3" t="s">
        <v>2416</v>
      </c>
      <c r="AW176" s="3" t="s">
        <v>2417</v>
      </c>
      <c r="AX176" s="3" t="s">
        <v>2417</v>
      </c>
      <c r="AY176" s="3" t="s">
        <v>2418</v>
      </c>
      <c r="AZ176" s="3" t="s">
        <v>74</v>
      </c>
      <c r="BB176" s="3" t="s">
        <v>2419</v>
      </c>
      <c r="BC176" s="3" t="s">
        <v>2420</v>
      </c>
      <c r="BD176" s="3" t="s">
        <v>2421</v>
      </c>
    </row>
    <row r="177" spans="1:56" ht="34.5" customHeight="1" x14ac:dyDescent="0.25">
      <c r="A177" s="7" t="s">
        <v>58</v>
      </c>
      <c r="B177" s="2" t="s">
        <v>2422</v>
      </c>
      <c r="C177" s="2" t="s">
        <v>2423</v>
      </c>
      <c r="D177" s="2" t="s">
        <v>2424</v>
      </c>
      <c r="F177" s="3" t="s">
        <v>58</v>
      </c>
      <c r="G177" s="3" t="s">
        <v>59</v>
      </c>
      <c r="H177" s="3" t="s">
        <v>58</v>
      </c>
      <c r="I177" s="3" t="s">
        <v>58</v>
      </c>
      <c r="J177" s="3" t="s">
        <v>60</v>
      </c>
      <c r="K177" s="2" t="s">
        <v>2425</v>
      </c>
      <c r="L177" s="2" t="s">
        <v>2426</v>
      </c>
      <c r="M177" s="3" t="s">
        <v>83</v>
      </c>
      <c r="O177" s="3" t="s">
        <v>64</v>
      </c>
      <c r="P177" s="3" t="s">
        <v>2427</v>
      </c>
      <c r="R177" s="3" t="s">
        <v>66</v>
      </c>
      <c r="S177" s="4">
        <v>8</v>
      </c>
      <c r="T177" s="4">
        <v>8</v>
      </c>
      <c r="U177" s="5" t="s">
        <v>2428</v>
      </c>
      <c r="V177" s="5" t="s">
        <v>2428</v>
      </c>
      <c r="W177" s="5" t="s">
        <v>2429</v>
      </c>
      <c r="X177" s="5" t="s">
        <v>2429</v>
      </c>
      <c r="Y177" s="4">
        <v>331</v>
      </c>
      <c r="Z177" s="4">
        <v>265</v>
      </c>
      <c r="AA177" s="4">
        <v>266</v>
      </c>
      <c r="AB177" s="4">
        <v>4</v>
      </c>
      <c r="AC177" s="4">
        <v>4</v>
      </c>
      <c r="AD177" s="4">
        <v>18</v>
      </c>
      <c r="AE177" s="4">
        <v>18</v>
      </c>
      <c r="AF177" s="4">
        <v>6</v>
      </c>
      <c r="AG177" s="4">
        <v>6</v>
      </c>
      <c r="AH177" s="4">
        <v>3</v>
      </c>
      <c r="AI177" s="4">
        <v>3</v>
      </c>
      <c r="AJ177" s="4">
        <v>10</v>
      </c>
      <c r="AK177" s="4">
        <v>10</v>
      </c>
      <c r="AL177" s="4">
        <v>3</v>
      </c>
      <c r="AM177" s="4">
        <v>3</v>
      </c>
      <c r="AN177" s="4">
        <v>0</v>
      </c>
      <c r="AO177" s="4">
        <v>0</v>
      </c>
      <c r="AP177" s="3" t="s">
        <v>58</v>
      </c>
      <c r="AQ177" s="3" t="s">
        <v>58</v>
      </c>
      <c r="AS177" s="6" t="str">
        <f>HYPERLINK("https://creighton-primo.hosted.exlibrisgroup.com/primo-explore/search?tab=default_tab&amp;search_scope=EVERYTHING&amp;vid=01CRU&amp;lang=en_US&amp;offset=0&amp;query=any,contains,991005417419702656","Catalog Record")</f>
        <v>Catalog Record</v>
      </c>
      <c r="AT177" s="6" t="str">
        <f>HYPERLINK("http://www.worldcat.org/oclc/28587295","WorldCat Record")</f>
        <v>WorldCat Record</v>
      </c>
      <c r="AU177" s="3" t="s">
        <v>2430</v>
      </c>
      <c r="AV177" s="3" t="s">
        <v>2431</v>
      </c>
      <c r="AW177" s="3" t="s">
        <v>2432</v>
      </c>
      <c r="AX177" s="3" t="s">
        <v>2432</v>
      </c>
      <c r="AY177" s="3" t="s">
        <v>2433</v>
      </c>
      <c r="AZ177" s="3" t="s">
        <v>74</v>
      </c>
      <c r="BB177" s="3" t="s">
        <v>2434</v>
      </c>
      <c r="BC177" s="3" t="s">
        <v>2435</v>
      </c>
      <c r="BD177" s="3" t="s">
        <v>2436</v>
      </c>
    </row>
    <row r="178" spans="1:56" ht="34.5" customHeight="1" x14ac:dyDescent="0.25">
      <c r="A178" s="7" t="s">
        <v>58</v>
      </c>
      <c r="B178" s="2" t="s">
        <v>2437</v>
      </c>
      <c r="C178" s="2" t="s">
        <v>2438</v>
      </c>
      <c r="D178" s="2" t="s">
        <v>2439</v>
      </c>
      <c r="F178" s="3" t="s">
        <v>58</v>
      </c>
      <c r="G178" s="3" t="s">
        <v>59</v>
      </c>
      <c r="H178" s="3" t="s">
        <v>58</v>
      </c>
      <c r="I178" s="3" t="s">
        <v>58</v>
      </c>
      <c r="J178" s="3" t="s">
        <v>60</v>
      </c>
      <c r="K178" s="2" t="s">
        <v>2440</v>
      </c>
      <c r="L178" s="2" t="s">
        <v>2441</v>
      </c>
      <c r="M178" s="3" t="s">
        <v>283</v>
      </c>
      <c r="O178" s="3" t="s">
        <v>64</v>
      </c>
      <c r="P178" s="3" t="s">
        <v>131</v>
      </c>
      <c r="Q178" s="2" t="s">
        <v>2442</v>
      </c>
      <c r="R178" s="3" t="s">
        <v>66</v>
      </c>
      <c r="S178" s="4">
        <v>13</v>
      </c>
      <c r="T178" s="4">
        <v>13</v>
      </c>
      <c r="U178" s="5" t="s">
        <v>2443</v>
      </c>
      <c r="V178" s="5" t="s">
        <v>2443</v>
      </c>
      <c r="W178" s="5" t="s">
        <v>2444</v>
      </c>
      <c r="X178" s="5" t="s">
        <v>2444</v>
      </c>
      <c r="Y178" s="4">
        <v>460</v>
      </c>
      <c r="Z178" s="4">
        <v>357</v>
      </c>
      <c r="AA178" s="4">
        <v>381</v>
      </c>
      <c r="AB178" s="4">
        <v>3</v>
      </c>
      <c r="AC178" s="4">
        <v>3</v>
      </c>
      <c r="AD178" s="4">
        <v>13</v>
      </c>
      <c r="AE178" s="4">
        <v>13</v>
      </c>
      <c r="AF178" s="4">
        <v>8</v>
      </c>
      <c r="AG178" s="4">
        <v>8</v>
      </c>
      <c r="AH178" s="4">
        <v>2</v>
      </c>
      <c r="AI178" s="4">
        <v>2</v>
      </c>
      <c r="AJ178" s="4">
        <v>5</v>
      </c>
      <c r="AK178" s="4">
        <v>5</v>
      </c>
      <c r="AL178" s="4">
        <v>2</v>
      </c>
      <c r="AM178" s="4">
        <v>2</v>
      </c>
      <c r="AN178" s="4">
        <v>0</v>
      </c>
      <c r="AO178" s="4">
        <v>0</v>
      </c>
      <c r="AP178" s="3" t="s">
        <v>58</v>
      </c>
      <c r="AQ178" s="3" t="s">
        <v>69</v>
      </c>
      <c r="AR178" s="6" t="str">
        <f>HYPERLINK("http://catalog.hathitrust.org/Record/004018744","HathiTrust Record")</f>
        <v>HathiTrust Record</v>
      </c>
      <c r="AS178" s="6" t="str">
        <f>HYPERLINK("https://creighton-primo.hosted.exlibrisgroup.com/primo-explore/search?tab=default_tab&amp;search_scope=EVERYTHING&amp;vid=01CRU&amp;lang=en_US&amp;offset=0&amp;query=any,contains,991002999119702656","Catalog Record")</f>
        <v>Catalog Record</v>
      </c>
      <c r="AT178" s="6" t="str">
        <f>HYPERLINK("http://www.worldcat.org/oclc/40597961","WorldCat Record")</f>
        <v>WorldCat Record</v>
      </c>
      <c r="AU178" s="3" t="s">
        <v>2445</v>
      </c>
      <c r="AV178" s="3" t="s">
        <v>2446</v>
      </c>
      <c r="AW178" s="3" t="s">
        <v>2447</v>
      </c>
      <c r="AX178" s="3" t="s">
        <v>2447</v>
      </c>
      <c r="AY178" s="3" t="s">
        <v>2448</v>
      </c>
      <c r="AZ178" s="3" t="s">
        <v>74</v>
      </c>
      <c r="BB178" s="3" t="s">
        <v>2449</v>
      </c>
      <c r="BC178" s="3" t="s">
        <v>2450</v>
      </c>
      <c r="BD178" s="3" t="s">
        <v>2451</v>
      </c>
    </row>
    <row r="179" spans="1:56" ht="34.5" customHeight="1" x14ac:dyDescent="0.25">
      <c r="A179" s="7" t="s">
        <v>58</v>
      </c>
      <c r="B179" s="2" t="s">
        <v>2452</v>
      </c>
      <c r="C179" s="2" t="s">
        <v>2453</v>
      </c>
      <c r="D179" s="2" t="s">
        <v>2454</v>
      </c>
      <c r="F179" s="3" t="s">
        <v>58</v>
      </c>
      <c r="G179" s="3" t="s">
        <v>59</v>
      </c>
      <c r="H179" s="3" t="s">
        <v>58</v>
      </c>
      <c r="I179" s="3" t="s">
        <v>58</v>
      </c>
      <c r="J179" s="3" t="s">
        <v>60</v>
      </c>
      <c r="K179" s="2" t="s">
        <v>2455</v>
      </c>
      <c r="L179" s="2" t="s">
        <v>2456</v>
      </c>
      <c r="M179" s="3" t="s">
        <v>465</v>
      </c>
      <c r="O179" s="3" t="s">
        <v>64</v>
      </c>
      <c r="P179" s="3" t="s">
        <v>621</v>
      </c>
      <c r="R179" s="3" t="s">
        <v>66</v>
      </c>
      <c r="S179" s="4">
        <v>1</v>
      </c>
      <c r="T179" s="4">
        <v>1</v>
      </c>
      <c r="U179" s="5" t="s">
        <v>2457</v>
      </c>
      <c r="V179" s="5" t="s">
        <v>2457</v>
      </c>
      <c r="W179" s="5" t="s">
        <v>68</v>
      </c>
      <c r="X179" s="5" t="s">
        <v>68</v>
      </c>
      <c r="Y179" s="4">
        <v>284</v>
      </c>
      <c r="Z179" s="4">
        <v>264</v>
      </c>
      <c r="AA179" s="4">
        <v>266</v>
      </c>
      <c r="AB179" s="4">
        <v>3</v>
      </c>
      <c r="AC179" s="4">
        <v>3</v>
      </c>
      <c r="AD179" s="4">
        <v>12</v>
      </c>
      <c r="AE179" s="4">
        <v>12</v>
      </c>
      <c r="AF179" s="4">
        <v>0</v>
      </c>
      <c r="AG179" s="4">
        <v>0</v>
      </c>
      <c r="AH179" s="4">
        <v>3</v>
      </c>
      <c r="AI179" s="4">
        <v>3</v>
      </c>
      <c r="AJ179" s="4">
        <v>8</v>
      </c>
      <c r="AK179" s="4">
        <v>8</v>
      </c>
      <c r="AL179" s="4">
        <v>2</v>
      </c>
      <c r="AM179" s="4">
        <v>2</v>
      </c>
      <c r="AN179" s="4">
        <v>0</v>
      </c>
      <c r="AO179" s="4">
        <v>0</v>
      </c>
      <c r="AP179" s="3" t="s">
        <v>58</v>
      </c>
      <c r="AQ179" s="3" t="s">
        <v>58</v>
      </c>
      <c r="AS179" s="6" t="str">
        <f>HYPERLINK("https://creighton-primo.hosted.exlibrisgroup.com/primo-explore/search?tab=default_tab&amp;search_scope=EVERYTHING&amp;vid=01CRU&amp;lang=en_US&amp;offset=0&amp;query=any,contains,991000796929702656","Catalog Record")</f>
        <v>Catalog Record</v>
      </c>
      <c r="AT179" s="6" t="str">
        <f>HYPERLINK("http://www.worldcat.org/oclc/137475","WorldCat Record")</f>
        <v>WorldCat Record</v>
      </c>
      <c r="AU179" s="3" t="s">
        <v>2458</v>
      </c>
      <c r="AV179" s="3" t="s">
        <v>2459</v>
      </c>
      <c r="AW179" s="3" t="s">
        <v>2460</v>
      </c>
      <c r="AX179" s="3" t="s">
        <v>2460</v>
      </c>
      <c r="AY179" s="3" t="s">
        <v>2461</v>
      </c>
      <c r="AZ179" s="3" t="s">
        <v>74</v>
      </c>
      <c r="BC179" s="3" t="s">
        <v>2462</v>
      </c>
      <c r="BD179" s="3" t="s">
        <v>2463</v>
      </c>
    </row>
    <row r="180" spans="1:56" ht="34.5" customHeight="1" x14ac:dyDescent="0.25">
      <c r="A180" s="7" t="s">
        <v>58</v>
      </c>
      <c r="B180" s="2" t="s">
        <v>2464</v>
      </c>
      <c r="C180" s="2" t="s">
        <v>2465</v>
      </c>
      <c r="D180" s="2" t="s">
        <v>2466</v>
      </c>
      <c r="F180" s="3" t="s">
        <v>58</v>
      </c>
      <c r="G180" s="3" t="s">
        <v>59</v>
      </c>
      <c r="H180" s="3" t="s">
        <v>58</v>
      </c>
      <c r="I180" s="3" t="s">
        <v>58</v>
      </c>
      <c r="J180" s="3" t="s">
        <v>60</v>
      </c>
      <c r="L180" s="2" t="s">
        <v>2467</v>
      </c>
      <c r="M180" s="3" t="s">
        <v>2468</v>
      </c>
      <c r="O180" s="3" t="s">
        <v>64</v>
      </c>
      <c r="P180" s="3" t="s">
        <v>84</v>
      </c>
      <c r="Q180" s="2" t="s">
        <v>2469</v>
      </c>
      <c r="R180" s="3" t="s">
        <v>66</v>
      </c>
      <c r="S180" s="4">
        <v>1</v>
      </c>
      <c r="T180" s="4">
        <v>1</v>
      </c>
      <c r="U180" s="5" t="s">
        <v>2470</v>
      </c>
      <c r="V180" s="5" t="s">
        <v>2470</v>
      </c>
      <c r="W180" s="5" t="s">
        <v>2470</v>
      </c>
      <c r="X180" s="5" t="s">
        <v>2470</v>
      </c>
      <c r="Y180" s="4">
        <v>302</v>
      </c>
      <c r="Z180" s="4">
        <v>228</v>
      </c>
      <c r="AA180" s="4">
        <v>257</v>
      </c>
      <c r="AB180" s="4">
        <v>2</v>
      </c>
      <c r="AC180" s="4">
        <v>2</v>
      </c>
      <c r="AD180" s="4">
        <v>9</v>
      </c>
      <c r="AE180" s="4">
        <v>9</v>
      </c>
      <c r="AF180" s="4">
        <v>4</v>
      </c>
      <c r="AG180" s="4">
        <v>4</v>
      </c>
      <c r="AH180" s="4">
        <v>3</v>
      </c>
      <c r="AI180" s="4">
        <v>3</v>
      </c>
      <c r="AJ180" s="4">
        <v>6</v>
      </c>
      <c r="AK180" s="4">
        <v>6</v>
      </c>
      <c r="AL180" s="4">
        <v>1</v>
      </c>
      <c r="AM180" s="4">
        <v>1</v>
      </c>
      <c r="AN180" s="4">
        <v>0</v>
      </c>
      <c r="AO180" s="4">
        <v>0</v>
      </c>
      <c r="AP180" s="3" t="s">
        <v>58</v>
      </c>
      <c r="AQ180" s="3" t="s">
        <v>58</v>
      </c>
      <c r="AS180" s="6" t="str">
        <f>HYPERLINK("https://creighton-primo.hosted.exlibrisgroup.com/primo-explore/search?tab=default_tab&amp;search_scope=EVERYTHING&amp;vid=01CRU&amp;lang=en_US&amp;offset=0&amp;query=any,contains,991004543819702656","Catalog Record")</f>
        <v>Catalog Record</v>
      </c>
      <c r="AT180" s="6" t="str">
        <f>HYPERLINK("http://www.worldcat.org/oclc/52231787","WorldCat Record")</f>
        <v>WorldCat Record</v>
      </c>
      <c r="AU180" s="3" t="s">
        <v>2471</v>
      </c>
      <c r="AV180" s="3" t="s">
        <v>2472</v>
      </c>
      <c r="AW180" s="3" t="s">
        <v>2473</v>
      </c>
      <c r="AX180" s="3" t="s">
        <v>2473</v>
      </c>
      <c r="AY180" s="3" t="s">
        <v>2474</v>
      </c>
      <c r="AZ180" s="3" t="s">
        <v>74</v>
      </c>
      <c r="BB180" s="3" t="s">
        <v>2475</v>
      </c>
      <c r="BC180" s="3" t="s">
        <v>2476</v>
      </c>
      <c r="BD180" s="3" t="s">
        <v>2477</v>
      </c>
    </row>
    <row r="181" spans="1:56" ht="34.5" customHeight="1" x14ac:dyDescent="0.25">
      <c r="A181" s="7" t="s">
        <v>58</v>
      </c>
      <c r="B181" s="2" t="s">
        <v>2478</v>
      </c>
      <c r="C181" s="2" t="s">
        <v>2479</v>
      </c>
      <c r="D181" s="2" t="s">
        <v>2480</v>
      </c>
      <c r="F181" s="3" t="s">
        <v>58</v>
      </c>
      <c r="G181" s="3" t="s">
        <v>59</v>
      </c>
      <c r="H181" s="3" t="s">
        <v>58</v>
      </c>
      <c r="I181" s="3" t="s">
        <v>58</v>
      </c>
      <c r="J181" s="3" t="s">
        <v>60</v>
      </c>
      <c r="K181" s="2" t="s">
        <v>2481</v>
      </c>
      <c r="L181" s="2" t="s">
        <v>2482</v>
      </c>
      <c r="M181" s="3" t="s">
        <v>808</v>
      </c>
      <c r="O181" s="3" t="s">
        <v>64</v>
      </c>
      <c r="P181" s="3" t="s">
        <v>683</v>
      </c>
      <c r="R181" s="3" t="s">
        <v>66</v>
      </c>
      <c r="S181" s="4">
        <v>1</v>
      </c>
      <c r="T181" s="4">
        <v>1</v>
      </c>
      <c r="U181" s="5" t="s">
        <v>2483</v>
      </c>
      <c r="V181" s="5" t="s">
        <v>2483</v>
      </c>
      <c r="W181" s="5" t="s">
        <v>2483</v>
      </c>
      <c r="X181" s="5" t="s">
        <v>2483</v>
      </c>
      <c r="Y181" s="4">
        <v>100</v>
      </c>
      <c r="Z181" s="4">
        <v>90</v>
      </c>
      <c r="AA181" s="4">
        <v>146</v>
      </c>
      <c r="AB181" s="4">
        <v>2</v>
      </c>
      <c r="AC181" s="4">
        <v>3</v>
      </c>
      <c r="AD181" s="4">
        <v>1</v>
      </c>
      <c r="AE181" s="4">
        <v>3</v>
      </c>
      <c r="AF181" s="4">
        <v>0</v>
      </c>
      <c r="AG181" s="4">
        <v>0</v>
      </c>
      <c r="AH181" s="4">
        <v>0</v>
      </c>
      <c r="AI181" s="4">
        <v>1</v>
      </c>
      <c r="AJ181" s="4">
        <v>1</v>
      </c>
      <c r="AK181" s="4">
        <v>1</v>
      </c>
      <c r="AL181" s="4">
        <v>0</v>
      </c>
      <c r="AM181" s="4">
        <v>1</v>
      </c>
      <c r="AN181" s="4">
        <v>0</v>
      </c>
      <c r="AO181" s="4">
        <v>0</v>
      </c>
      <c r="AP181" s="3" t="s">
        <v>58</v>
      </c>
      <c r="AQ181" s="3" t="s">
        <v>58</v>
      </c>
      <c r="AS181" s="6" t="str">
        <f>HYPERLINK("https://creighton-primo.hosted.exlibrisgroup.com/primo-explore/search?tab=default_tab&amp;search_scope=EVERYTHING&amp;vid=01CRU&amp;lang=en_US&amp;offset=0&amp;query=any,contains,991005008719702656","Catalog Record")</f>
        <v>Catalog Record</v>
      </c>
      <c r="AT181" s="6" t="str">
        <f>HYPERLINK("http://www.worldcat.org/oclc/974610","WorldCat Record")</f>
        <v>WorldCat Record</v>
      </c>
      <c r="AU181" s="3" t="s">
        <v>2484</v>
      </c>
      <c r="AV181" s="3" t="s">
        <v>2485</v>
      </c>
      <c r="AW181" s="3" t="s">
        <v>2486</v>
      </c>
      <c r="AX181" s="3" t="s">
        <v>2486</v>
      </c>
      <c r="AY181" s="3" t="s">
        <v>2487</v>
      </c>
      <c r="AZ181" s="3" t="s">
        <v>74</v>
      </c>
      <c r="BC181" s="3" t="s">
        <v>2488</v>
      </c>
      <c r="BD181" s="3" t="s">
        <v>2489</v>
      </c>
    </row>
    <row r="182" spans="1:56" ht="34.5" customHeight="1" x14ac:dyDescent="0.25">
      <c r="A182" s="7" t="s">
        <v>58</v>
      </c>
      <c r="B182" s="2" t="s">
        <v>2490</v>
      </c>
      <c r="C182" s="2" t="s">
        <v>2491</v>
      </c>
      <c r="D182" s="2" t="s">
        <v>2492</v>
      </c>
      <c r="F182" s="3" t="s">
        <v>58</v>
      </c>
      <c r="G182" s="3" t="s">
        <v>59</v>
      </c>
      <c r="H182" s="3" t="s">
        <v>58</v>
      </c>
      <c r="I182" s="3" t="s">
        <v>58</v>
      </c>
      <c r="J182" s="3" t="s">
        <v>60</v>
      </c>
      <c r="K182" s="2" t="s">
        <v>2493</v>
      </c>
      <c r="L182" s="2" t="s">
        <v>2494</v>
      </c>
      <c r="M182" s="3" t="s">
        <v>1191</v>
      </c>
      <c r="N182" s="2" t="s">
        <v>2495</v>
      </c>
      <c r="O182" s="3" t="s">
        <v>64</v>
      </c>
      <c r="P182" s="3" t="s">
        <v>65</v>
      </c>
      <c r="R182" s="3" t="s">
        <v>66</v>
      </c>
      <c r="S182" s="4">
        <v>2</v>
      </c>
      <c r="T182" s="4">
        <v>2</v>
      </c>
      <c r="U182" s="5" t="s">
        <v>2229</v>
      </c>
      <c r="V182" s="5" t="s">
        <v>2229</v>
      </c>
      <c r="W182" s="5" t="s">
        <v>68</v>
      </c>
      <c r="X182" s="5" t="s">
        <v>68</v>
      </c>
      <c r="Y182" s="4">
        <v>101</v>
      </c>
      <c r="Z182" s="4">
        <v>95</v>
      </c>
      <c r="AA182" s="4">
        <v>1081</v>
      </c>
      <c r="AB182" s="4">
        <v>2</v>
      </c>
      <c r="AC182" s="4">
        <v>7</v>
      </c>
      <c r="AD182" s="4">
        <v>2</v>
      </c>
      <c r="AE182" s="4">
        <v>42</v>
      </c>
      <c r="AF182" s="4">
        <v>1</v>
      </c>
      <c r="AG182" s="4">
        <v>17</v>
      </c>
      <c r="AH182" s="4">
        <v>0</v>
      </c>
      <c r="AI182" s="4">
        <v>9</v>
      </c>
      <c r="AJ182" s="4">
        <v>1</v>
      </c>
      <c r="AK182" s="4">
        <v>22</v>
      </c>
      <c r="AL182" s="4">
        <v>1</v>
      </c>
      <c r="AM182" s="4">
        <v>5</v>
      </c>
      <c r="AN182" s="4">
        <v>0</v>
      </c>
      <c r="AO182" s="4">
        <v>0</v>
      </c>
      <c r="AP182" s="3" t="s">
        <v>58</v>
      </c>
      <c r="AQ182" s="3" t="s">
        <v>69</v>
      </c>
      <c r="AR182" s="6" t="str">
        <f>HYPERLINK("http://catalog.hathitrust.org/Record/002513972","HathiTrust Record")</f>
        <v>HathiTrust Record</v>
      </c>
      <c r="AS182" s="6" t="str">
        <f>HYPERLINK("https://creighton-primo.hosted.exlibrisgroup.com/primo-explore/search?tab=default_tab&amp;search_scope=EVERYTHING&amp;vid=01CRU&amp;lang=en_US&amp;offset=0&amp;query=any,contains,991002273049702656","Catalog Record")</f>
        <v>Catalog Record</v>
      </c>
      <c r="AT182" s="6" t="str">
        <f>HYPERLINK("http://www.worldcat.org/oclc/29511836","WorldCat Record")</f>
        <v>WorldCat Record</v>
      </c>
      <c r="AU182" s="3" t="s">
        <v>2496</v>
      </c>
      <c r="AV182" s="3" t="s">
        <v>2497</v>
      </c>
      <c r="AW182" s="3" t="s">
        <v>2498</v>
      </c>
      <c r="AX182" s="3" t="s">
        <v>2498</v>
      </c>
      <c r="AY182" s="3" t="s">
        <v>2499</v>
      </c>
      <c r="AZ182" s="3" t="s">
        <v>74</v>
      </c>
      <c r="BC182" s="3" t="s">
        <v>2500</v>
      </c>
      <c r="BD182" s="3" t="s">
        <v>2501</v>
      </c>
    </row>
    <row r="183" spans="1:56" ht="34.5" customHeight="1" x14ac:dyDescent="0.25">
      <c r="A183" s="7" t="s">
        <v>58</v>
      </c>
      <c r="B183" s="2" t="s">
        <v>2502</v>
      </c>
      <c r="C183" s="2" t="s">
        <v>2503</v>
      </c>
      <c r="D183" s="2" t="s">
        <v>2504</v>
      </c>
      <c r="F183" s="3" t="s">
        <v>58</v>
      </c>
      <c r="G183" s="3" t="s">
        <v>59</v>
      </c>
      <c r="H183" s="3" t="s">
        <v>58</v>
      </c>
      <c r="I183" s="3" t="s">
        <v>58</v>
      </c>
      <c r="J183" s="3" t="s">
        <v>60</v>
      </c>
      <c r="K183" s="2" t="s">
        <v>2505</v>
      </c>
      <c r="L183" s="2" t="s">
        <v>2506</v>
      </c>
      <c r="M183" s="3" t="s">
        <v>192</v>
      </c>
      <c r="O183" s="3" t="s">
        <v>64</v>
      </c>
      <c r="P183" s="3" t="s">
        <v>2058</v>
      </c>
      <c r="R183" s="3" t="s">
        <v>66</v>
      </c>
      <c r="S183" s="4">
        <v>3</v>
      </c>
      <c r="T183" s="4">
        <v>3</v>
      </c>
      <c r="U183" s="5" t="s">
        <v>2229</v>
      </c>
      <c r="V183" s="5" t="s">
        <v>2229</v>
      </c>
      <c r="W183" s="5" t="s">
        <v>2507</v>
      </c>
      <c r="X183" s="5" t="s">
        <v>2507</v>
      </c>
      <c r="Y183" s="4">
        <v>786</v>
      </c>
      <c r="Z183" s="4">
        <v>642</v>
      </c>
      <c r="AA183" s="4">
        <v>652</v>
      </c>
      <c r="AB183" s="4">
        <v>5</v>
      </c>
      <c r="AC183" s="4">
        <v>5</v>
      </c>
      <c r="AD183" s="4">
        <v>29</v>
      </c>
      <c r="AE183" s="4">
        <v>29</v>
      </c>
      <c r="AF183" s="4">
        <v>12</v>
      </c>
      <c r="AG183" s="4">
        <v>12</v>
      </c>
      <c r="AH183" s="4">
        <v>8</v>
      </c>
      <c r="AI183" s="4">
        <v>8</v>
      </c>
      <c r="AJ183" s="4">
        <v>13</v>
      </c>
      <c r="AK183" s="4">
        <v>13</v>
      </c>
      <c r="AL183" s="4">
        <v>4</v>
      </c>
      <c r="AM183" s="4">
        <v>4</v>
      </c>
      <c r="AN183" s="4">
        <v>0</v>
      </c>
      <c r="AO183" s="4">
        <v>0</v>
      </c>
      <c r="AP183" s="3" t="s">
        <v>58</v>
      </c>
      <c r="AQ183" s="3" t="s">
        <v>69</v>
      </c>
      <c r="AR183" s="6" t="str">
        <f>HYPERLINK("http://catalog.hathitrust.org/Record/000411020","HathiTrust Record")</f>
        <v>HathiTrust Record</v>
      </c>
      <c r="AS183" s="6" t="str">
        <f>HYPERLINK("https://creighton-primo.hosted.exlibrisgroup.com/primo-explore/search?tab=default_tab&amp;search_scope=EVERYTHING&amp;vid=01CRU&amp;lang=en_US&amp;offset=0&amp;query=any,contains,991003135299702656","Catalog Record")</f>
        <v>Catalog Record</v>
      </c>
      <c r="AT183" s="6" t="str">
        <f>HYPERLINK("http://www.worldcat.org/oclc/677261","WorldCat Record")</f>
        <v>WorldCat Record</v>
      </c>
      <c r="AU183" s="3" t="s">
        <v>2508</v>
      </c>
      <c r="AV183" s="3" t="s">
        <v>2509</v>
      </c>
      <c r="AW183" s="3" t="s">
        <v>2510</v>
      </c>
      <c r="AX183" s="3" t="s">
        <v>2510</v>
      </c>
      <c r="AY183" s="3" t="s">
        <v>2511</v>
      </c>
      <c r="AZ183" s="3" t="s">
        <v>74</v>
      </c>
      <c r="BB183" s="3" t="s">
        <v>2512</v>
      </c>
      <c r="BC183" s="3" t="s">
        <v>2513</v>
      </c>
      <c r="BD183" s="3" t="s">
        <v>2514</v>
      </c>
    </row>
    <row r="184" spans="1:56" ht="34.5" customHeight="1" x14ac:dyDescent="0.25">
      <c r="A184" s="7" t="s">
        <v>58</v>
      </c>
      <c r="B184" s="2" t="s">
        <v>2515</v>
      </c>
      <c r="C184" s="2" t="s">
        <v>2516</v>
      </c>
      <c r="D184" s="2" t="s">
        <v>2517</v>
      </c>
      <c r="F184" s="3" t="s">
        <v>58</v>
      </c>
      <c r="G184" s="3" t="s">
        <v>59</v>
      </c>
      <c r="H184" s="3" t="s">
        <v>58</v>
      </c>
      <c r="I184" s="3" t="s">
        <v>58</v>
      </c>
      <c r="J184" s="3" t="s">
        <v>60</v>
      </c>
      <c r="K184" s="2" t="s">
        <v>2518</v>
      </c>
      <c r="L184" s="2" t="s">
        <v>2519</v>
      </c>
      <c r="M184" s="3" t="s">
        <v>192</v>
      </c>
      <c r="N184" s="2" t="s">
        <v>2520</v>
      </c>
      <c r="O184" s="3" t="s">
        <v>64</v>
      </c>
      <c r="P184" s="3" t="s">
        <v>252</v>
      </c>
      <c r="R184" s="3" t="s">
        <v>66</v>
      </c>
      <c r="S184" s="4">
        <v>6</v>
      </c>
      <c r="T184" s="4">
        <v>6</v>
      </c>
      <c r="U184" s="5" t="s">
        <v>2521</v>
      </c>
      <c r="V184" s="5" t="s">
        <v>2521</v>
      </c>
      <c r="W184" s="5" t="s">
        <v>68</v>
      </c>
      <c r="X184" s="5" t="s">
        <v>68</v>
      </c>
      <c r="Y184" s="4">
        <v>359</v>
      </c>
      <c r="Z184" s="4">
        <v>337</v>
      </c>
      <c r="AA184" s="4">
        <v>440</v>
      </c>
      <c r="AB184" s="4">
        <v>2</v>
      </c>
      <c r="AC184" s="4">
        <v>2</v>
      </c>
      <c r="AD184" s="4">
        <v>14</v>
      </c>
      <c r="AE184" s="4">
        <v>15</v>
      </c>
      <c r="AF184" s="4">
        <v>5</v>
      </c>
      <c r="AG184" s="4">
        <v>6</v>
      </c>
      <c r="AH184" s="4">
        <v>4</v>
      </c>
      <c r="AI184" s="4">
        <v>4</v>
      </c>
      <c r="AJ184" s="4">
        <v>6</v>
      </c>
      <c r="AK184" s="4">
        <v>6</v>
      </c>
      <c r="AL184" s="4">
        <v>1</v>
      </c>
      <c r="AM184" s="4">
        <v>1</v>
      </c>
      <c r="AN184" s="4">
        <v>0</v>
      </c>
      <c r="AO184" s="4">
        <v>0</v>
      </c>
      <c r="AP184" s="3" t="s">
        <v>58</v>
      </c>
      <c r="AQ184" s="3" t="s">
        <v>69</v>
      </c>
      <c r="AR184" s="6" t="str">
        <f>HYPERLINK("http://catalog.hathitrust.org/Record/000011015","HathiTrust Record")</f>
        <v>HathiTrust Record</v>
      </c>
      <c r="AS184" s="6" t="str">
        <f>HYPERLINK("https://creighton-primo.hosted.exlibrisgroup.com/primo-explore/search?tab=default_tab&amp;search_scope=EVERYTHING&amp;vid=01CRU&amp;lang=en_US&amp;offset=0&amp;query=any,contains,991003141109702656","Catalog Record")</f>
        <v>Catalog Record</v>
      </c>
      <c r="AT184" s="6" t="str">
        <f>HYPERLINK("http://www.worldcat.org/oclc/682603","WorldCat Record")</f>
        <v>WorldCat Record</v>
      </c>
      <c r="AU184" s="3" t="s">
        <v>2522</v>
      </c>
      <c r="AV184" s="3" t="s">
        <v>2523</v>
      </c>
      <c r="AW184" s="3" t="s">
        <v>2524</v>
      </c>
      <c r="AX184" s="3" t="s">
        <v>2524</v>
      </c>
      <c r="AY184" s="3" t="s">
        <v>2525</v>
      </c>
      <c r="AZ184" s="3" t="s">
        <v>74</v>
      </c>
      <c r="BB184" s="3" t="s">
        <v>2526</v>
      </c>
      <c r="BC184" s="3" t="s">
        <v>2527</v>
      </c>
      <c r="BD184" s="3" t="s">
        <v>2528</v>
      </c>
    </row>
    <row r="185" spans="1:56" ht="34.5" customHeight="1" x14ac:dyDescent="0.25">
      <c r="A185" s="7" t="s">
        <v>58</v>
      </c>
      <c r="B185" s="2" t="s">
        <v>2529</v>
      </c>
      <c r="C185" s="2" t="s">
        <v>2530</v>
      </c>
      <c r="D185" s="2" t="s">
        <v>2531</v>
      </c>
      <c r="F185" s="3" t="s">
        <v>58</v>
      </c>
      <c r="G185" s="3" t="s">
        <v>59</v>
      </c>
      <c r="H185" s="3" t="s">
        <v>58</v>
      </c>
      <c r="I185" s="3" t="s">
        <v>58</v>
      </c>
      <c r="J185" s="3" t="s">
        <v>60</v>
      </c>
      <c r="K185" s="2" t="s">
        <v>2532</v>
      </c>
      <c r="L185" s="2" t="s">
        <v>2533</v>
      </c>
      <c r="M185" s="3" t="s">
        <v>83</v>
      </c>
      <c r="O185" s="3" t="s">
        <v>64</v>
      </c>
      <c r="P185" s="3" t="s">
        <v>2534</v>
      </c>
      <c r="R185" s="3" t="s">
        <v>66</v>
      </c>
      <c r="S185" s="4">
        <v>4</v>
      </c>
      <c r="T185" s="4">
        <v>4</v>
      </c>
      <c r="U185" s="5" t="s">
        <v>2535</v>
      </c>
      <c r="V185" s="5" t="s">
        <v>2535</v>
      </c>
      <c r="W185" s="5" t="s">
        <v>2536</v>
      </c>
      <c r="X185" s="5" t="s">
        <v>2536</v>
      </c>
      <c r="Y185" s="4">
        <v>296</v>
      </c>
      <c r="Z185" s="4">
        <v>280</v>
      </c>
      <c r="AA185" s="4">
        <v>281</v>
      </c>
      <c r="AB185" s="4">
        <v>2</v>
      </c>
      <c r="AC185" s="4">
        <v>2</v>
      </c>
      <c r="AD185" s="4">
        <v>10</v>
      </c>
      <c r="AE185" s="4">
        <v>10</v>
      </c>
      <c r="AF185" s="4">
        <v>2</v>
      </c>
      <c r="AG185" s="4">
        <v>2</v>
      </c>
      <c r="AH185" s="4">
        <v>4</v>
      </c>
      <c r="AI185" s="4">
        <v>4</v>
      </c>
      <c r="AJ185" s="4">
        <v>4</v>
      </c>
      <c r="AK185" s="4">
        <v>4</v>
      </c>
      <c r="AL185" s="4">
        <v>1</v>
      </c>
      <c r="AM185" s="4">
        <v>1</v>
      </c>
      <c r="AN185" s="4">
        <v>0</v>
      </c>
      <c r="AO185" s="4">
        <v>0</v>
      </c>
      <c r="AP185" s="3" t="s">
        <v>58</v>
      </c>
      <c r="AQ185" s="3" t="s">
        <v>69</v>
      </c>
      <c r="AR185" s="6" t="str">
        <f>HYPERLINK("http://catalog.hathitrust.org/Record/002902376","HathiTrust Record")</f>
        <v>HathiTrust Record</v>
      </c>
      <c r="AS185" s="6" t="str">
        <f>HYPERLINK("https://creighton-primo.hosted.exlibrisgroup.com/primo-explore/search?tab=default_tab&amp;search_scope=EVERYTHING&amp;vid=01CRU&amp;lang=en_US&amp;offset=0&amp;query=any,contains,991002366409702656","Catalog Record")</f>
        <v>Catalog Record</v>
      </c>
      <c r="AT185" s="6" t="str">
        <f>HYPERLINK("http://www.worldcat.org/oclc/30763931","WorldCat Record")</f>
        <v>WorldCat Record</v>
      </c>
      <c r="AU185" s="3" t="s">
        <v>2537</v>
      </c>
      <c r="AV185" s="3" t="s">
        <v>2538</v>
      </c>
      <c r="AW185" s="3" t="s">
        <v>2539</v>
      </c>
      <c r="AX185" s="3" t="s">
        <v>2539</v>
      </c>
      <c r="AY185" s="3" t="s">
        <v>2540</v>
      </c>
      <c r="AZ185" s="3" t="s">
        <v>74</v>
      </c>
      <c r="BB185" s="3" t="s">
        <v>2541</v>
      </c>
      <c r="BC185" s="3" t="s">
        <v>2542</v>
      </c>
      <c r="BD185" s="3" t="s">
        <v>2543</v>
      </c>
    </row>
    <row r="186" spans="1:56" ht="34.5" customHeight="1" x14ac:dyDescent="0.25">
      <c r="A186" s="7" t="s">
        <v>58</v>
      </c>
      <c r="B186" s="2" t="s">
        <v>2544</v>
      </c>
      <c r="C186" s="2" t="s">
        <v>2545</v>
      </c>
      <c r="D186" s="2" t="s">
        <v>2546</v>
      </c>
      <c r="F186" s="3" t="s">
        <v>58</v>
      </c>
      <c r="G186" s="3" t="s">
        <v>59</v>
      </c>
      <c r="H186" s="3" t="s">
        <v>58</v>
      </c>
      <c r="I186" s="3" t="s">
        <v>58</v>
      </c>
      <c r="J186" s="3" t="s">
        <v>60</v>
      </c>
      <c r="K186" s="2" t="s">
        <v>2547</v>
      </c>
      <c r="L186" s="2" t="s">
        <v>2548</v>
      </c>
      <c r="M186" s="3" t="s">
        <v>698</v>
      </c>
      <c r="N186" s="2" t="s">
        <v>2549</v>
      </c>
      <c r="O186" s="3" t="s">
        <v>64</v>
      </c>
      <c r="P186" s="3" t="s">
        <v>955</v>
      </c>
      <c r="R186" s="3" t="s">
        <v>66</v>
      </c>
      <c r="S186" s="4">
        <v>6</v>
      </c>
      <c r="T186" s="4">
        <v>6</v>
      </c>
      <c r="U186" s="5" t="s">
        <v>2550</v>
      </c>
      <c r="V186" s="5" t="s">
        <v>2550</v>
      </c>
      <c r="W186" s="5" t="s">
        <v>2551</v>
      </c>
      <c r="X186" s="5" t="s">
        <v>2551</v>
      </c>
      <c r="Y186" s="4">
        <v>210</v>
      </c>
      <c r="Z186" s="4">
        <v>183</v>
      </c>
      <c r="AA186" s="4">
        <v>906</v>
      </c>
      <c r="AB186" s="4">
        <v>1</v>
      </c>
      <c r="AC186" s="4">
        <v>5</v>
      </c>
      <c r="AD186" s="4">
        <v>4</v>
      </c>
      <c r="AE186" s="4">
        <v>24</v>
      </c>
      <c r="AF186" s="4">
        <v>1</v>
      </c>
      <c r="AG186" s="4">
        <v>10</v>
      </c>
      <c r="AH186" s="4">
        <v>0</v>
      </c>
      <c r="AI186" s="4">
        <v>3</v>
      </c>
      <c r="AJ186" s="4">
        <v>2</v>
      </c>
      <c r="AK186" s="4">
        <v>13</v>
      </c>
      <c r="AL186" s="4">
        <v>0</v>
      </c>
      <c r="AM186" s="4">
        <v>2</v>
      </c>
      <c r="AN186" s="4">
        <v>1</v>
      </c>
      <c r="AO186" s="4">
        <v>1</v>
      </c>
      <c r="AP186" s="3" t="s">
        <v>58</v>
      </c>
      <c r="AQ186" s="3" t="s">
        <v>58</v>
      </c>
      <c r="AS186" s="6" t="str">
        <f>HYPERLINK("https://creighton-primo.hosted.exlibrisgroup.com/primo-explore/search?tab=default_tab&amp;search_scope=EVERYTHING&amp;vid=01CRU&amp;lang=en_US&amp;offset=0&amp;query=any,contains,991002482909702656","Catalog Record")</f>
        <v>Catalog Record</v>
      </c>
      <c r="AT186" s="6" t="str">
        <f>HYPERLINK("http://www.worldcat.org/oclc/32312934","WorldCat Record")</f>
        <v>WorldCat Record</v>
      </c>
      <c r="AU186" s="3" t="s">
        <v>2552</v>
      </c>
      <c r="AV186" s="3" t="s">
        <v>2553</v>
      </c>
      <c r="AW186" s="3" t="s">
        <v>2554</v>
      </c>
      <c r="AX186" s="3" t="s">
        <v>2554</v>
      </c>
      <c r="AY186" s="3" t="s">
        <v>2555</v>
      </c>
      <c r="AZ186" s="3" t="s">
        <v>74</v>
      </c>
      <c r="BB186" s="3" t="s">
        <v>2556</v>
      </c>
      <c r="BC186" s="3" t="s">
        <v>2557</v>
      </c>
      <c r="BD186" s="3" t="s">
        <v>2558</v>
      </c>
    </row>
    <row r="187" spans="1:56" ht="34.5" customHeight="1" x14ac:dyDescent="0.25">
      <c r="A187" s="7" t="s">
        <v>58</v>
      </c>
      <c r="B187" s="2" t="s">
        <v>2559</v>
      </c>
      <c r="C187" s="2" t="s">
        <v>2560</v>
      </c>
      <c r="D187" s="2" t="s">
        <v>2561</v>
      </c>
      <c r="F187" s="3" t="s">
        <v>58</v>
      </c>
      <c r="G187" s="3" t="s">
        <v>59</v>
      </c>
      <c r="H187" s="3" t="s">
        <v>58</v>
      </c>
      <c r="I187" s="3" t="s">
        <v>58</v>
      </c>
      <c r="J187" s="3" t="s">
        <v>60</v>
      </c>
      <c r="K187" s="2" t="s">
        <v>2562</v>
      </c>
      <c r="L187" s="2" t="s">
        <v>2563</v>
      </c>
      <c r="M187" s="3" t="s">
        <v>339</v>
      </c>
      <c r="O187" s="3" t="s">
        <v>64</v>
      </c>
      <c r="P187" s="3" t="s">
        <v>65</v>
      </c>
      <c r="R187" s="3" t="s">
        <v>66</v>
      </c>
      <c r="S187" s="4">
        <v>5</v>
      </c>
      <c r="T187" s="4">
        <v>5</v>
      </c>
      <c r="U187" s="5" t="s">
        <v>985</v>
      </c>
      <c r="V187" s="5" t="s">
        <v>985</v>
      </c>
      <c r="W187" s="5" t="s">
        <v>2564</v>
      </c>
      <c r="X187" s="5" t="s">
        <v>2564</v>
      </c>
      <c r="Y187" s="4">
        <v>528</v>
      </c>
      <c r="Z187" s="4">
        <v>456</v>
      </c>
      <c r="AA187" s="4">
        <v>734</v>
      </c>
      <c r="AB187" s="4">
        <v>2</v>
      </c>
      <c r="AC187" s="4">
        <v>6</v>
      </c>
      <c r="AD187" s="4">
        <v>6</v>
      </c>
      <c r="AE187" s="4">
        <v>7</v>
      </c>
      <c r="AF187" s="4">
        <v>2</v>
      </c>
      <c r="AG187" s="4">
        <v>2</v>
      </c>
      <c r="AH187" s="4">
        <v>1</v>
      </c>
      <c r="AI187" s="4">
        <v>1</v>
      </c>
      <c r="AJ187" s="4">
        <v>4</v>
      </c>
      <c r="AK187" s="4">
        <v>4</v>
      </c>
      <c r="AL187" s="4">
        <v>0</v>
      </c>
      <c r="AM187" s="4">
        <v>1</v>
      </c>
      <c r="AN187" s="4">
        <v>0</v>
      </c>
      <c r="AO187" s="4">
        <v>0</v>
      </c>
      <c r="AP187" s="3" t="s">
        <v>58</v>
      </c>
      <c r="AQ187" s="3" t="s">
        <v>58</v>
      </c>
      <c r="AS187" s="6" t="str">
        <f>HYPERLINK("https://creighton-primo.hosted.exlibrisgroup.com/primo-explore/search?tab=default_tab&amp;search_scope=EVERYTHING&amp;vid=01CRU&amp;lang=en_US&amp;offset=0&amp;query=any,contains,991002616279702656","Catalog Record")</f>
        <v>Catalog Record</v>
      </c>
      <c r="AT187" s="6" t="str">
        <f>HYPERLINK("http://www.worldcat.org/oclc/34284683","WorldCat Record")</f>
        <v>WorldCat Record</v>
      </c>
      <c r="AU187" s="3" t="s">
        <v>2565</v>
      </c>
      <c r="AV187" s="3" t="s">
        <v>2566</v>
      </c>
      <c r="AW187" s="3" t="s">
        <v>2567</v>
      </c>
      <c r="AX187" s="3" t="s">
        <v>2567</v>
      </c>
      <c r="AY187" s="3" t="s">
        <v>2568</v>
      </c>
      <c r="AZ187" s="3" t="s">
        <v>74</v>
      </c>
      <c r="BB187" s="3" t="s">
        <v>2569</v>
      </c>
      <c r="BC187" s="3" t="s">
        <v>2570</v>
      </c>
      <c r="BD187" s="3" t="s">
        <v>2571</v>
      </c>
    </row>
    <row r="188" spans="1:56" ht="34.5" customHeight="1" x14ac:dyDescent="0.25">
      <c r="A188" s="7" t="s">
        <v>58</v>
      </c>
      <c r="B188" s="2" t="s">
        <v>2572</v>
      </c>
      <c r="C188" s="2" t="s">
        <v>2573</v>
      </c>
      <c r="D188" s="2" t="s">
        <v>2574</v>
      </c>
      <c r="F188" s="3" t="s">
        <v>58</v>
      </c>
      <c r="G188" s="3" t="s">
        <v>59</v>
      </c>
      <c r="H188" s="3" t="s">
        <v>58</v>
      </c>
      <c r="I188" s="3" t="s">
        <v>58</v>
      </c>
      <c r="J188" s="3" t="s">
        <v>60</v>
      </c>
      <c r="K188" s="2" t="s">
        <v>2575</v>
      </c>
      <c r="L188" s="2" t="s">
        <v>2576</v>
      </c>
      <c r="M188" s="3" t="s">
        <v>237</v>
      </c>
      <c r="O188" s="3" t="s">
        <v>64</v>
      </c>
      <c r="P188" s="3" t="s">
        <v>131</v>
      </c>
      <c r="R188" s="3" t="s">
        <v>66</v>
      </c>
      <c r="S188" s="4">
        <v>2</v>
      </c>
      <c r="T188" s="4">
        <v>2</v>
      </c>
      <c r="U188" s="5" t="s">
        <v>2577</v>
      </c>
      <c r="V188" s="5" t="s">
        <v>2577</v>
      </c>
      <c r="W188" s="5" t="s">
        <v>754</v>
      </c>
      <c r="X188" s="5" t="s">
        <v>754</v>
      </c>
      <c r="Y188" s="4">
        <v>543</v>
      </c>
      <c r="Z188" s="4">
        <v>411</v>
      </c>
      <c r="AA188" s="4">
        <v>418</v>
      </c>
      <c r="AB188" s="4">
        <v>5</v>
      </c>
      <c r="AC188" s="4">
        <v>5</v>
      </c>
      <c r="AD188" s="4">
        <v>17</v>
      </c>
      <c r="AE188" s="4">
        <v>17</v>
      </c>
      <c r="AF188" s="4">
        <v>5</v>
      </c>
      <c r="AG188" s="4">
        <v>5</v>
      </c>
      <c r="AH188" s="4">
        <v>5</v>
      </c>
      <c r="AI188" s="4">
        <v>5</v>
      </c>
      <c r="AJ188" s="4">
        <v>6</v>
      </c>
      <c r="AK188" s="4">
        <v>6</v>
      </c>
      <c r="AL188" s="4">
        <v>4</v>
      </c>
      <c r="AM188" s="4">
        <v>4</v>
      </c>
      <c r="AN188" s="4">
        <v>0</v>
      </c>
      <c r="AO188" s="4">
        <v>0</v>
      </c>
      <c r="AP188" s="3" t="s">
        <v>58</v>
      </c>
      <c r="AQ188" s="3" t="s">
        <v>69</v>
      </c>
      <c r="AR188" s="6" t="str">
        <f>HYPERLINK("http://catalog.hathitrust.org/Record/000772373","HathiTrust Record")</f>
        <v>HathiTrust Record</v>
      </c>
      <c r="AS188" s="6" t="str">
        <f>HYPERLINK("https://creighton-primo.hosted.exlibrisgroup.com/primo-explore/search?tab=default_tab&amp;search_scope=EVERYTHING&amp;vid=01CRU&amp;lang=en_US&amp;offset=0&amp;query=any,contains,991005238799702656","Catalog Record")</f>
        <v>Catalog Record</v>
      </c>
      <c r="AT188" s="6" t="str">
        <f>HYPERLINK("http://www.worldcat.org/oclc/8399540","WorldCat Record")</f>
        <v>WorldCat Record</v>
      </c>
      <c r="AU188" s="3" t="s">
        <v>2578</v>
      </c>
      <c r="AV188" s="3" t="s">
        <v>2579</v>
      </c>
      <c r="AW188" s="3" t="s">
        <v>2580</v>
      </c>
      <c r="AX188" s="3" t="s">
        <v>2580</v>
      </c>
      <c r="AY188" s="3" t="s">
        <v>2581</v>
      </c>
      <c r="AZ188" s="3" t="s">
        <v>74</v>
      </c>
      <c r="BB188" s="3" t="s">
        <v>2582</v>
      </c>
      <c r="BC188" s="3" t="s">
        <v>2583</v>
      </c>
      <c r="BD188" s="3" t="s">
        <v>2584</v>
      </c>
    </row>
    <row r="189" spans="1:56" ht="34.5" customHeight="1" x14ac:dyDescent="0.25">
      <c r="A189" s="7" t="s">
        <v>58</v>
      </c>
      <c r="B189" s="2" t="s">
        <v>2585</v>
      </c>
      <c r="C189" s="2" t="s">
        <v>2586</v>
      </c>
      <c r="D189" s="2" t="s">
        <v>2587</v>
      </c>
      <c r="E189" s="3" t="s">
        <v>190</v>
      </c>
      <c r="F189" s="3" t="s">
        <v>69</v>
      </c>
      <c r="G189" s="3" t="s">
        <v>59</v>
      </c>
      <c r="H189" s="3" t="s">
        <v>58</v>
      </c>
      <c r="I189" s="3" t="s">
        <v>58</v>
      </c>
      <c r="J189" s="3" t="s">
        <v>60</v>
      </c>
      <c r="K189" s="2" t="s">
        <v>2151</v>
      </c>
      <c r="L189" s="2" t="s">
        <v>2588</v>
      </c>
      <c r="M189" s="3" t="s">
        <v>224</v>
      </c>
      <c r="O189" s="3" t="s">
        <v>64</v>
      </c>
      <c r="P189" s="3" t="s">
        <v>65</v>
      </c>
      <c r="R189" s="3" t="s">
        <v>66</v>
      </c>
      <c r="S189" s="4">
        <v>8</v>
      </c>
      <c r="T189" s="4">
        <v>10</v>
      </c>
      <c r="U189" s="5" t="s">
        <v>2589</v>
      </c>
      <c r="V189" s="5" t="s">
        <v>2590</v>
      </c>
      <c r="W189" s="5" t="s">
        <v>2591</v>
      </c>
      <c r="X189" s="5" t="s">
        <v>2591</v>
      </c>
      <c r="Y189" s="4">
        <v>33</v>
      </c>
      <c r="Z189" s="4">
        <v>25</v>
      </c>
      <c r="AA189" s="4">
        <v>568</v>
      </c>
      <c r="AB189" s="4">
        <v>1</v>
      </c>
      <c r="AC189" s="4">
        <v>2</v>
      </c>
      <c r="AD189" s="4">
        <v>0</v>
      </c>
      <c r="AE189" s="4">
        <v>15</v>
      </c>
      <c r="AF189" s="4">
        <v>0</v>
      </c>
      <c r="AG189" s="4">
        <v>5</v>
      </c>
      <c r="AH189" s="4">
        <v>0</v>
      </c>
      <c r="AI189" s="4">
        <v>5</v>
      </c>
      <c r="AJ189" s="4">
        <v>0</v>
      </c>
      <c r="AK189" s="4">
        <v>7</v>
      </c>
      <c r="AL189" s="4">
        <v>0</v>
      </c>
      <c r="AM189" s="4">
        <v>1</v>
      </c>
      <c r="AN189" s="4">
        <v>0</v>
      </c>
      <c r="AO189" s="4">
        <v>0</v>
      </c>
      <c r="AP189" s="3" t="s">
        <v>58</v>
      </c>
      <c r="AQ189" s="3" t="s">
        <v>58</v>
      </c>
      <c r="AS189" s="6" t="str">
        <f>HYPERLINK("https://creighton-primo.hosted.exlibrisgroup.com/primo-explore/search?tab=default_tab&amp;search_scope=EVERYTHING&amp;vid=01CRU&amp;lang=en_US&amp;offset=0&amp;query=any,contains,991000389629702656","Catalog Record")</f>
        <v>Catalog Record</v>
      </c>
      <c r="AT189" s="6" t="str">
        <f>HYPERLINK("http://www.worldcat.org/oclc/10535516","WorldCat Record")</f>
        <v>WorldCat Record</v>
      </c>
      <c r="AU189" s="3" t="s">
        <v>2592</v>
      </c>
      <c r="AV189" s="3" t="s">
        <v>2593</v>
      </c>
      <c r="AW189" s="3" t="s">
        <v>2594</v>
      </c>
      <c r="AX189" s="3" t="s">
        <v>2594</v>
      </c>
      <c r="AY189" s="3" t="s">
        <v>2595</v>
      </c>
      <c r="AZ189" s="3" t="s">
        <v>74</v>
      </c>
      <c r="BB189" s="3" t="s">
        <v>2596</v>
      </c>
      <c r="BC189" s="3" t="s">
        <v>2597</v>
      </c>
      <c r="BD189" s="3" t="s">
        <v>2598</v>
      </c>
    </row>
    <row r="190" spans="1:56" ht="34.5" customHeight="1" x14ac:dyDescent="0.25">
      <c r="A190" s="7" t="s">
        <v>58</v>
      </c>
      <c r="B190" s="2" t="s">
        <v>2585</v>
      </c>
      <c r="C190" s="2" t="s">
        <v>2586</v>
      </c>
      <c r="D190" s="2" t="s">
        <v>2587</v>
      </c>
      <c r="E190" s="3" t="s">
        <v>202</v>
      </c>
      <c r="F190" s="3" t="s">
        <v>69</v>
      </c>
      <c r="G190" s="3" t="s">
        <v>59</v>
      </c>
      <c r="H190" s="3" t="s">
        <v>58</v>
      </c>
      <c r="I190" s="3" t="s">
        <v>58</v>
      </c>
      <c r="J190" s="3" t="s">
        <v>60</v>
      </c>
      <c r="K190" s="2" t="s">
        <v>2151</v>
      </c>
      <c r="L190" s="2" t="s">
        <v>2588</v>
      </c>
      <c r="M190" s="3" t="s">
        <v>224</v>
      </c>
      <c r="O190" s="3" t="s">
        <v>64</v>
      </c>
      <c r="P190" s="3" t="s">
        <v>65</v>
      </c>
      <c r="R190" s="3" t="s">
        <v>66</v>
      </c>
      <c r="S190" s="4">
        <v>2</v>
      </c>
      <c r="T190" s="4">
        <v>10</v>
      </c>
      <c r="U190" s="5" t="s">
        <v>2590</v>
      </c>
      <c r="V190" s="5" t="s">
        <v>2590</v>
      </c>
      <c r="W190" s="5" t="s">
        <v>2599</v>
      </c>
      <c r="X190" s="5" t="s">
        <v>2591</v>
      </c>
      <c r="Y190" s="4">
        <v>33</v>
      </c>
      <c r="Z190" s="4">
        <v>25</v>
      </c>
      <c r="AA190" s="4">
        <v>568</v>
      </c>
      <c r="AB190" s="4">
        <v>1</v>
      </c>
      <c r="AC190" s="4">
        <v>2</v>
      </c>
      <c r="AD190" s="4">
        <v>0</v>
      </c>
      <c r="AE190" s="4">
        <v>15</v>
      </c>
      <c r="AF190" s="4">
        <v>0</v>
      </c>
      <c r="AG190" s="4">
        <v>5</v>
      </c>
      <c r="AH190" s="4">
        <v>0</v>
      </c>
      <c r="AI190" s="4">
        <v>5</v>
      </c>
      <c r="AJ190" s="4">
        <v>0</v>
      </c>
      <c r="AK190" s="4">
        <v>7</v>
      </c>
      <c r="AL190" s="4">
        <v>0</v>
      </c>
      <c r="AM190" s="4">
        <v>1</v>
      </c>
      <c r="AN190" s="4">
        <v>0</v>
      </c>
      <c r="AO190" s="4">
        <v>0</v>
      </c>
      <c r="AP190" s="3" t="s">
        <v>58</v>
      </c>
      <c r="AQ190" s="3" t="s">
        <v>58</v>
      </c>
      <c r="AS190" s="6" t="str">
        <f>HYPERLINK("https://creighton-primo.hosted.exlibrisgroup.com/primo-explore/search?tab=default_tab&amp;search_scope=EVERYTHING&amp;vid=01CRU&amp;lang=en_US&amp;offset=0&amp;query=any,contains,991000389629702656","Catalog Record")</f>
        <v>Catalog Record</v>
      </c>
      <c r="AT190" s="6" t="str">
        <f>HYPERLINK("http://www.worldcat.org/oclc/10535516","WorldCat Record")</f>
        <v>WorldCat Record</v>
      </c>
      <c r="AU190" s="3" t="s">
        <v>2592</v>
      </c>
      <c r="AV190" s="3" t="s">
        <v>2593</v>
      </c>
      <c r="AW190" s="3" t="s">
        <v>2594</v>
      </c>
      <c r="AX190" s="3" t="s">
        <v>2594</v>
      </c>
      <c r="AY190" s="3" t="s">
        <v>2595</v>
      </c>
      <c r="AZ190" s="3" t="s">
        <v>74</v>
      </c>
      <c r="BB190" s="3" t="s">
        <v>2596</v>
      </c>
      <c r="BC190" s="3" t="s">
        <v>2600</v>
      </c>
      <c r="BD190" s="3" t="s">
        <v>2601</v>
      </c>
    </row>
    <row r="191" spans="1:56" ht="34.5" customHeight="1" x14ac:dyDescent="0.25">
      <c r="A191" s="7" t="s">
        <v>58</v>
      </c>
      <c r="B191" s="2" t="s">
        <v>2602</v>
      </c>
      <c r="C191" s="2" t="s">
        <v>2603</v>
      </c>
      <c r="D191" s="2" t="s">
        <v>2604</v>
      </c>
      <c r="F191" s="3" t="s">
        <v>58</v>
      </c>
      <c r="G191" s="3" t="s">
        <v>59</v>
      </c>
      <c r="H191" s="3" t="s">
        <v>58</v>
      </c>
      <c r="I191" s="3" t="s">
        <v>58</v>
      </c>
      <c r="J191" s="3" t="s">
        <v>60</v>
      </c>
      <c r="K191" s="2" t="s">
        <v>2605</v>
      </c>
      <c r="L191" s="2" t="s">
        <v>2606</v>
      </c>
      <c r="M191" s="3" t="s">
        <v>63</v>
      </c>
      <c r="O191" s="3" t="s">
        <v>64</v>
      </c>
      <c r="P191" s="3" t="s">
        <v>65</v>
      </c>
      <c r="Q191" s="2" t="s">
        <v>564</v>
      </c>
      <c r="R191" s="3" t="s">
        <v>66</v>
      </c>
      <c r="S191" s="4">
        <v>1</v>
      </c>
      <c r="T191" s="4">
        <v>1</v>
      </c>
      <c r="U191" s="5" t="s">
        <v>2607</v>
      </c>
      <c r="V191" s="5" t="s">
        <v>2607</v>
      </c>
      <c r="W191" s="5" t="s">
        <v>849</v>
      </c>
      <c r="X191" s="5" t="s">
        <v>849</v>
      </c>
      <c r="Y191" s="4">
        <v>349</v>
      </c>
      <c r="Z191" s="4">
        <v>335</v>
      </c>
      <c r="AA191" s="4">
        <v>355</v>
      </c>
      <c r="AB191" s="4">
        <v>3</v>
      </c>
      <c r="AC191" s="4">
        <v>3</v>
      </c>
      <c r="AD191" s="4">
        <v>10</v>
      </c>
      <c r="AE191" s="4">
        <v>11</v>
      </c>
      <c r="AF191" s="4">
        <v>2</v>
      </c>
      <c r="AG191" s="4">
        <v>2</v>
      </c>
      <c r="AH191" s="4">
        <v>2</v>
      </c>
      <c r="AI191" s="4">
        <v>3</v>
      </c>
      <c r="AJ191" s="4">
        <v>4</v>
      </c>
      <c r="AK191" s="4">
        <v>5</v>
      </c>
      <c r="AL191" s="4">
        <v>2</v>
      </c>
      <c r="AM191" s="4">
        <v>2</v>
      </c>
      <c r="AN191" s="4">
        <v>0</v>
      </c>
      <c r="AO191" s="4">
        <v>0</v>
      </c>
      <c r="AP191" s="3" t="s">
        <v>58</v>
      </c>
      <c r="AQ191" s="3" t="s">
        <v>69</v>
      </c>
      <c r="AR191" s="6" t="str">
        <f>HYPERLINK("http://catalog.hathitrust.org/Record/000410898","HathiTrust Record")</f>
        <v>HathiTrust Record</v>
      </c>
      <c r="AS191" s="6" t="str">
        <f>HYPERLINK("https://creighton-primo.hosted.exlibrisgroup.com/primo-explore/search?tab=default_tab&amp;search_scope=EVERYTHING&amp;vid=01CRU&amp;lang=en_US&amp;offset=0&amp;query=any,contains,991000667119702656","Catalog Record")</f>
        <v>Catalog Record</v>
      </c>
      <c r="AT191" s="6" t="str">
        <f>HYPERLINK("http://www.worldcat.org/oclc/118663","WorldCat Record")</f>
        <v>WorldCat Record</v>
      </c>
      <c r="AU191" s="3" t="s">
        <v>2608</v>
      </c>
      <c r="AV191" s="3" t="s">
        <v>2609</v>
      </c>
      <c r="AW191" s="3" t="s">
        <v>2610</v>
      </c>
      <c r="AX191" s="3" t="s">
        <v>2610</v>
      </c>
      <c r="AY191" s="3" t="s">
        <v>2611</v>
      </c>
      <c r="AZ191" s="3" t="s">
        <v>74</v>
      </c>
      <c r="BB191" s="3" t="s">
        <v>2612</v>
      </c>
      <c r="BC191" s="3" t="s">
        <v>2613</v>
      </c>
      <c r="BD191" s="3" t="s">
        <v>2614</v>
      </c>
    </row>
    <row r="192" spans="1:56" ht="34.5" customHeight="1" x14ac:dyDescent="0.25">
      <c r="A192" s="7" t="s">
        <v>58</v>
      </c>
      <c r="B192" s="2" t="s">
        <v>2615</v>
      </c>
      <c r="C192" s="2" t="s">
        <v>2616</v>
      </c>
      <c r="D192" s="2" t="s">
        <v>2617</v>
      </c>
      <c r="F192" s="3" t="s">
        <v>58</v>
      </c>
      <c r="G192" s="3" t="s">
        <v>59</v>
      </c>
      <c r="H192" s="3" t="s">
        <v>58</v>
      </c>
      <c r="I192" s="3" t="s">
        <v>58</v>
      </c>
      <c r="J192" s="3" t="s">
        <v>60</v>
      </c>
      <c r="K192" s="2" t="s">
        <v>2618</v>
      </c>
      <c r="L192" s="2" t="s">
        <v>2619</v>
      </c>
      <c r="M192" s="3" t="s">
        <v>579</v>
      </c>
      <c r="O192" s="3" t="s">
        <v>64</v>
      </c>
      <c r="P192" s="3" t="s">
        <v>65</v>
      </c>
      <c r="R192" s="3" t="s">
        <v>66</v>
      </c>
      <c r="S192" s="4">
        <v>4</v>
      </c>
      <c r="T192" s="4">
        <v>4</v>
      </c>
      <c r="U192" s="5" t="s">
        <v>2229</v>
      </c>
      <c r="V192" s="5" t="s">
        <v>2229</v>
      </c>
      <c r="W192" s="5" t="s">
        <v>2620</v>
      </c>
      <c r="X192" s="5" t="s">
        <v>2620</v>
      </c>
      <c r="Y192" s="4">
        <v>502</v>
      </c>
      <c r="Z192" s="4">
        <v>450</v>
      </c>
      <c r="AA192" s="4">
        <v>611</v>
      </c>
      <c r="AB192" s="4">
        <v>5</v>
      </c>
      <c r="AC192" s="4">
        <v>5</v>
      </c>
      <c r="AD192" s="4">
        <v>26</v>
      </c>
      <c r="AE192" s="4">
        <v>29</v>
      </c>
      <c r="AF192" s="4">
        <v>9</v>
      </c>
      <c r="AG192" s="4">
        <v>11</v>
      </c>
      <c r="AH192" s="4">
        <v>4</v>
      </c>
      <c r="AI192" s="4">
        <v>5</v>
      </c>
      <c r="AJ192" s="4">
        <v>13</v>
      </c>
      <c r="AK192" s="4">
        <v>16</v>
      </c>
      <c r="AL192" s="4">
        <v>4</v>
      </c>
      <c r="AM192" s="4">
        <v>4</v>
      </c>
      <c r="AN192" s="4">
        <v>0</v>
      </c>
      <c r="AO192" s="4">
        <v>0</v>
      </c>
      <c r="AP192" s="3" t="s">
        <v>58</v>
      </c>
      <c r="AQ192" s="3" t="s">
        <v>69</v>
      </c>
      <c r="AR192" s="6" t="str">
        <f>HYPERLINK("http://catalog.hathitrust.org/Record/007473597","HathiTrust Record")</f>
        <v>HathiTrust Record</v>
      </c>
      <c r="AS192" s="6" t="str">
        <f>HYPERLINK("https://creighton-primo.hosted.exlibrisgroup.com/primo-explore/search?tab=default_tab&amp;search_scope=EVERYTHING&amp;vid=01CRU&amp;lang=en_US&amp;offset=0&amp;query=any,contains,991002391709702656","Catalog Record")</f>
        <v>Catalog Record</v>
      </c>
      <c r="AT192" s="6" t="str">
        <f>HYPERLINK("http://www.worldcat.org/oclc/332781","WorldCat Record")</f>
        <v>WorldCat Record</v>
      </c>
      <c r="AU192" s="3" t="s">
        <v>2621</v>
      </c>
      <c r="AV192" s="3" t="s">
        <v>2622</v>
      </c>
      <c r="AW192" s="3" t="s">
        <v>2623</v>
      </c>
      <c r="AX192" s="3" t="s">
        <v>2623</v>
      </c>
      <c r="AY192" s="3" t="s">
        <v>2624</v>
      </c>
      <c r="AZ192" s="3" t="s">
        <v>74</v>
      </c>
      <c r="BC192" s="3" t="s">
        <v>2625</v>
      </c>
      <c r="BD192" s="3" t="s">
        <v>2626</v>
      </c>
    </row>
    <row r="193" spans="1:56" ht="34.5" customHeight="1" x14ac:dyDescent="0.25">
      <c r="A193" s="7" t="s">
        <v>58</v>
      </c>
      <c r="B193" s="2" t="s">
        <v>2627</v>
      </c>
      <c r="C193" s="2" t="s">
        <v>2628</v>
      </c>
      <c r="D193" s="2" t="s">
        <v>2629</v>
      </c>
      <c r="F193" s="3" t="s">
        <v>58</v>
      </c>
      <c r="G193" s="3" t="s">
        <v>59</v>
      </c>
      <c r="H193" s="3" t="s">
        <v>58</v>
      </c>
      <c r="I193" s="3" t="s">
        <v>58</v>
      </c>
      <c r="J193" s="3" t="s">
        <v>60</v>
      </c>
      <c r="K193" s="2" t="s">
        <v>2630</v>
      </c>
      <c r="L193" s="2" t="s">
        <v>2631</v>
      </c>
      <c r="M193" s="3" t="s">
        <v>63</v>
      </c>
      <c r="O193" s="3" t="s">
        <v>64</v>
      </c>
      <c r="P193" s="3" t="s">
        <v>65</v>
      </c>
      <c r="Q193" s="2" t="s">
        <v>2632</v>
      </c>
      <c r="R193" s="3" t="s">
        <v>66</v>
      </c>
      <c r="S193" s="4">
        <v>6</v>
      </c>
      <c r="T193" s="4">
        <v>6</v>
      </c>
      <c r="U193" s="5" t="s">
        <v>2633</v>
      </c>
      <c r="V193" s="5" t="s">
        <v>2633</v>
      </c>
      <c r="W193" s="5" t="s">
        <v>2634</v>
      </c>
      <c r="X193" s="5" t="s">
        <v>2634</v>
      </c>
      <c r="Y193" s="4">
        <v>784</v>
      </c>
      <c r="Z193" s="4">
        <v>617</v>
      </c>
      <c r="AA193" s="4">
        <v>622</v>
      </c>
      <c r="AB193" s="4">
        <v>2</v>
      </c>
      <c r="AC193" s="4">
        <v>2</v>
      </c>
      <c r="AD193" s="4">
        <v>24</v>
      </c>
      <c r="AE193" s="4">
        <v>24</v>
      </c>
      <c r="AF193" s="4">
        <v>10</v>
      </c>
      <c r="AG193" s="4">
        <v>10</v>
      </c>
      <c r="AH193" s="4">
        <v>7</v>
      </c>
      <c r="AI193" s="4">
        <v>7</v>
      </c>
      <c r="AJ193" s="4">
        <v>13</v>
      </c>
      <c r="AK193" s="4">
        <v>13</v>
      </c>
      <c r="AL193" s="4">
        <v>1</v>
      </c>
      <c r="AM193" s="4">
        <v>1</v>
      </c>
      <c r="AN193" s="4">
        <v>0</v>
      </c>
      <c r="AO193" s="4">
        <v>0</v>
      </c>
      <c r="AP193" s="3" t="s">
        <v>58</v>
      </c>
      <c r="AQ193" s="3" t="s">
        <v>58</v>
      </c>
      <c r="AS193" s="6" t="str">
        <f>HYPERLINK("https://creighton-primo.hosted.exlibrisgroup.com/primo-explore/search?tab=default_tab&amp;search_scope=EVERYTHING&amp;vid=01CRU&amp;lang=en_US&amp;offset=0&amp;query=any,contains,991000159589702656","Catalog Record")</f>
        <v>Catalog Record</v>
      </c>
      <c r="AT193" s="6" t="str">
        <f>HYPERLINK("http://www.worldcat.org/oclc/61198","WorldCat Record")</f>
        <v>WorldCat Record</v>
      </c>
      <c r="AU193" s="3" t="s">
        <v>2635</v>
      </c>
      <c r="AV193" s="3" t="s">
        <v>2636</v>
      </c>
      <c r="AW193" s="3" t="s">
        <v>2637</v>
      </c>
      <c r="AX193" s="3" t="s">
        <v>2637</v>
      </c>
      <c r="AY193" s="3" t="s">
        <v>2638</v>
      </c>
      <c r="AZ193" s="3" t="s">
        <v>74</v>
      </c>
      <c r="BB193" s="3" t="s">
        <v>2639</v>
      </c>
      <c r="BC193" s="3" t="s">
        <v>2640</v>
      </c>
      <c r="BD193" s="3" t="s">
        <v>2641</v>
      </c>
    </row>
    <row r="194" spans="1:56" ht="34.5" customHeight="1" x14ac:dyDescent="0.25">
      <c r="A194" s="7" t="s">
        <v>58</v>
      </c>
      <c r="B194" s="2" t="s">
        <v>2642</v>
      </c>
      <c r="C194" s="2" t="s">
        <v>2643</v>
      </c>
      <c r="D194" s="2" t="s">
        <v>2644</v>
      </c>
      <c r="F194" s="3" t="s">
        <v>58</v>
      </c>
      <c r="G194" s="3" t="s">
        <v>59</v>
      </c>
      <c r="H194" s="3" t="s">
        <v>58</v>
      </c>
      <c r="I194" s="3" t="s">
        <v>58</v>
      </c>
      <c r="J194" s="3" t="s">
        <v>60</v>
      </c>
      <c r="K194" s="2" t="s">
        <v>2645</v>
      </c>
      <c r="L194" s="2" t="s">
        <v>2646</v>
      </c>
      <c r="M194" s="3" t="s">
        <v>115</v>
      </c>
      <c r="O194" s="3" t="s">
        <v>64</v>
      </c>
      <c r="P194" s="3" t="s">
        <v>65</v>
      </c>
      <c r="R194" s="3" t="s">
        <v>66</v>
      </c>
      <c r="S194" s="4">
        <v>2</v>
      </c>
      <c r="T194" s="4">
        <v>2</v>
      </c>
      <c r="U194" s="5" t="s">
        <v>2647</v>
      </c>
      <c r="V194" s="5" t="s">
        <v>2647</v>
      </c>
      <c r="W194" s="5" t="s">
        <v>754</v>
      </c>
      <c r="X194" s="5" t="s">
        <v>754</v>
      </c>
      <c r="Y194" s="4">
        <v>574</v>
      </c>
      <c r="Z194" s="4">
        <v>449</v>
      </c>
      <c r="AA194" s="4">
        <v>452</v>
      </c>
      <c r="AB194" s="4">
        <v>3</v>
      </c>
      <c r="AC194" s="4">
        <v>3</v>
      </c>
      <c r="AD194" s="4">
        <v>13</v>
      </c>
      <c r="AE194" s="4">
        <v>13</v>
      </c>
      <c r="AF194" s="4">
        <v>3</v>
      </c>
      <c r="AG194" s="4">
        <v>3</v>
      </c>
      <c r="AH194" s="4">
        <v>3</v>
      </c>
      <c r="AI194" s="4">
        <v>3</v>
      </c>
      <c r="AJ194" s="4">
        <v>8</v>
      </c>
      <c r="AK194" s="4">
        <v>8</v>
      </c>
      <c r="AL194" s="4">
        <v>1</v>
      </c>
      <c r="AM194" s="4">
        <v>1</v>
      </c>
      <c r="AN194" s="4">
        <v>0</v>
      </c>
      <c r="AO194" s="4">
        <v>0</v>
      </c>
      <c r="AP194" s="3" t="s">
        <v>58</v>
      </c>
      <c r="AQ194" s="3" t="s">
        <v>58</v>
      </c>
      <c r="AS194" s="6" t="str">
        <f>HYPERLINK("https://creighton-primo.hosted.exlibrisgroup.com/primo-explore/search?tab=default_tab&amp;search_scope=EVERYTHING&amp;vid=01CRU&amp;lang=en_US&amp;offset=0&amp;query=any,contains,991000059349702656","Catalog Record")</f>
        <v>Catalog Record</v>
      </c>
      <c r="AT194" s="6" t="str">
        <f>HYPERLINK("http://www.worldcat.org/oclc/8727526","WorldCat Record")</f>
        <v>WorldCat Record</v>
      </c>
      <c r="AU194" s="3" t="s">
        <v>2648</v>
      </c>
      <c r="AV194" s="3" t="s">
        <v>2649</v>
      </c>
      <c r="AW194" s="3" t="s">
        <v>2650</v>
      </c>
      <c r="AX194" s="3" t="s">
        <v>2650</v>
      </c>
      <c r="AY194" s="3" t="s">
        <v>2651</v>
      </c>
      <c r="AZ194" s="3" t="s">
        <v>74</v>
      </c>
      <c r="BB194" s="3" t="s">
        <v>2652</v>
      </c>
      <c r="BC194" s="3" t="s">
        <v>2653</v>
      </c>
      <c r="BD194" s="3" t="s">
        <v>2654</v>
      </c>
    </row>
    <row r="195" spans="1:56" ht="34.5" customHeight="1" x14ac:dyDescent="0.25">
      <c r="A195" s="7" t="s">
        <v>58</v>
      </c>
      <c r="B195" s="2" t="s">
        <v>2655</v>
      </c>
      <c r="C195" s="2" t="s">
        <v>2656</v>
      </c>
      <c r="D195" s="2" t="s">
        <v>2657</v>
      </c>
      <c r="F195" s="3" t="s">
        <v>58</v>
      </c>
      <c r="G195" s="3" t="s">
        <v>59</v>
      </c>
      <c r="H195" s="3" t="s">
        <v>58</v>
      </c>
      <c r="I195" s="3" t="s">
        <v>58</v>
      </c>
      <c r="J195" s="3" t="s">
        <v>60</v>
      </c>
      <c r="K195" s="2" t="s">
        <v>2658</v>
      </c>
      <c r="L195" s="2" t="s">
        <v>2659</v>
      </c>
      <c r="M195" s="3" t="s">
        <v>63</v>
      </c>
      <c r="O195" s="3" t="s">
        <v>64</v>
      </c>
      <c r="P195" s="3" t="s">
        <v>84</v>
      </c>
      <c r="R195" s="3" t="s">
        <v>66</v>
      </c>
      <c r="S195" s="4">
        <v>1</v>
      </c>
      <c r="T195" s="4">
        <v>1</v>
      </c>
      <c r="U195" s="5" t="s">
        <v>2660</v>
      </c>
      <c r="V195" s="5" t="s">
        <v>2660</v>
      </c>
      <c r="W195" s="5" t="s">
        <v>2661</v>
      </c>
      <c r="X195" s="5" t="s">
        <v>2661</v>
      </c>
      <c r="Y195" s="4">
        <v>351</v>
      </c>
      <c r="Z195" s="4">
        <v>192</v>
      </c>
      <c r="AA195" s="4">
        <v>222</v>
      </c>
      <c r="AB195" s="4">
        <v>2</v>
      </c>
      <c r="AC195" s="4">
        <v>2</v>
      </c>
      <c r="AD195" s="4">
        <v>5</v>
      </c>
      <c r="AE195" s="4">
        <v>6</v>
      </c>
      <c r="AF195" s="4">
        <v>0</v>
      </c>
      <c r="AG195" s="4">
        <v>1</v>
      </c>
      <c r="AH195" s="4">
        <v>2</v>
      </c>
      <c r="AI195" s="4">
        <v>2</v>
      </c>
      <c r="AJ195" s="4">
        <v>2</v>
      </c>
      <c r="AK195" s="4">
        <v>2</v>
      </c>
      <c r="AL195" s="4">
        <v>1</v>
      </c>
      <c r="AM195" s="4">
        <v>1</v>
      </c>
      <c r="AN195" s="4">
        <v>0</v>
      </c>
      <c r="AO195" s="4">
        <v>0</v>
      </c>
      <c r="AP195" s="3" t="s">
        <v>58</v>
      </c>
      <c r="AQ195" s="3" t="s">
        <v>69</v>
      </c>
      <c r="AR195" s="6" t="str">
        <f>HYPERLINK("http://catalog.hathitrust.org/Record/000001680","HathiTrust Record")</f>
        <v>HathiTrust Record</v>
      </c>
      <c r="AS195" s="6" t="str">
        <f>HYPERLINK("https://creighton-primo.hosted.exlibrisgroup.com/primo-explore/search?tab=default_tab&amp;search_scope=EVERYTHING&amp;vid=01CRU&amp;lang=en_US&amp;offset=0&amp;query=any,contains,991000672379702656","Catalog Record")</f>
        <v>Catalog Record</v>
      </c>
      <c r="AT195" s="6" t="str">
        <f>HYPERLINK("http://www.worldcat.org/oclc/119241","WorldCat Record")</f>
        <v>WorldCat Record</v>
      </c>
      <c r="AU195" s="3" t="s">
        <v>2662</v>
      </c>
      <c r="AV195" s="3" t="s">
        <v>2663</v>
      </c>
      <c r="AW195" s="3" t="s">
        <v>2664</v>
      </c>
      <c r="AX195" s="3" t="s">
        <v>2664</v>
      </c>
      <c r="AY195" s="3" t="s">
        <v>2665</v>
      </c>
      <c r="AZ195" s="3" t="s">
        <v>74</v>
      </c>
      <c r="BB195" s="3" t="s">
        <v>2666</v>
      </c>
      <c r="BC195" s="3" t="s">
        <v>2667</v>
      </c>
      <c r="BD195" s="3" t="s">
        <v>2668</v>
      </c>
    </row>
    <row r="196" spans="1:56" ht="34.5" customHeight="1" x14ac:dyDescent="0.25">
      <c r="A196" s="7" t="s">
        <v>58</v>
      </c>
      <c r="B196" s="2" t="s">
        <v>2669</v>
      </c>
      <c r="C196" s="2" t="s">
        <v>2670</v>
      </c>
      <c r="D196" s="2" t="s">
        <v>2671</v>
      </c>
      <c r="F196" s="3" t="s">
        <v>58</v>
      </c>
      <c r="G196" s="3" t="s">
        <v>59</v>
      </c>
      <c r="H196" s="3" t="s">
        <v>58</v>
      </c>
      <c r="I196" s="3" t="s">
        <v>58</v>
      </c>
      <c r="J196" s="3" t="s">
        <v>60</v>
      </c>
      <c r="K196" s="2" t="s">
        <v>2672</v>
      </c>
      <c r="L196" s="2" t="s">
        <v>2673</v>
      </c>
      <c r="M196" s="3" t="s">
        <v>819</v>
      </c>
      <c r="O196" s="3" t="s">
        <v>64</v>
      </c>
      <c r="P196" s="3" t="s">
        <v>65</v>
      </c>
      <c r="R196" s="3" t="s">
        <v>66</v>
      </c>
      <c r="S196" s="4">
        <v>5</v>
      </c>
      <c r="T196" s="4">
        <v>5</v>
      </c>
      <c r="U196" s="5" t="s">
        <v>2674</v>
      </c>
      <c r="V196" s="5" t="s">
        <v>2674</v>
      </c>
      <c r="W196" s="5" t="s">
        <v>1000</v>
      </c>
      <c r="X196" s="5" t="s">
        <v>1000</v>
      </c>
      <c r="Y196" s="4">
        <v>313</v>
      </c>
      <c r="Z196" s="4">
        <v>276</v>
      </c>
      <c r="AA196" s="4">
        <v>279</v>
      </c>
      <c r="AB196" s="4">
        <v>2</v>
      </c>
      <c r="AC196" s="4">
        <v>2</v>
      </c>
      <c r="AD196" s="4">
        <v>6</v>
      </c>
      <c r="AE196" s="4">
        <v>6</v>
      </c>
      <c r="AF196" s="4">
        <v>3</v>
      </c>
      <c r="AG196" s="4">
        <v>3</v>
      </c>
      <c r="AH196" s="4">
        <v>0</v>
      </c>
      <c r="AI196" s="4">
        <v>0</v>
      </c>
      <c r="AJ196" s="4">
        <v>3</v>
      </c>
      <c r="AK196" s="4">
        <v>3</v>
      </c>
      <c r="AL196" s="4">
        <v>1</v>
      </c>
      <c r="AM196" s="4">
        <v>1</v>
      </c>
      <c r="AN196" s="4">
        <v>0</v>
      </c>
      <c r="AO196" s="4">
        <v>0</v>
      </c>
      <c r="AP196" s="3" t="s">
        <v>58</v>
      </c>
      <c r="AQ196" s="3" t="s">
        <v>69</v>
      </c>
      <c r="AR196" s="6" t="str">
        <f>HYPERLINK("http://catalog.hathitrust.org/Record/000033835","HathiTrust Record")</f>
        <v>HathiTrust Record</v>
      </c>
      <c r="AS196" s="6" t="str">
        <f>HYPERLINK("https://creighton-primo.hosted.exlibrisgroup.com/primo-explore/search?tab=default_tab&amp;search_scope=EVERYTHING&amp;vid=01CRU&amp;lang=en_US&amp;offset=0&amp;query=any,contains,991003551559702656","Catalog Record")</f>
        <v>Catalog Record</v>
      </c>
      <c r="AT196" s="6" t="str">
        <f>HYPERLINK("http://www.worldcat.org/oclc/1119698","WorldCat Record")</f>
        <v>WorldCat Record</v>
      </c>
      <c r="AU196" s="3" t="s">
        <v>2675</v>
      </c>
      <c r="AV196" s="3" t="s">
        <v>2676</v>
      </c>
      <c r="AW196" s="3" t="s">
        <v>2677</v>
      </c>
      <c r="AX196" s="3" t="s">
        <v>2677</v>
      </c>
      <c r="AY196" s="3" t="s">
        <v>2678</v>
      </c>
      <c r="AZ196" s="3" t="s">
        <v>74</v>
      </c>
      <c r="BB196" s="3" t="s">
        <v>2679</v>
      </c>
      <c r="BC196" s="3" t="s">
        <v>2680</v>
      </c>
      <c r="BD196" s="3" t="s">
        <v>2681</v>
      </c>
    </row>
    <row r="197" spans="1:56" ht="34.5" customHeight="1" x14ac:dyDescent="0.25">
      <c r="A197" s="7" t="s">
        <v>58</v>
      </c>
      <c r="B197" s="2" t="s">
        <v>2682</v>
      </c>
      <c r="C197" s="2" t="s">
        <v>2683</v>
      </c>
      <c r="D197" s="2" t="s">
        <v>2684</v>
      </c>
      <c r="F197" s="3" t="s">
        <v>58</v>
      </c>
      <c r="G197" s="3" t="s">
        <v>59</v>
      </c>
      <c r="H197" s="3" t="s">
        <v>58</v>
      </c>
      <c r="I197" s="3" t="s">
        <v>58</v>
      </c>
      <c r="J197" s="3" t="s">
        <v>60</v>
      </c>
      <c r="K197" s="2" t="s">
        <v>2685</v>
      </c>
      <c r="L197" s="2" t="s">
        <v>2686</v>
      </c>
      <c r="M197" s="3" t="s">
        <v>819</v>
      </c>
      <c r="O197" s="3" t="s">
        <v>64</v>
      </c>
      <c r="P197" s="3" t="s">
        <v>252</v>
      </c>
      <c r="R197" s="3" t="s">
        <v>66</v>
      </c>
      <c r="S197" s="4">
        <v>2</v>
      </c>
      <c r="T197" s="4">
        <v>2</v>
      </c>
      <c r="U197" s="5" t="s">
        <v>2687</v>
      </c>
      <c r="V197" s="5" t="s">
        <v>2687</v>
      </c>
      <c r="W197" s="5" t="s">
        <v>102</v>
      </c>
      <c r="X197" s="5" t="s">
        <v>102</v>
      </c>
      <c r="Y197" s="4">
        <v>51</v>
      </c>
      <c r="Z197" s="4">
        <v>37</v>
      </c>
      <c r="AA197" s="4">
        <v>582</v>
      </c>
      <c r="AB197" s="4">
        <v>1</v>
      </c>
      <c r="AC197" s="4">
        <v>3</v>
      </c>
      <c r="AD197" s="4">
        <v>1</v>
      </c>
      <c r="AE197" s="4">
        <v>20</v>
      </c>
      <c r="AF197" s="4">
        <v>0</v>
      </c>
      <c r="AG197" s="4">
        <v>7</v>
      </c>
      <c r="AH197" s="4">
        <v>0</v>
      </c>
      <c r="AI197" s="4">
        <v>4</v>
      </c>
      <c r="AJ197" s="4">
        <v>1</v>
      </c>
      <c r="AK197" s="4">
        <v>11</v>
      </c>
      <c r="AL197" s="4">
        <v>0</v>
      </c>
      <c r="AM197" s="4">
        <v>2</v>
      </c>
      <c r="AN197" s="4">
        <v>0</v>
      </c>
      <c r="AO197" s="4">
        <v>0</v>
      </c>
      <c r="AP197" s="3" t="s">
        <v>58</v>
      </c>
      <c r="AQ197" s="3" t="s">
        <v>58</v>
      </c>
      <c r="AS197" s="6" t="str">
        <f>HYPERLINK("https://creighton-primo.hosted.exlibrisgroup.com/primo-explore/search?tab=default_tab&amp;search_scope=EVERYTHING&amp;vid=01CRU&amp;lang=en_US&amp;offset=0&amp;query=any,contains,991004768899702656","Catalog Record")</f>
        <v>Catalog Record</v>
      </c>
      <c r="AT197" s="6" t="str">
        <f>HYPERLINK("http://www.worldcat.org/oclc/5046861","WorldCat Record")</f>
        <v>WorldCat Record</v>
      </c>
      <c r="AU197" s="3" t="s">
        <v>2688</v>
      </c>
      <c r="AV197" s="3" t="s">
        <v>2689</v>
      </c>
      <c r="AW197" s="3" t="s">
        <v>2690</v>
      </c>
      <c r="AX197" s="3" t="s">
        <v>2690</v>
      </c>
      <c r="AY197" s="3" t="s">
        <v>2691</v>
      </c>
      <c r="AZ197" s="3" t="s">
        <v>74</v>
      </c>
      <c r="BB197" s="3" t="s">
        <v>2692</v>
      </c>
      <c r="BC197" s="3" t="s">
        <v>2693</v>
      </c>
      <c r="BD197" s="3" t="s">
        <v>2694</v>
      </c>
    </row>
    <row r="198" spans="1:56" ht="34.5" customHeight="1" x14ac:dyDescent="0.25">
      <c r="A198" s="7" t="s">
        <v>58</v>
      </c>
      <c r="B198" s="2" t="s">
        <v>2695</v>
      </c>
      <c r="C198" s="2" t="s">
        <v>2696</v>
      </c>
      <c r="D198" s="2" t="s">
        <v>2697</v>
      </c>
      <c r="F198" s="3" t="s">
        <v>58</v>
      </c>
      <c r="G198" s="3" t="s">
        <v>59</v>
      </c>
      <c r="H198" s="3" t="s">
        <v>58</v>
      </c>
      <c r="I198" s="3" t="s">
        <v>58</v>
      </c>
      <c r="J198" s="3" t="s">
        <v>60</v>
      </c>
      <c r="K198" s="2" t="s">
        <v>2698</v>
      </c>
      <c r="L198" s="2" t="s">
        <v>2699</v>
      </c>
      <c r="M198" s="3" t="s">
        <v>983</v>
      </c>
      <c r="O198" s="3" t="s">
        <v>64</v>
      </c>
      <c r="P198" s="3" t="s">
        <v>65</v>
      </c>
      <c r="R198" s="3" t="s">
        <v>66</v>
      </c>
      <c r="S198" s="4">
        <v>11</v>
      </c>
      <c r="T198" s="4">
        <v>11</v>
      </c>
      <c r="U198" s="5" t="s">
        <v>1067</v>
      </c>
      <c r="V198" s="5" t="s">
        <v>1067</v>
      </c>
      <c r="W198" s="5" t="s">
        <v>2591</v>
      </c>
      <c r="X198" s="5" t="s">
        <v>2591</v>
      </c>
      <c r="Y198" s="4">
        <v>628</v>
      </c>
      <c r="Z198" s="4">
        <v>549</v>
      </c>
      <c r="AA198" s="4">
        <v>580</v>
      </c>
      <c r="AB198" s="4">
        <v>2</v>
      </c>
      <c r="AC198" s="4">
        <v>2</v>
      </c>
      <c r="AD198" s="4">
        <v>16</v>
      </c>
      <c r="AE198" s="4">
        <v>16</v>
      </c>
      <c r="AF198" s="4">
        <v>10</v>
      </c>
      <c r="AG198" s="4">
        <v>10</v>
      </c>
      <c r="AH198" s="4">
        <v>3</v>
      </c>
      <c r="AI198" s="4">
        <v>3</v>
      </c>
      <c r="AJ198" s="4">
        <v>7</v>
      </c>
      <c r="AK198" s="4">
        <v>7</v>
      </c>
      <c r="AL198" s="4">
        <v>1</v>
      </c>
      <c r="AM198" s="4">
        <v>1</v>
      </c>
      <c r="AN198" s="4">
        <v>0</v>
      </c>
      <c r="AO198" s="4">
        <v>0</v>
      </c>
      <c r="AP198" s="3" t="s">
        <v>58</v>
      </c>
      <c r="AQ198" s="3" t="s">
        <v>69</v>
      </c>
      <c r="AR198" s="6" t="str">
        <f>HYPERLINK("http://catalog.hathitrust.org/Record/000693866","HathiTrust Record")</f>
        <v>HathiTrust Record</v>
      </c>
      <c r="AS198" s="6" t="str">
        <f>HYPERLINK("https://creighton-primo.hosted.exlibrisgroup.com/primo-explore/search?tab=default_tab&amp;search_scope=EVERYTHING&amp;vid=01CRU&amp;lang=en_US&amp;offset=0&amp;query=any,contains,991004889499702656","Catalog Record")</f>
        <v>Catalog Record</v>
      </c>
      <c r="AT198" s="6" t="str">
        <f>HYPERLINK("http://www.worldcat.org/oclc/5858090","WorldCat Record")</f>
        <v>WorldCat Record</v>
      </c>
      <c r="AU198" s="3" t="s">
        <v>2700</v>
      </c>
      <c r="AV198" s="3" t="s">
        <v>2701</v>
      </c>
      <c r="AW198" s="3" t="s">
        <v>2702</v>
      </c>
      <c r="AX198" s="3" t="s">
        <v>2702</v>
      </c>
      <c r="AY198" s="3" t="s">
        <v>2703</v>
      </c>
      <c r="AZ198" s="3" t="s">
        <v>74</v>
      </c>
      <c r="BB198" s="3" t="s">
        <v>2704</v>
      </c>
      <c r="BC198" s="3" t="s">
        <v>2705</v>
      </c>
      <c r="BD198" s="3" t="s">
        <v>2706</v>
      </c>
    </row>
    <row r="199" spans="1:56" ht="34.5" customHeight="1" x14ac:dyDescent="0.25">
      <c r="A199" s="7" t="s">
        <v>58</v>
      </c>
      <c r="B199" s="2" t="s">
        <v>2707</v>
      </c>
      <c r="C199" s="2" t="s">
        <v>2708</v>
      </c>
      <c r="D199" s="2" t="s">
        <v>2709</v>
      </c>
      <c r="E199" s="3" t="s">
        <v>2166</v>
      </c>
      <c r="F199" s="3" t="s">
        <v>69</v>
      </c>
      <c r="G199" s="3" t="s">
        <v>59</v>
      </c>
      <c r="H199" s="3" t="s">
        <v>58</v>
      </c>
      <c r="I199" s="3" t="s">
        <v>58</v>
      </c>
      <c r="J199" s="3" t="s">
        <v>60</v>
      </c>
      <c r="K199" s="2" t="s">
        <v>2710</v>
      </c>
      <c r="L199" s="2" t="s">
        <v>2711</v>
      </c>
      <c r="M199" s="3" t="s">
        <v>2712</v>
      </c>
      <c r="O199" s="3" t="s">
        <v>64</v>
      </c>
      <c r="P199" s="3" t="s">
        <v>2363</v>
      </c>
      <c r="R199" s="3" t="s">
        <v>66</v>
      </c>
      <c r="S199" s="4">
        <v>0</v>
      </c>
      <c r="T199" s="4">
        <v>2</v>
      </c>
      <c r="V199" s="5" t="s">
        <v>985</v>
      </c>
      <c r="W199" s="5" t="s">
        <v>102</v>
      </c>
      <c r="X199" s="5" t="s">
        <v>102</v>
      </c>
      <c r="Y199" s="4">
        <v>753</v>
      </c>
      <c r="Z199" s="4">
        <v>661</v>
      </c>
      <c r="AA199" s="4">
        <v>663</v>
      </c>
      <c r="AB199" s="4">
        <v>5</v>
      </c>
      <c r="AC199" s="4">
        <v>5</v>
      </c>
      <c r="AD199" s="4">
        <v>24</v>
      </c>
      <c r="AE199" s="4">
        <v>24</v>
      </c>
      <c r="AF199" s="4">
        <v>9</v>
      </c>
      <c r="AG199" s="4">
        <v>9</v>
      </c>
      <c r="AH199" s="4">
        <v>4</v>
      </c>
      <c r="AI199" s="4">
        <v>4</v>
      </c>
      <c r="AJ199" s="4">
        <v>13</v>
      </c>
      <c r="AK199" s="4">
        <v>13</v>
      </c>
      <c r="AL199" s="4">
        <v>4</v>
      </c>
      <c r="AM199" s="4">
        <v>4</v>
      </c>
      <c r="AN199" s="4">
        <v>0</v>
      </c>
      <c r="AO199" s="4">
        <v>0</v>
      </c>
      <c r="AP199" s="3" t="s">
        <v>58</v>
      </c>
      <c r="AQ199" s="3" t="s">
        <v>69</v>
      </c>
      <c r="AR199" s="6" t="str">
        <f>HYPERLINK("http://catalog.hathitrust.org/Record/000410881","HathiTrust Record")</f>
        <v>HathiTrust Record</v>
      </c>
      <c r="AS199" s="6" t="str">
        <f>HYPERLINK("https://creighton-primo.hosted.exlibrisgroup.com/primo-explore/search?tab=default_tab&amp;search_scope=EVERYTHING&amp;vid=01CRU&amp;lang=en_US&amp;offset=0&amp;query=any,contains,991003478819702656","Catalog Record")</f>
        <v>Catalog Record</v>
      </c>
      <c r="AT199" s="6" t="str">
        <f>HYPERLINK("http://www.worldcat.org/oclc/1024618","WorldCat Record")</f>
        <v>WorldCat Record</v>
      </c>
      <c r="AU199" s="3" t="s">
        <v>2713</v>
      </c>
      <c r="AV199" s="3" t="s">
        <v>2714</v>
      </c>
      <c r="AW199" s="3" t="s">
        <v>2715</v>
      </c>
      <c r="AX199" s="3" t="s">
        <v>2715</v>
      </c>
      <c r="AY199" s="3" t="s">
        <v>2716</v>
      </c>
      <c r="AZ199" s="3" t="s">
        <v>74</v>
      </c>
      <c r="BC199" s="3" t="s">
        <v>2717</v>
      </c>
      <c r="BD199" s="3" t="s">
        <v>2718</v>
      </c>
    </row>
    <row r="200" spans="1:56" ht="34.5" customHeight="1" x14ac:dyDescent="0.25">
      <c r="A200" s="7" t="s">
        <v>58</v>
      </c>
      <c r="B200" s="2" t="s">
        <v>2707</v>
      </c>
      <c r="C200" s="2" t="s">
        <v>2708</v>
      </c>
      <c r="D200" s="2" t="s">
        <v>2709</v>
      </c>
      <c r="E200" s="3" t="s">
        <v>190</v>
      </c>
      <c r="F200" s="3" t="s">
        <v>69</v>
      </c>
      <c r="G200" s="3" t="s">
        <v>59</v>
      </c>
      <c r="H200" s="3" t="s">
        <v>58</v>
      </c>
      <c r="I200" s="3" t="s">
        <v>58</v>
      </c>
      <c r="J200" s="3" t="s">
        <v>60</v>
      </c>
      <c r="K200" s="2" t="s">
        <v>2710</v>
      </c>
      <c r="L200" s="2" t="s">
        <v>2711</v>
      </c>
      <c r="M200" s="3" t="s">
        <v>2712</v>
      </c>
      <c r="O200" s="3" t="s">
        <v>64</v>
      </c>
      <c r="P200" s="3" t="s">
        <v>2363</v>
      </c>
      <c r="R200" s="3" t="s">
        <v>66</v>
      </c>
      <c r="S200" s="4">
        <v>0</v>
      </c>
      <c r="T200" s="4">
        <v>2</v>
      </c>
      <c r="V200" s="5" t="s">
        <v>985</v>
      </c>
      <c r="W200" s="5" t="s">
        <v>102</v>
      </c>
      <c r="X200" s="5" t="s">
        <v>102</v>
      </c>
      <c r="Y200" s="4">
        <v>753</v>
      </c>
      <c r="Z200" s="4">
        <v>661</v>
      </c>
      <c r="AA200" s="4">
        <v>663</v>
      </c>
      <c r="AB200" s="4">
        <v>5</v>
      </c>
      <c r="AC200" s="4">
        <v>5</v>
      </c>
      <c r="AD200" s="4">
        <v>24</v>
      </c>
      <c r="AE200" s="4">
        <v>24</v>
      </c>
      <c r="AF200" s="4">
        <v>9</v>
      </c>
      <c r="AG200" s="4">
        <v>9</v>
      </c>
      <c r="AH200" s="4">
        <v>4</v>
      </c>
      <c r="AI200" s="4">
        <v>4</v>
      </c>
      <c r="AJ200" s="4">
        <v>13</v>
      </c>
      <c r="AK200" s="4">
        <v>13</v>
      </c>
      <c r="AL200" s="4">
        <v>4</v>
      </c>
      <c r="AM200" s="4">
        <v>4</v>
      </c>
      <c r="AN200" s="4">
        <v>0</v>
      </c>
      <c r="AO200" s="4">
        <v>0</v>
      </c>
      <c r="AP200" s="3" t="s">
        <v>58</v>
      </c>
      <c r="AQ200" s="3" t="s">
        <v>69</v>
      </c>
      <c r="AR200" s="6" t="str">
        <f>HYPERLINK("http://catalog.hathitrust.org/Record/000410881","HathiTrust Record")</f>
        <v>HathiTrust Record</v>
      </c>
      <c r="AS200" s="6" t="str">
        <f>HYPERLINK("https://creighton-primo.hosted.exlibrisgroup.com/primo-explore/search?tab=default_tab&amp;search_scope=EVERYTHING&amp;vid=01CRU&amp;lang=en_US&amp;offset=0&amp;query=any,contains,991003478819702656","Catalog Record")</f>
        <v>Catalog Record</v>
      </c>
      <c r="AT200" s="6" t="str">
        <f>HYPERLINK("http://www.worldcat.org/oclc/1024618","WorldCat Record")</f>
        <v>WorldCat Record</v>
      </c>
      <c r="AU200" s="3" t="s">
        <v>2713</v>
      </c>
      <c r="AV200" s="3" t="s">
        <v>2714</v>
      </c>
      <c r="AW200" s="3" t="s">
        <v>2715</v>
      </c>
      <c r="AX200" s="3" t="s">
        <v>2715</v>
      </c>
      <c r="AY200" s="3" t="s">
        <v>2716</v>
      </c>
      <c r="AZ200" s="3" t="s">
        <v>74</v>
      </c>
      <c r="BC200" s="3" t="s">
        <v>2719</v>
      </c>
      <c r="BD200" s="3" t="s">
        <v>2720</v>
      </c>
    </row>
    <row r="201" spans="1:56" ht="34.5" customHeight="1" x14ac:dyDescent="0.25">
      <c r="A201" s="7" t="s">
        <v>58</v>
      </c>
      <c r="B201" s="2" t="s">
        <v>2707</v>
      </c>
      <c r="C201" s="2" t="s">
        <v>2708</v>
      </c>
      <c r="D201" s="2" t="s">
        <v>2709</v>
      </c>
      <c r="E201" s="3" t="s">
        <v>202</v>
      </c>
      <c r="F201" s="3" t="s">
        <v>69</v>
      </c>
      <c r="G201" s="3" t="s">
        <v>59</v>
      </c>
      <c r="H201" s="3" t="s">
        <v>58</v>
      </c>
      <c r="I201" s="3" t="s">
        <v>58</v>
      </c>
      <c r="J201" s="3" t="s">
        <v>60</v>
      </c>
      <c r="K201" s="2" t="s">
        <v>2710</v>
      </c>
      <c r="L201" s="2" t="s">
        <v>2711</v>
      </c>
      <c r="M201" s="3" t="s">
        <v>2712</v>
      </c>
      <c r="O201" s="3" t="s">
        <v>64</v>
      </c>
      <c r="P201" s="3" t="s">
        <v>2363</v>
      </c>
      <c r="R201" s="3" t="s">
        <v>66</v>
      </c>
      <c r="S201" s="4">
        <v>1</v>
      </c>
      <c r="T201" s="4">
        <v>2</v>
      </c>
      <c r="V201" s="5" t="s">
        <v>985</v>
      </c>
      <c r="W201" s="5" t="s">
        <v>102</v>
      </c>
      <c r="X201" s="5" t="s">
        <v>102</v>
      </c>
      <c r="Y201" s="4">
        <v>753</v>
      </c>
      <c r="Z201" s="4">
        <v>661</v>
      </c>
      <c r="AA201" s="4">
        <v>663</v>
      </c>
      <c r="AB201" s="4">
        <v>5</v>
      </c>
      <c r="AC201" s="4">
        <v>5</v>
      </c>
      <c r="AD201" s="4">
        <v>24</v>
      </c>
      <c r="AE201" s="4">
        <v>24</v>
      </c>
      <c r="AF201" s="4">
        <v>9</v>
      </c>
      <c r="AG201" s="4">
        <v>9</v>
      </c>
      <c r="AH201" s="4">
        <v>4</v>
      </c>
      <c r="AI201" s="4">
        <v>4</v>
      </c>
      <c r="AJ201" s="4">
        <v>13</v>
      </c>
      <c r="AK201" s="4">
        <v>13</v>
      </c>
      <c r="AL201" s="4">
        <v>4</v>
      </c>
      <c r="AM201" s="4">
        <v>4</v>
      </c>
      <c r="AN201" s="4">
        <v>0</v>
      </c>
      <c r="AO201" s="4">
        <v>0</v>
      </c>
      <c r="AP201" s="3" t="s">
        <v>58</v>
      </c>
      <c r="AQ201" s="3" t="s">
        <v>69</v>
      </c>
      <c r="AR201" s="6" t="str">
        <f>HYPERLINK("http://catalog.hathitrust.org/Record/000410881","HathiTrust Record")</f>
        <v>HathiTrust Record</v>
      </c>
      <c r="AS201" s="6" t="str">
        <f>HYPERLINK("https://creighton-primo.hosted.exlibrisgroup.com/primo-explore/search?tab=default_tab&amp;search_scope=EVERYTHING&amp;vid=01CRU&amp;lang=en_US&amp;offset=0&amp;query=any,contains,991003478819702656","Catalog Record")</f>
        <v>Catalog Record</v>
      </c>
      <c r="AT201" s="6" t="str">
        <f>HYPERLINK("http://www.worldcat.org/oclc/1024618","WorldCat Record")</f>
        <v>WorldCat Record</v>
      </c>
      <c r="AU201" s="3" t="s">
        <v>2713</v>
      </c>
      <c r="AV201" s="3" t="s">
        <v>2714</v>
      </c>
      <c r="AW201" s="3" t="s">
        <v>2715</v>
      </c>
      <c r="AX201" s="3" t="s">
        <v>2715</v>
      </c>
      <c r="AY201" s="3" t="s">
        <v>2716</v>
      </c>
      <c r="AZ201" s="3" t="s">
        <v>74</v>
      </c>
      <c r="BC201" s="3" t="s">
        <v>2721</v>
      </c>
      <c r="BD201" s="3" t="s">
        <v>2722</v>
      </c>
    </row>
    <row r="202" spans="1:56" ht="34.5" customHeight="1" x14ac:dyDescent="0.25">
      <c r="A202" s="7" t="s">
        <v>58</v>
      </c>
      <c r="B202" s="2" t="s">
        <v>2707</v>
      </c>
      <c r="C202" s="2" t="s">
        <v>2708</v>
      </c>
      <c r="D202" s="2" t="s">
        <v>2709</v>
      </c>
      <c r="E202" s="3" t="s">
        <v>2723</v>
      </c>
      <c r="F202" s="3" t="s">
        <v>69</v>
      </c>
      <c r="G202" s="3" t="s">
        <v>59</v>
      </c>
      <c r="H202" s="3" t="s">
        <v>58</v>
      </c>
      <c r="I202" s="3" t="s">
        <v>58</v>
      </c>
      <c r="J202" s="3" t="s">
        <v>60</v>
      </c>
      <c r="K202" s="2" t="s">
        <v>2710</v>
      </c>
      <c r="L202" s="2" t="s">
        <v>2711</v>
      </c>
      <c r="M202" s="3" t="s">
        <v>2712</v>
      </c>
      <c r="O202" s="3" t="s">
        <v>64</v>
      </c>
      <c r="P202" s="3" t="s">
        <v>2363</v>
      </c>
      <c r="R202" s="3" t="s">
        <v>66</v>
      </c>
      <c r="S202" s="4">
        <v>1</v>
      </c>
      <c r="T202" s="4">
        <v>2</v>
      </c>
      <c r="U202" s="5" t="s">
        <v>985</v>
      </c>
      <c r="V202" s="5" t="s">
        <v>985</v>
      </c>
      <c r="W202" s="5" t="s">
        <v>102</v>
      </c>
      <c r="X202" s="5" t="s">
        <v>102</v>
      </c>
      <c r="Y202" s="4">
        <v>753</v>
      </c>
      <c r="Z202" s="4">
        <v>661</v>
      </c>
      <c r="AA202" s="4">
        <v>663</v>
      </c>
      <c r="AB202" s="4">
        <v>5</v>
      </c>
      <c r="AC202" s="4">
        <v>5</v>
      </c>
      <c r="AD202" s="4">
        <v>24</v>
      </c>
      <c r="AE202" s="4">
        <v>24</v>
      </c>
      <c r="AF202" s="4">
        <v>9</v>
      </c>
      <c r="AG202" s="4">
        <v>9</v>
      </c>
      <c r="AH202" s="4">
        <v>4</v>
      </c>
      <c r="AI202" s="4">
        <v>4</v>
      </c>
      <c r="AJ202" s="4">
        <v>13</v>
      </c>
      <c r="AK202" s="4">
        <v>13</v>
      </c>
      <c r="AL202" s="4">
        <v>4</v>
      </c>
      <c r="AM202" s="4">
        <v>4</v>
      </c>
      <c r="AN202" s="4">
        <v>0</v>
      </c>
      <c r="AO202" s="4">
        <v>0</v>
      </c>
      <c r="AP202" s="3" t="s">
        <v>58</v>
      </c>
      <c r="AQ202" s="3" t="s">
        <v>69</v>
      </c>
      <c r="AR202" s="6" t="str">
        <f>HYPERLINK("http://catalog.hathitrust.org/Record/000410881","HathiTrust Record")</f>
        <v>HathiTrust Record</v>
      </c>
      <c r="AS202" s="6" t="str">
        <f>HYPERLINK("https://creighton-primo.hosted.exlibrisgroup.com/primo-explore/search?tab=default_tab&amp;search_scope=EVERYTHING&amp;vid=01CRU&amp;lang=en_US&amp;offset=0&amp;query=any,contains,991003478819702656","Catalog Record")</f>
        <v>Catalog Record</v>
      </c>
      <c r="AT202" s="6" t="str">
        <f>HYPERLINK("http://www.worldcat.org/oclc/1024618","WorldCat Record")</f>
        <v>WorldCat Record</v>
      </c>
      <c r="AU202" s="3" t="s">
        <v>2713</v>
      </c>
      <c r="AV202" s="3" t="s">
        <v>2714</v>
      </c>
      <c r="AW202" s="3" t="s">
        <v>2715</v>
      </c>
      <c r="AX202" s="3" t="s">
        <v>2715</v>
      </c>
      <c r="AY202" s="3" t="s">
        <v>2716</v>
      </c>
      <c r="AZ202" s="3" t="s">
        <v>74</v>
      </c>
      <c r="BC202" s="3" t="s">
        <v>2724</v>
      </c>
      <c r="BD202" s="3" t="s">
        <v>2725</v>
      </c>
    </row>
    <row r="203" spans="1:56" ht="34.5" customHeight="1" x14ac:dyDescent="0.25">
      <c r="A203" s="7" t="s">
        <v>58</v>
      </c>
      <c r="B203" s="2" t="s">
        <v>2726</v>
      </c>
      <c r="C203" s="2" t="s">
        <v>2727</v>
      </c>
      <c r="D203" s="2" t="s">
        <v>2728</v>
      </c>
      <c r="F203" s="3" t="s">
        <v>58</v>
      </c>
      <c r="G203" s="3" t="s">
        <v>59</v>
      </c>
      <c r="H203" s="3" t="s">
        <v>58</v>
      </c>
      <c r="I203" s="3" t="s">
        <v>58</v>
      </c>
      <c r="J203" s="3" t="s">
        <v>60</v>
      </c>
      <c r="K203" s="2" t="s">
        <v>2729</v>
      </c>
      <c r="L203" s="2" t="s">
        <v>2730</v>
      </c>
      <c r="M203" s="3" t="s">
        <v>176</v>
      </c>
      <c r="N203" s="2" t="s">
        <v>2731</v>
      </c>
      <c r="O203" s="3" t="s">
        <v>64</v>
      </c>
      <c r="P203" s="3" t="s">
        <v>65</v>
      </c>
      <c r="R203" s="3" t="s">
        <v>66</v>
      </c>
      <c r="S203" s="4">
        <v>19</v>
      </c>
      <c r="T203" s="4">
        <v>19</v>
      </c>
      <c r="U203" s="5" t="s">
        <v>2589</v>
      </c>
      <c r="V203" s="5" t="s">
        <v>2589</v>
      </c>
      <c r="W203" s="5" t="s">
        <v>2732</v>
      </c>
      <c r="X203" s="5" t="s">
        <v>2732</v>
      </c>
      <c r="Y203" s="4">
        <v>112</v>
      </c>
      <c r="Z203" s="4">
        <v>84</v>
      </c>
      <c r="AA203" s="4">
        <v>810</v>
      </c>
      <c r="AB203" s="4">
        <v>1</v>
      </c>
      <c r="AC203" s="4">
        <v>4</v>
      </c>
      <c r="AD203" s="4">
        <v>3</v>
      </c>
      <c r="AE203" s="4">
        <v>20</v>
      </c>
      <c r="AF203" s="4">
        <v>1</v>
      </c>
      <c r="AG203" s="4">
        <v>7</v>
      </c>
      <c r="AH203" s="4">
        <v>1</v>
      </c>
      <c r="AI203" s="4">
        <v>5</v>
      </c>
      <c r="AJ203" s="4">
        <v>2</v>
      </c>
      <c r="AK203" s="4">
        <v>10</v>
      </c>
      <c r="AL203" s="4">
        <v>0</v>
      </c>
      <c r="AM203" s="4">
        <v>2</v>
      </c>
      <c r="AN203" s="4">
        <v>0</v>
      </c>
      <c r="AO203" s="4">
        <v>0</v>
      </c>
      <c r="AP203" s="3" t="s">
        <v>58</v>
      </c>
      <c r="AQ203" s="3" t="s">
        <v>69</v>
      </c>
      <c r="AR203" s="6" t="str">
        <f>HYPERLINK("http://catalog.hathitrust.org/Record/009920943","HathiTrust Record")</f>
        <v>HathiTrust Record</v>
      </c>
      <c r="AS203" s="6" t="str">
        <f>HYPERLINK("https://creighton-primo.hosted.exlibrisgroup.com/primo-explore/search?tab=default_tab&amp;search_scope=EVERYTHING&amp;vid=01CRU&amp;lang=en_US&amp;offset=0&amp;query=any,contains,991001337959702656","Catalog Record")</f>
        <v>Catalog Record</v>
      </c>
      <c r="AT203" s="6" t="str">
        <f>HYPERLINK("http://www.worldcat.org/oclc/18373924","WorldCat Record")</f>
        <v>WorldCat Record</v>
      </c>
      <c r="AU203" s="3" t="s">
        <v>2733</v>
      </c>
      <c r="AV203" s="3" t="s">
        <v>2734</v>
      </c>
      <c r="AW203" s="3" t="s">
        <v>2735</v>
      </c>
      <c r="AX203" s="3" t="s">
        <v>2735</v>
      </c>
      <c r="AY203" s="3" t="s">
        <v>2736</v>
      </c>
      <c r="AZ203" s="3" t="s">
        <v>74</v>
      </c>
      <c r="BB203" s="3" t="s">
        <v>2737</v>
      </c>
      <c r="BC203" s="3" t="s">
        <v>2738</v>
      </c>
      <c r="BD203" s="3" t="s">
        <v>2739</v>
      </c>
    </row>
    <row r="204" spans="1:56" ht="34.5" customHeight="1" x14ac:dyDescent="0.25">
      <c r="A204" s="7" t="s">
        <v>58</v>
      </c>
      <c r="B204" s="2" t="s">
        <v>2740</v>
      </c>
      <c r="C204" s="2" t="s">
        <v>2741</v>
      </c>
      <c r="D204" s="2" t="s">
        <v>2742</v>
      </c>
      <c r="F204" s="3" t="s">
        <v>58</v>
      </c>
      <c r="G204" s="3" t="s">
        <v>59</v>
      </c>
      <c r="H204" s="3" t="s">
        <v>58</v>
      </c>
      <c r="I204" s="3" t="s">
        <v>58</v>
      </c>
      <c r="J204" s="3" t="s">
        <v>60</v>
      </c>
      <c r="K204" s="2" t="s">
        <v>2743</v>
      </c>
      <c r="L204" s="2" t="s">
        <v>2744</v>
      </c>
      <c r="M204" s="3" t="s">
        <v>2745</v>
      </c>
      <c r="O204" s="3" t="s">
        <v>64</v>
      </c>
      <c r="P204" s="3" t="s">
        <v>65</v>
      </c>
      <c r="Q204" s="2" t="s">
        <v>1558</v>
      </c>
      <c r="R204" s="3" t="s">
        <v>66</v>
      </c>
      <c r="S204" s="4">
        <v>3</v>
      </c>
      <c r="T204" s="4">
        <v>3</v>
      </c>
      <c r="U204" s="5" t="s">
        <v>2746</v>
      </c>
      <c r="V204" s="5" t="s">
        <v>2746</v>
      </c>
      <c r="W204" s="5" t="s">
        <v>1094</v>
      </c>
      <c r="X204" s="5" t="s">
        <v>1094</v>
      </c>
      <c r="Y204" s="4">
        <v>590</v>
      </c>
      <c r="Z204" s="4">
        <v>549</v>
      </c>
      <c r="AA204" s="4">
        <v>594</v>
      </c>
      <c r="AB204" s="4">
        <v>3</v>
      </c>
      <c r="AC204" s="4">
        <v>3</v>
      </c>
      <c r="AD204" s="4">
        <v>13</v>
      </c>
      <c r="AE204" s="4">
        <v>16</v>
      </c>
      <c r="AF204" s="4">
        <v>5</v>
      </c>
      <c r="AG204" s="4">
        <v>7</v>
      </c>
      <c r="AH204" s="4">
        <v>3</v>
      </c>
      <c r="AI204" s="4">
        <v>3</v>
      </c>
      <c r="AJ204" s="4">
        <v>5</v>
      </c>
      <c r="AK204" s="4">
        <v>6</v>
      </c>
      <c r="AL204" s="4">
        <v>2</v>
      </c>
      <c r="AM204" s="4">
        <v>2</v>
      </c>
      <c r="AN204" s="4">
        <v>0</v>
      </c>
      <c r="AO204" s="4">
        <v>0</v>
      </c>
      <c r="AP204" s="3" t="s">
        <v>58</v>
      </c>
      <c r="AQ204" s="3" t="s">
        <v>58</v>
      </c>
      <c r="AR204" s="6" t="str">
        <f>HYPERLINK("http://catalog.hathitrust.org/Record/000453175","HathiTrust Record")</f>
        <v>HathiTrust Record</v>
      </c>
      <c r="AS204" s="6" t="str">
        <f>HYPERLINK("https://creighton-primo.hosted.exlibrisgroup.com/primo-explore/search?tab=default_tab&amp;search_scope=EVERYTHING&amp;vid=01CRU&amp;lang=en_US&amp;offset=0&amp;query=any,contains,991003326499702656","Catalog Record")</f>
        <v>Catalog Record</v>
      </c>
      <c r="AT204" s="6" t="str">
        <f>HYPERLINK("http://www.worldcat.org/oclc/856149","WorldCat Record")</f>
        <v>WorldCat Record</v>
      </c>
      <c r="AU204" s="3" t="s">
        <v>2747</v>
      </c>
      <c r="AV204" s="3" t="s">
        <v>2748</v>
      </c>
      <c r="AW204" s="3" t="s">
        <v>2749</v>
      </c>
      <c r="AX204" s="3" t="s">
        <v>2749</v>
      </c>
      <c r="AY204" s="3" t="s">
        <v>2750</v>
      </c>
      <c r="AZ204" s="3" t="s">
        <v>74</v>
      </c>
      <c r="BC204" s="3" t="s">
        <v>2751</v>
      </c>
      <c r="BD204" s="3" t="s">
        <v>2752</v>
      </c>
    </row>
    <row r="205" spans="1:56" ht="34.5" customHeight="1" x14ac:dyDescent="0.25">
      <c r="A205" s="7" t="s">
        <v>58</v>
      </c>
      <c r="B205" s="2" t="s">
        <v>2753</v>
      </c>
      <c r="C205" s="2" t="s">
        <v>2754</v>
      </c>
      <c r="D205" s="2" t="s">
        <v>2755</v>
      </c>
      <c r="F205" s="3" t="s">
        <v>58</v>
      </c>
      <c r="G205" s="3" t="s">
        <v>59</v>
      </c>
      <c r="H205" s="3" t="s">
        <v>58</v>
      </c>
      <c r="I205" s="3" t="s">
        <v>58</v>
      </c>
      <c r="J205" s="3" t="s">
        <v>60</v>
      </c>
      <c r="K205" s="2" t="s">
        <v>2756</v>
      </c>
      <c r="L205" s="2" t="s">
        <v>2757</v>
      </c>
      <c r="M205" s="3" t="s">
        <v>808</v>
      </c>
      <c r="O205" s="3" t="s">
        <v>64</v>
      </c>
      <c r="P205" s="3" t="s">
        <v>670</v>
      </c>
      <c r="R205" s="3" t="s">
        <v>66</v>
      </c>
      <c r="S205" s="4">
        <v>7</v>
      </c>
      <c r="T205" s="4">
        <v>7</v>
      </c>
      <c r="U205" s="5" t="s">
        <v>2154</v>
      </c>
      <c r="V205" s="5" t="s">
        <v>2154</v>
      </c>
      <c r="W205" s="5" t="s">
        <v>2758</v>
      </c>
      <c r="X205" s="5" t="s">
        <v>2758</v>
      </c>
      <c r="Y205" s="4">
        <v>342</v>
      </c>
      <c r="Z205" s="4">
        <v>323</v>
      </c>
      <c r="AA205" s="4">
        <v>1004</v>
      </c>
      <c r="AB205" s="4">
        <v>3</v>
      </c>
      <c r="AC205" s="4">
        <v>9</v>
      </c>
      <c r="AD205" s="4">
        <v>6</v>
      </c>
      <c r="AE205" s="4">
        <v>23</v>
      </c>
      <c r="AF205" s="4">
        <v>3</v>
      </c>
      <c r="AG205" s="4">
        <v>8</v>
      </c>
      <c r="AH205" s="4">
        <v>0</v>
      </c>
      <c r="AI205" s="4">
        <v>4</v>
      </c>
      <c r="AJ205" s="4">
        <v>4</v>
      </c>
      <c r="AK205" s="4">
        <v>10</v>
      </c>
      <c r="AL205" s="4">
        <v>1</v>
      </c>
      <c r="AM205" s="4">
        <v>6</v>
      </c>
      <c r="AN205" s="4">
        <v>0</v>
      </c>
      <c r="AO205" s="4">
        <v>0</v>
      </c>
      <c r="AP205" s="3" t="s">
        <v>58</v>
      </c>
      <c r="AQ205" s="3" t="s">
        <v>58</v>
      </c>
      <c r="AS205" s="6" t="str">
        <f>HYPERLINK("https://creighton-primo.hosted.exlibrisgroup.com/primo-explore/search?tab=default_tab&amp;search_scope=EVERYTHING&amp;vid=01CRU&amp;lang=en_US&amp;offset=0&amp;query=any,contains,991002391059702656","Catalog Record")</f>
        <v>Catalog Record</v>
      </c>
      <c r="AT205" s="6" t="str">
        <f>HYPERLINK("http://www.worldcat.org/oclc/332448","WorldCat Record")</f>
        <v>WorldCat Record</v>
      </c>
      <c r="AU205" s="3" t="s">
        <v>2759</v>
      </c>
      <c r="AV205" s="3" t="s">
        <v>2760</v>
      </c>
      <c r="AW205" s="3" t="s">
        <v>2761</v>
      </c>
      <c r="AX205" s="3" t="s">
        <v>2761</v>
      </c>
      <c r="AY205" s="3" t="s">
        <v>2762</v>
      </c>
      <c r="AZ205" s="3" t="s">
        <v>74</v>
      </c>
      <c r="BC205" s="3" t="s">
        <v>2763</v>
      </c>
      <c r="BD205" s="3" t="s">
        <v>2764</v>
      </c>
    </row>
    <row r="206" spans="1:56" ht="34.5" customHeight="1" x14ac:dyDescent="0.25">
      <c r="A206" s="7" t="s">
        <v>58</v>
      </c>
      <c r="B206" s="2" t="s">
        <v>2765</v>
      </c>
      <c r="C206" s="2" t="s">
        <v>2766</v>
      </c>
      <c r="D206" s="2" t="s">
        <v>2767</v>
      </c>
      <c r="F206" s="3" t="s">
        <v>58</v>
      </c>
      <c r="G206" s="3" t="s">
        <v>59</v>
      </c>
      <c r="H206" s="3" t="s">
        <v>58</v>
      </c>
      <c r="I206" s="3" t="s">
        <v>58</v>
      </c>
      <c r="J206" s="3" t="s">
        <v>60</v>
      </c>
      <c r="K206" s="2" t="s">
        <v>1010</v>
      </c>
      <c r="L206" s="2" t="s">
        <v>2768</v>
      </c>
      <c r="M206" s="3" t="s">
        <v>607</v>
      </c>
      <c r="O206" s="3" t="s">
        <v>64</v>
      </c>
      <c r="P206" s="3" t="s">
        <v>670</v>
      </c>
      <c r="Q206" s="2" t="s">
        <v>634</v>
      </c>
      <c r="R206" s="3" t="s">
        <v>66</v>
      </c>
      <c r="S206" s="4">
        <v>1</v>
      </c>
      <c r="T206" s="4">
        <v>1</v>
      </c>
      <c r="U206" s="5" t="s">
        <v>2769</v>
      </c>
      <c r="V206" s="5" t="s">
        <v>2769</v>
      </c>
      <c r="W206" s="5" t="s">
        <v>68</v>
      </c>
      <c r="X206" s="5" t="s">
        <v>68</v>
      </c>
      <c r="Y206" s="4">
        <v>47</v>
      </c>
      <c r="Z206" s="4">
        <v>40</v>
      </c>
      <c r="AA206" s="4">
        <v>1414</v>
      </c>
      <c r="AB206" s="4">
        <v>1</v>
      </c>
      <c r="AC206" s="4">
        <v>9</v>
      </c>
      <c r="AD206" s="4">
        <v>1</v>
      </c>
      <c r="AE206" s="4">
        <v>49</v>
      </c>
      <c r="AF206" s="4">
        <v>1</v>
      </c>
      <c r="AG206" s="4">
        <v>23</v>
      </c>
      <c r="AH206" s="4">
        <v>0</v>
      </c>
      <c r="AI206" s="4">
        <v>8</v>
      </c>
      <c r="AJ206" s="4">
        <v>0</v>
      </c>
      <c r="AK206" s="4">
        <v>23</v>
      </c>
      <c r="AL206" s="4">
        <v>0</v>
      </c>
      <c r="AM206" s="4">
        <v>6</v>
      </c>
      <c r="AN206" s="4">
        <v>0</v>
      </c>
      <c r="AO206" s="4">
        <v>0</v>
      </c>
      <c r="AP206" s="3" t="s">
        <v>58</v>
      </c>
      <c r="AQ206" s="3" t="s">
        <v>58</v>
      </c>
      <c r="AS206" s="6" t="str">
        <f>HYPERLINK("https://creighton-primo.hosted.exlibrisgroup.com/primo-explore/search?tab=default_tab&amp;search_scope=EVERYTHING&amp;vid=01CRU&amp;lang=en_US&amp;offset=0&amp;query=any,contains,991004720029702656","Catalog Record")</f>
        <v>Catalog Record</v>
      </c>
      <c r="AT206" s="6" t="str">
        <f>HYPERLINK("http://www.worldcat.org/oclc/4798818","WorldCat Record")</f>
        <v>WorldCat Record</v>
      </c>
      <c r="AU206" s="3" t="s">
        <v>2770</v>
      </c>
      <c r="AV206" s="3" t="s">
        <v>2771</v>
      </c>
      <c r="AW206" s="3" t="s">
        <v>2772</v>
      </c>
      <c r="AX206" s="3" t="s">
        <v>2772</v>
      </c>
      <c r="AY206" s="3" t="s">
        <v>2773</v>
      </c>
      <c r="AZ206" s="3" t="s">
        <v>74</v>
      </c>
      <c r="BC206" s="3" t="s">
        <v>2774</v>
      </c>
      <c r="BD206" s="3" t="s">
        <v>2775</v>
      </c>
    </row>
    <row r="207" spans="1:56" ht="34.5" customHeight="1" x14ac:dyDescent="0.25">
      <c r="A207" s="7" t="s">
        <v>58</v>
      </c>
      <c r="B207" s="2" t="s">
        <v>2776</v>
      </c>
      <c r="C207" s="2" t="s">
        <v>2777</v>
      </c>
      <c r="D207" s="2" t="s">
        <v>2778</v>
      </c>
      <c r="F207" s="3" t="s">
        <v>58</v>
      </c>
      <c r="G207" s="3" t="s">
        <v>59</v>
      </c>
      <c r="H207" s="3" t="s">
        <v>58</v>
      </c>
      <c r="I207" s="3" t="s">
        <v>58</v>
      </c>
      <c r="J207" s="3" t="s">
        <v>60</v>
      </c>
      <c r="L207" s="2" t="s">
        <v>2779</v>
      </c>
      <c r="M207" s="3" t="s">
        <v>99</v>
      </c>
      <c r="O207" s="3" t="s">
        <v>2386</v>
      </c>
      <c r="P207" s="3" t="s">
        <v>65</v>
      </c>
      <c r="R207" s="3" t="s">
        <v>66</v>
      </c>
      <c r="S207" s="4">
        <v>4</v>
      </c>
      <c r="T207" s="4">
        <v>4</v>
      </c>
      <c r="U207" s="5" t="s">
        <v>2780</v>
      </c>
      <c r="V207" s="5" t="s">
        <v>2780</v>
      </c>
      <c r="W207" s="5" t="s">
        <v>2214</v>
      </c>
      <c r="X207" s="5" t="s">
        <v>2214</v>
      </c>
      <c r="Y207" s="4">
        <v>18</v>
      </c>
      <c r="Z207" s="4">
        <v>17</v>
      </c>
      <c r="AA207" s="4">
        <v>320</v>
      </c>
      <c r="AB207" s="4">
        <v>1</v>
      </c>
      <c r="AC207" s="4">
        <v>5</v>
      </c>
      <c r="AD207" s="4">
        <v>0</v>
      </c>
      <c r="AE207" s="4">
        <v>17</v>
      </c>
      <c r="AF207" s="4">
        <v>0</v>
      </c>
      <c r="AG207" s="4">
        <v>6</v>
      </c>
      <c r="AH207" s="4">
        <v>0</v>
      </c>
      <c r="AI207" s="4">
        <v>1</v>
      </c>
      <c r="AJ207" s="4">
        <v>0</v>
      </c>
      <c r="AK207" s="4">
        <v>8</v>
      </c>
      <c r="AL207" s="4">
        <v>0</v>
      </c>
      <c r="AM207" s="4">
        <v>4</v>
      </c>
      <c r="AN207" s="4">
        <v>0</v>
      </c>
      <c r="AO207" s="4">
        <v>0</v>
      </c>
      <c r="AP207" s="3" t="s">
        <v>58</v>
      </c>
      <c r="AQ207" s="3" t="s">
        <v>58</v>
      </c>
      <c r="AS207" s="6" t="str">
        <f>HYPERLINK("https://creighton-primo.hosted.exlibrisgroup.com/primo-explore/search?tab=default_tab&amp;search_scope=EVERYTHING&amp;vid=01CRU&amp;lang=en_US&amp;offset=0&amp;query=any,contains,991000815159702656","Catalog Record")</f>
        <v>Catalog Record</v>
      </c>
      <c r="AT207" s="6" t="str">
        <f>HYPERLINK("http://www.worldcat.org/oclc/13353971","WorldCat Record")</f>
        <v>WorldCat Record</v>
      </c>
      <c r="AU207" s="3" t="s">
        <v>2781</v>
      </c>
      <c r="AV207" s="3" t="s">
        <v>2782</v>
      </c>
      <c r="AW207" s="3" t="s">
        <v>2783</v>
      </c>
      <c r="AX207" s="3" t="s">
        <v>2783</v>
      </c>
      <c r="AY207" s="3" t="s">
        <v>2784</v>
      </c>
      <c r="AZ207" s="3" t="s">
        <v>74</v>
      </c>
      <c r="BB207" s="3" t="s">
        <v>2785</v>
      </c>
      <c r="BC207" s="3" t="s">
        <v>2786</v>
      </c>
      <c r="BD207" s="3" t="s">
        <v>2787</v>
      </c>
    </row>
    <row r="208" spans="1:56" ht="34.5" customHeight="1" x14ac:dyDescent="0.25">
      <c r="A208" s="7" t="s">
        <v>58</v>
      </c>
      <c r="B208" s="2" t="s">
        <v>2788</v>
      </c>
      <c r="C208" s="2" t="s">
        <v>2789</v>
      </c>
      <c r="D208" s="2" t="s">
        <v>2790</v>
      </c>
      <c r="F208" s="3" t="s">
        <v>58</v>
      </c>
      <c r="G208" s="3" t="s">
        <v>59</v>
      </c>
      <c r="H208" s="3" t="s">
        <v>58</v>
      </c>
      <c r="I208" s="3" t="s">
        <v>58</v>
      </c>
      <c r="J208" s="3" t="s">
        <v>60</v>
      </c>
      <c r="K208" s="2" t="s">
        <v>2791</v>
      </c>
      <c r="L208" s="2" t="s">
        <v>2792</v>
      </c>
      <c r="M208" s="3" t="s">
        <v>1234</v>
      </c>
      <c r="N208" s="2" t="s">
        <v>1430</v>
      </c>
      <c r="O208" s="3" t="s">
        <v>64</v>
      </c>
      <c r="P208" s="3" t="s">
        <v>670</v>
      </c>
      <c r="R208" s="3" t="s">
        <v>66</v>
      </c>
      <c r="S208" s="4">
        <v>4</v>
      </c>
      <c r="T208" s="4">
        <v>4</v>
      </c>
      <c r="U208" s="5" t="s">
        <v>2793</v>
      </c>
      <c r="V208" s="5" t="s">
        <v>2793</v>
      </c>
      <c r="W208" s="5" t="s">
        <v>2661</v>
      </c>
      <c r="X208" s="5" t="s">
        <v>2661</v>
      </c>
      <c r="Y208" s="4">
        <v>80</v>
      </c>
      <c r="Z208" s="4">
        <v>74</v>
      </c>
      <c r="AA208" s="4">
        <v>251</v>
      </c>
      <c r="AB208" s="4">
        <v>1</v>
      </c>
      <c r="AC208" s="4">
        <v>2</v>
      </c>
      <c r="AD208" s="4">
        <v>2</v>
      </c>
      <c r="AE208" s="4">
        <v>8</v>
      </c>
      <c r="AF208" s="4">
        <v>0</v>
      </c>
      <c r="AG208" s="4">
        <v>2</v>
      </c>
      <c r="AH208" s="4">
        <v>1</v>
      </c>
      <c r="AI208" s="4">
        <v>2</v>
      </c>
      <c r="AJ208" s="4">
        <v>1</v>
      </c>
      <c r="AK208" s="4">
        <v>4</v>
      </c>
      <c r="AL208" s="4">
        <v>0</v>
      </c>
      <c r="AM208" s="4">
        <v>1</v>
      </c>
      <c r="AN208" s="4">
        <v>0</v>
      </c>
      <c r="AO208" s="4">
        <v>0</v>
      </c>
      <c r="AP208" s="3" t="s">
        <v>58</v>
      </c>
      <c r="AQ208" s="3" t="s">
        <v>69</v>
      </c>
      <c r="AR208" s="6" t="str">
        <f>HYPERLINK("http://catalog.hathitrust.org/Record/000043518","HathiTrust Record")</f>
        <v>HathiTrust Record</v>
      </c>
      <c r="AS208" s="6" t="str">
        <f>HYPERLINK("https://creighton-primo.hosted.exlibrisgroup.com/primo-explore/search?tab=default_tab&amp;search_scope=EVERYTHING&amp;vid=01CRU&amp;lang=en_US&amp;offset=0&amp;query=any,contains,991003611359702656","Catalog Record")</f>
        <v>Catalog Record</v>
      </c>
      <c r="AT208" s="6" t="str">
        <f>HYPERLINK("http://www.worldcat.org/oclc/1194245","WorldCat Record")</f>
        <v>WorldCat Record</v>
      </c>
      <c r="AU208" s="3" t="s">
        <v>2794</v>
      </c>
      <c r="AV208" s="3" t="s">
        <v>2795</v>
      </c>
      <c r="AW208" s="3" t="s">
        <v>2796</v>
      </c>
      <c r="AX208" s="3" t="s">
        <v>2796</v>
      </c>
      <c r="AY208" s="3" t="s">
        <v>2797</v>
      </c>
      <c r="AZ208" s="3" t="s">
        <v>74</v>
      </c>
      <c r="BC208" s="3" t="s">
        <v>2798</v>
      </c>
      <c r="BD208" s="3" t="s">
        <v>2799</v>
      </c>
    </row>
    <row r="209" spans="1:56" ht="34.5" customHeight="1" x14ac:dyDescent="0.25">
      <c r="A209" s="7" t="s">
        <v>58</v>
      </c>
      <c r="B209" s="2" t="s">
        <v>2800</v>
      </c>
      <c r="C209" s="2" t="s">
        <v>2801</v>
      </c>
      <c r="D209" s="2" t="s">
        <v>2802</v>
      </c>
      <c r="F209" s="3" t="s">
        <v>58</v>
      </c>
      <c r="G209" s="3" t="s">
        <v>59</v>
      </c>
      <c r="H209" s="3" t="s">
        <v>58</v>
      </c>
      <c r="I209" s="3" t="s">
        <v>69</v>
      </c>
      <c r="J209" s="3" t="s">
        <v>60</v>
      </c>
      <c r="K209" s="2" t="s">
        <v>1454</v>
      </c>
      <c r="L209" s="2" t="s">
        <v>2803</v>
      </c>
      <c r="M209" s="3" t="s">
        <v>2804</v>
      </c>
      <c r="O209" s="3" t="s">
        <v>64</v>
      </c>
      <c r="P209" s="3" t="s">
        <v>65</v>
      </c>
      <c r="Q209" s="2" t="s">
        <v>2805</v>
      </c>
      <c r="R209" s="3" t="s">
        <v>66</v>
      </c>
      <c r="S209" s="4">
        <v>2</v>
      </c>
      <c r="T209" s="4">
        <v>2</v>
      </c>
      <c r="U209" s="5" t="s">
        <v>2806</v>
      </c>
      <c r="V209" s="5" t="s">
        <v>2806</v>
      </c>
      <c r="W209" s="5" t="s">
        <v>2661</v>
      </c>
      <c r="X209" s="5" t="s">
        <v>2661</v>
      </c>
      <c r="Y209" s="4">
        <v>491</v>
      </c>
      <c r="Z209" s="4">
        <v>402</v>
      </c>
      <c r="AA209" s="4">
        <v>908</v>
      </c>
      <c r="AB209" s="4">
        <v>6</v>
      </c>
      <c r="AC209" s="4">
        <v>9</v>
      </c>
      <c r="AD209" s="4">
        <v>15</v>
      </c>
      <c r="AE209" s="4">
        <v>42</v>
      </c>
      <c r="AF209" s="4">
        <v>7</v>
      </c>
      <c r="AG209" s="4">
        <v>17</v>
      </c>
      <c r="AH209" s="4">
        <v>2</v>
      </c>
      <c r="AI209" s="4">
        <v>8</v>
      </c>
      <c r="AJ209" s="4">
        <v>4</v>
      </c>
      <c r="AK209" s="4">
        <v>17</v>
      </c>
      <c r="AL209" s="4">
        <v>5</v>
      </c>
      <c r="AM209" s="4">
        <v>8</v>
      </c>
      <c r="AN209" s="4">
        <v>0</v>
      </c>
      <c r="AO209" s="4">
        <v>0</v>
      </c>
      <c r="AP209" s="3" t="s">
        <v>69</v>
      </c>
      <c r="AQ209" s="3" t="s">
        <v>58</v>
      </c>
      <c r="AR209" s="6" t="str">
        <f>HYPERLINK("http://catalog.hathitrust.org/Record/000647077","HathiTrust Record")</f>
        <v>HathiTrust Record</v>
      </c>
      <c r="AS209" s="6" t="str">
        <f>HYPERLINK("https://creighton-primo.hosted.exlibrisgroup.com/primo-explore/search?tab=default_tab&amp;search_scope=EVERYTHING&amp;vid=01CRU&amp;lang=en_US&amp;offset=0&amp;query=any,contains,991003056689702656","Catalog Record")</f>
        <v>Catalog Record</v>
      </c>
      <c r="AT209" s="6" t="str">
        <f>HYPERLINK("http://www.worldcat.org/oclc/614873","WorldCat Record")</f>
        <v>WorldCat Record</v>
      </c>
      <c r="AU209" s="3" t="s">
        <v>2807</v>
      </c>
      <c r="AV209" s="3" t="s">
        <v>2808</v>
      </c>
      <c r="AW209" s="3" t="s">
        <v>2809</v>
      </c>
      <c r="AX209" s="3" t="s">
        <v>2809</v>
      </c>
      <c r="AY209" s="3" t="s">
        <v>2810</v>
      </c>
      <c r="AZ209" s="3" t="s">
        <v>74</v>
      </c>
      <c r="BC209" s="3" t="s">
        <v>2811</v>
      </c>
      <c r="BD209" s="3" t="s">
        <v>2812</v>
      </c>
    </row>
    <row r="210" spans="1:56" ht="34.5" customHeight="1" x14ac:dyDescent="0.25">
      <c r="A210" s="7" t="s">
        <v>58</v>
      </c>
      <c r="B210" s="2" t="s">
        <v>2813</v>
      </c>
      <c r="C210" s="2" t="s">
        <v>2814</v>
      </c>
      <c r="D210" s="2" t="s">
        <v>2815</v>
      </c>
      <c r="F210" s="3" t="s">
        <v>58</v>
      </c>
      <c r="G210" s="3" t="s">
        <v>59</v>
      </c>
      <c r="H210" s="3" t="s">
        <v>58</v>
      </c>
      <c r="I210" s="3" t="s">
        <v>58</v>
      </c>
      <c r="J210" s="3" t="s">
        <v>60</v>
      </c>
      <c r="K210" s="2" t="s">
        <v>2816</v>
      </c>
      <c r="L210" s="2" t="s">
        <v>2817</v>
      </c>
      <c r="M210" s="3" t="s">
        <v>63</v>
      </c>
      <c r="O210" s="3" t="s">
        <v>64</v>
      </c>
      <c r="P210" s="3" t="s">
        <v>100</v>
      </c>
      <c r="R210" s="3" t="s">
        <v>66</v>
      </c>
      <c r="S210" s="4">
        <v>15</v>
      </c>
      <c r="T210" s="4">
        <v>15</v>
      </c>
      <c r="U210" s="5" t="s">
        <v>2806</v>
      </c>
      <c r="V210" s="5" t="s">
        <v>2806</v>
      </c>
      <c r="W210" s="5" t="s">
        <v>2818</v>
      </c>
      <c r="X210" s="5" t="s">
        <v>2818</v>
      </c>
      <c r="Y210" s="4">
        <v>900</v>
      </c>
      <c r="Z210" s="4">
        <v>735</v>
      </c>
      <c r="AA210" s="4">
        <v>742</v>
      </c>
      <c r="AB210" s="4">
        <v>5</v>
      </c>
      <c r="AC210" s="4">
        <v>5</v>
      </c>
      <c r="AD210" s="4">
        <v>30</v>
      </c>
      <c r="AE210" s="4">
        <v>30</v>
      </c>
      <c r="AF210" s="4">
        <v>11</v>
      </c>
      <c r="AG210" s="4">
        <v>11</v>
      </c>
      <c r="AH210" s="4">
        <v>7</v>
      </c>
      <c r="AI210" s="4">
        <v>7</v>
      </c>
      <c r="AJ210" s="4">
        <v>15</v>
      </c>
      <c r="AK210" s="4">
        <v>15</v>
      </c>
      <c r="AL210" s="4">
        <v>4</v>
      </c>
      <c r="AM210" s="4">
        <v>4</v>
      </c>
      <c r="AN210" s="4">
        <v>0</v>
      </c>
      <c r="AO210" s="4">
        <v>0</v>
      </c>
      <c r="AP210" s="3" t="s">
        <v>58</v>
      </c>
      <c r="AQ210" s="3" t="s">
        <v>69</v>
      </c>
      <c r="AR210" s="6" t="str">
        <f>HYPERLINK("http://catalog.hathitrust.org/Record/000606765","HathiTrust Record")</f>
        <v>HathiTrust Record</v>
      </c>
      <c r="AS210" s="6" t="str">
        <f>HYPERLINK("https://creighton-primo.hosted.exlibrisgroup.com/primo-explore/search?tab=default_tab&amp;search_scope=EVERYTHING&amp;vid=01CRU&amp;lang=en_US&amp;offset=0&amp;query=any,contains,991000454909702656","Catalog Record")</f>
        <v>Catalog Record</v>
      </c>
      <c r="AT210" s="6" t="str">
        <f>HYPERLINK("http://www.worldcat.org/oclc/77772","WorldCat Record")</f>
        <v>WorldCat Record</v>
      </c>
      <c r="AU210" s="3" t="s">
        <v>2819</v>
      </c>
      <c r="AV210" s="3" t="s">
        <v>2820</v>
      </c>
      <c r="AW210" s="3" t="s">
        <v>2821</v>
      </c>
      <c r="AX210" s="3" t="s">
        <v>2821</v>
      </c>
      <c r="AY210" s="3" t="s">
        <v>2822</v>
      </c>
      <c r="AZ210" s="3" t="s">
        <v>74</v>
      </c>
      <c r="BB210" s="3" t="s">
        <v>2823</v>
      </c>
      <c r="BC210" s="3" t="s">
        <v>2824</v>
      </c>
      <c r="BD210" s="3" t="s">
        <v>2825</v>
      </c>
    </row>
    <row r="211" spans="1:56" ht="34.5" customHeight="1" x14ac:dyDescent="0.25">
      <c r="A211" s="7" t="s">
        <v>58</v>
      </c>
      <c r="B211" s="2" t="s">
        <v>2826</v>
      </c>
      <c r="C211" s="2" t="s">
        <v>2827</v>
      </c>
      <c r="D211" s="2" t="s">
        <v>2828</v>
      </c>
      <c r="F211" s="3" t="s">
        <v>58</v>
      </c>
      <c r="G211" s="3" t="s">
        <v>59</v>
      </c>
      <c r="H211" s="3" t="s">
        <v>58</v>
      </c>
      <c r="I211" s="3" t="s">
        <v>58</v>
      </c>
      <c r="J211" s="3" t="s">
        <v>60</v>
      </c>
      <c r="K211" s="2" t="s">
        <v>2829</v>
      </c>
      <c r="L211" s="2" t="s">
        <v>2830</v>
      </c>
      <c r="M211" s="3" t="s">
        <v>162</v>
      </c>
      <c r="O211" s="3" t="s">
        <v>64</v>
      </c>
      <c r="P211" s="3" t="s">
        <v>65</v>
      </c>
      <c r="R211" s="3" t="s">
        <v>66</v>
      </c>
      <c r="S211" s="4">
        <v>2</v>
      </c>
      <c r="T211" s="4">
        <v>2</v>
      </c>
      <c r="U211" s="5" t="s">
        <v>2831</v>
      </c>
      <c r="V211" s="5" t="s">
        <v>2831</v>
      </c>
      <c r="W211" s="5" t="s">
        <v>754</v>
      </c>
      <c r="X211" s="5" t="s">
        <v>754</v>
      </c>
      <c r="Y211" s="4">
        <v>305</v>
      </c>
      <c r="Z211" s="4">
        <v>258</v>
      </c>
      <c r="AA211" s="4">
        <v>267</v>
      </c>
      <c r="AB211" s="4">
        <v>3</v>
      </c>
      <c r="AC211" s="4">
        <v>3</v>
      </c>
      <c r="AD211" s="4">
        <v>5</v>
      </c>
      <c r="AE211" s="4">
        <v>5</v>
      </c>
      <c r="AF211" s="4">
        <v>3</v>
      </c>
      <c r="AG211" s="4">
        <v>3</v>
      </c>
      <c r="AH211" s="4">
        <v>1</v>
      </c>
      <c r="AI211" s="4">
        <v>1</v>
      </c>
      <c r="AJ211" s="4">
        <v>0</v>
      </c>
      <c r="AK211" s="4">
        <v>0</v>
      </c>
      <c r="AL211" s="4">
        <v>2</v>
      </c>
      <c r="AM211" s="4">
        <v>2</v>
      </c>
      <c r="AN211" s="4">
        <v>0</v>
      </c>
      <c r="AO211" s="4">
        <v>0</v>
      </c>
      <c r="AP211" s="3" t="s">
        <v>58</v>
      </c>
      <c r="AQ211" s="3" t="s">
        <v>69</v>
      </c>
      <c r="AR211" s="6" t="str">
        <f>HYPERLINK("http://catalog.hathitrust.org/Record/000361675","HathiTrust Record")</f>
        <v>HathiTrust Record</v>
      </c>
      <c r="AS211" s="6" t="str">
        <f>HYPERLINK("https://creighton-primo.hosted.exlibrisgroup.com/primo-explore/search?tab=default_tab&amp;search_scope=EVERYTHING&amp;vid=01CRU&amp;lang=en_US&amp;offset=0&amp;query=any,contains,991000483169702656","Catalog Record")</f>
        <v>Catalog Record</v>
      </c>
      <c r="AT211" s="6" t="str">
        <f>HYPERLINK("http://www.worldcat.org/oclc/11067149","WorldCat Record")</f>
        <v>WorldCat Record</v>
      </c>
      <c r="AU211" s="3" t="s">
        <v>2832</v>
      </c>
      <c r="AV211" s="3" t="s">
        <v>2833</v>
      </c>
      <c r="AW211" s="3" t="s">
        <v>2834</v>
      </c>
      <c r="AX211" s="3" t="s">
        <v>2834</v>
      </c>
      <c r="AY211" s="3" t="s">
        <v>2835</v>
      </c>
      <c r="AZ211" s="3" t="s">
        <v>74</v>
      </c>
      <c r="BC211" s="3" t="s">
        <v>2836</v>
      </c>
      <c r="BD211" s="3" t="s">
        <v>2837</v>
      </c>
    </row>
    <row r="212" spans="1:56" ht="34.5" customHeight="1" x14ac:dyDescent="0.25">
      <c r="A212" s="7" t="s">
        <v>58</v>
      </c>
      <c r="B212" s="2" t="s">
        <v>2838</v>
      </c>
      <c r="C212" s="2" t="s">
        <v>2839</v>
      </c>
      <c r="D212" s="2" t="s">
        <v>2840</v>
      </c>
      <c r="F212" s="3" t="s">
        <v>58</v>
      </c>
      <c r="G212" s="3" t="s">
        <v>59</v>
      </c>
      <c r="H212" s="3" t="s">
        <v>58</v>
      </c>
      <c r="I212" s="3" t="s">
        <v>58</v>
      </c>
      <c r="J212" s="3" t="s">
        <v>60</v>
      </c>
      <c r="K212" s="2" t="s">
        <v>2841</v>
      </c>
      <c r="L212" s="2" t="s">
        <v>2842</v>
      </c>
      <c r="M212" s="3" t="s">
        <v>99</v>
      </c>
      <c r="O212" s="3" t="s">
        <v>64</v>
      </c>
      <c r="P212" s="3" t="s">
        <v>65</v>
      </c>
      <c r="R212" s="3" t="s">
        <v>66</v>
      </c>
      <c r="S212" s="4">
        <v>4</v>
      </c>
      <c r="T212" s="4">
        <v>4</v>
      </c>
      <c r="U212" s="5" t="s">
        <v>2843</v>
      </c>
      <c r="V212" s="5" t="s">
        <v>2843</v>
      </c>
      <c r="W212" s="5" t="s">
        <v>754</v>
      </c>
      <c r="X212" s="5" t="s">
        <v>754</v>
      </c>
      <c r="Y212" s="4">
        <v>489</v>
      </c>
      <c r="Z212" s="4">
        <v>429</v>
      </c>
      <c r="AA212" s="4">
        <v>473</v>
      </c>
      <c r="AB212" s="4">
        <v>2</v>
      </c>
      <c r="AC212" s="4">
        <v>2</v>
      </c>
      <c r="AD212" s="4">
        <v>11</v>
      </c>
      <c r="AE212" s="4">
        <v>12</v>
      </c>
      <c r="AF212" s="4">
        <v>5</v>
      </c>
      <c r="AG212" s="4">
        <v>5</v>
      </c>
      <c r="AH212" s="4">
        <v>0</v>
      </c>
      <c r="AI212" s="4">
        <v>1</v>
      </c>
      <c r="AJ212" s="4">
        <v>7</v>
      </c>
      <c r="AK212" s="4">
        <v>8</v>
      </c>
      <c r="AL212" s="4">
        <v>1</v>
      </c>
      <c r="AM212" s="4">
        <v>1</v>
      </c>
      <c r="AN212" s="4">
        <v>0</v>
      </c>
      <c r="AO212" s="4">
        <v>0</v>
      </c>
      <c r="AP212" s="3" t="s">
        <v>58</v>
      </c>
      <c r="AQ212" s="3" t="s">
        <v>69</v>
      </c>
      <c r="AR212" s="6" t="str">
        <f>HYPERLINK("http://catalog.hathitrust.org/Record/000227568","HathiTrust Record")</f>
        <v>HathiTrust Record</v>
      </c>
      <c r="AS212" s="6" t="str">
        <f>HYPERLINK("https://creighton-primo.hosted.exlibrisgroup.com/primo-explore/search?tab=default_tab&amp;search_scope=EVERYTHING&amp;vid=01CRU&amp;lang=en_US&amp;offset=0&amp;query=any,contains,991004741309702656","Catalog Record")</f>
        <v>Catalog Record</v>
      </c>
      <c r="AT212" s="6" t="str">
        <f>HYPERLINK("http://www.worldcat.org/oclc/4883751","WorldCat Record")</f>
        <v>WorldCat Record</v>
      </c>
      <c r="AU212" s="3" t="s">
        <v>2844</v>
      </c>
      <c r="AV212" s="3" t="s">
        <v>2845</v>
      </c>
      <c r="AW212" s="3" t="s">
        <v>2846</v>
      </c>
      <c r="AX212" s="3" t="s">
        <v>2846</v>
      </c>
      <c r="AY212" s="3" t="s">
        <v>2847</v>
      </c>
      <c r="AZ212" s="3" t="s">
        <v>74</v>
      </c>
      <c r="BB212" s="3" t="s">
        <v>2848</v>
      </c>
      <c r="BC212" s="3" t="s">
        <v>2849</v>
      </c>
      <c r="BD212" s="3" t="s">
        <v>2850</v>
      </c>
    </row>
    <row r="213" spans="1:56" ht="34.5" customHeight="1" x14ac:dyDescent="0.25">
      <c r="A213" s="7" t="s">
        <v>58</v>
      </c>
      <c r="B213" s="2" t="s">
        <v>2851</v>
      </c>
      <c r="C213" s="2" t="s">
        <v>2852</v>
      </c>
      <c r="D213" s="2" t="s">
        <v>2853</v>
      </c>
      <c r="F213" s="3" t="s">
        <v>58</v>
      </c>
      <c r="G213" s="3" t="s">
        <v>59</v>
      </c>
      <c r="H213" s="3" t="s">
        <v>58</v>
      </c>
      <c r="I213" s="3" t="s">
        <v>58</v>
      </c>
      <c r="J213" s="3" t="s">
        <v>60</v>
      </c>
      <c r="K213" s="2" t="s">
        <v>2854</v>
      </c>
      <c r="L213" s="2" t="s">
        <v>2855</v>
      </c>
      <c r="M213" s="3" t="s">
        <v>192</v>
      </c>
      <c r="O213" s="3" t="s">
        <v>64</v>
      </c>
      <c r="P213" s="3" t="s">
        <v>84</v>
      </c>
      <c r="R213" s="3" t="s">
        <v>66</v>
      </c>
      <c r="S213" s="4">
        <v>2</v>
      </c>
      <c r="T213" s="4">
        <v>2</v>
      </c>
      <c r="U213" s="5" t="s">
        <v>452</v>
      </c>
      <c r="V213" s="5" t="s">
        <v>452</v>
      </c>
      <c r="W213" s="5" t="s">
        <v>2856</v>
      </c>
      <c r="X213" s="5" t="s">
        <v>2856</v>
      </c>
      <c r="Y213" s="4">
        <v>247</v>
      </c>
      <c r="Z213" s="4">
        <v>67</v>
      </c>
      <c r="AA213" s="4">
        <v>788</v>
      </c>
      <c r="AB213" s="4">
        <v>1</v>
      </c>
      <c r="AC213" s="4">
        <v>7</v>
      </c>
      <c r="AD213" s="4">
        <v>2</v>
      </c>
      <c r="AE213" s="4">
        <v>40</v>
      </c>
      <c r="AF213" s="4">
        <v>0</v>
      </c>
      <c r="AG213" s="4">
        <v>16</v>
      </c>
      <c r="AH213" s="4">
        <v>0</v>
      </c>
      <c r="AI213" s="4">
        <v>9</v>
      </c>
      <c r="AJ213" s="4">
        <v>2</v>
      </c>
      <c r="AK213" s="4">
        <v>19</v>
      </c>
      <c r="AL213" s="4">
        <v>0</v>
      </c>
      <c r="AM213" s="4">
        <v>6</v>
      </c>
      <c r="AN213" s="4">
        <v>0</v>
      </c>
      <c r="AO213" s="4">
        <v>0</v>
      </c>
      <c r="AP213" s="3" t="s">
        <v>58</v>
      </c>
      <c r="AQ213" s="3" t="s">
        <v>58</v>
      </c>
      <c r="AS213" s="6" t="str">
        <f>HYPERLINK("https://creighton-primo.hosted.exlibrisgroup.com/primo-explore/search?tab=default_tab&amp;search_scope=EVERYTHING&amp;vid=01CRU&amp;lang=en_US&amp;offset=0&amp;query=any,contains,991004227679702656","Catalog Record")</f>
        <v>Catalog Record</v>
      </c>
      <c r="AT213" s="6" t="str">
        <f>HYPERLINK("http://www.worldcat.org/oclc/2736220","WorldCat Record")</f>
        <v>WorldCat Record</v>
      </c>
      <c r="AU213" s="3" t="s">
        <v>2857</v>
      </c>
      <c r="AV213" s="3" t="s">
        <v>2858</v>
      </c>
      <c r="AW213" s="3" t="s">
        <v>2859</v>
      </c>
      <c r="AX213" s="3" t="s">
        <v>2859</v>
      </c>
      <c r="AY213" s="3" t="s">
        <v>2860</v>
      </c>
      <c r="AZ213" s="3" t="s">
        <v>74</v>
      </c>
      <c r="BB213" s="3" t="s">
        <v>2861</v>
      </c>
      <c r="BC213" s="3" t="s">
        <v>2862</v>
      </c>
      <c r="BD213" s="3" t="s">
        <v>2863</v>
      </c>
    </row>
    <row r="214" spans="1:56" ht="34.5" customHeight="1" x14ac:dyDescent="0.25">
      <c r="A214" s="7" t="s">
        <v>58</v>
      </c>
      <c r="B214" s="2" t="s">
        <v>2864</v>
      </c>
      <c r="C214" s="2" t="s">
        <v>2865</v>
      </c>
      <c r="D214" s="2" t="s">
        <v>2866</v>
      </c>
      <c r="F214" s="3" t="s">
        <v>58</v>
      </c>
      <c r="G214" s="3" t="s">
        <v>59</v>
      </c>
      <c r="H214" s="3" t="s">
        <v>58</v>
      </c>
      <c r="I214" s="3" t="s">
        <v>58</v>
      </c>
      <c r="J214" s="3" t="s">
        <v>60</v>
      </c>
      <c r="K214" s="2" t="s">
        <v>2867</v>
      </c>
      <c r="L214" s="2" t="s">
        <v>2868</v>
      </c>
      <c r="M214" s="3" t="s">
        <v>886</v>
      </c>
      <c r="O214" s="3" t="s">
        <v>64</v>
      </c>
      <c r="P214" s="3" t="s">
        <v>65</v>
      </c>
      <c r="R214" s="3" t="s">
        <v>66</v>
      </c>
      <c r="S214" s="4">
        <v>5</v>
      </c>
      <c r="T214" s="4">
        <v>5</v>
      </c>
      <c r="U214" s="5" t="s">
        <v>2869</v>
      </c>
      <c r="V214" s="5" t="s">
        <v>2869</v>
      </c>
      <c r="W214" s="5" t="s">
        <v>1193</v>
      </c>
      <c r="X214" s="5" t="s">
        <v>1193</v>
      </c>
      <c r="Y214" s="4">
        <v>1506</v>
      </c>
      <c r="Z214" s="4">
        <v>1408</v>
      </c>
      <c r="AA214" s="4">
        <v>1420</v>
      </c>
      <c r="AB214" s="4">
        <v>8</v>
      </c>
      <c r="AC214" s="4">
        <v>8</v>
      </c>
      <c r="AD214" s="4">
        <v>46</v>
      </c>
      <c r="AE214" s="4">
        <v>46</v>
      </c>
      <c r="AF214" s="4">
        <v>21</v>
      </c>
      <c r="AG214" s="4">
        <v>21</v>
      </c>
      <c r="AH214" s="4">
        <v>9</v>
      </c>
      <c r="AI214" s="4">
        <v>9</v>
      </c>
      <c r="AJ214" s="4">
        <v>21</v>
      </c>
      <c r="AK214" s="4">
        <v>21</v>
      </c>
      <c r="AL214" s="4">
        <v>6</v>
      </c>
      <c r="AM214" s="4">
        <v>6</v>
      </c>
      <c r="AN214" s="4">
        <v>0</v>
      </c>
      <c r="AO214" s="4">
        <v>0</v>
      </c>
      <c r="AP214" s="3" t="s">
        <v>58</v>
      </c>
      <c r="AQ214" s="3" t="s">
        <v>58</v>
      </c>
      <c r="AR214" s="6" t="str">
        <f>HYPERLINK("http://catalog.hathitrust.org/Record/000607531","HathiTrust Record")</f>
        <v>HathiTrust Record</v>
      </c>
      <c r="AS214" s="6" t="str">
        <f>HYPERLINK("https://creighton-primo.hosted.exlibrisgroup.com/primo-explore/search?tab=default_tab&amp;search_scope=EVERYTHING&amp;vid=01CRU&amp;lang=en_US&amp;offset=0&amp;query=any,contains,991001563789702656","Catalog Record")</f>
        <v>Catalog Record</v>
      </c>
      <c r="AT214" s="6" t="str">
        <f>HYPERLINK("http://www.worldcat.org/oclc/232708","WorldCat Record")</f>
        <v>WorldCat Record</v>
      </c>
      <c r="AU214" s="3" t="s">
        <v>2870</v>
      </c>
      <c r="AV214" s="3" t="s">
        <v>2871</v>
      </c>
      <c r="AW214" s="3" t="s">
        <v>2872</v>
      </c>
      <c r="AX214" s="3" t="s">
        <v>2872</v>
      </c>
      <c r="AY214" s="3" t="s">
        <v>2873</v>
      </c>
      <c r="AZ214" s="3" t="s">
        <v>74</v>
      </c>
      <c r="BC214" s="3" t="s">
        <v>2874</v>
      </c>
      <c r="BD214" s="3" t="s">
        <v>2875</v>
      </c>
    </row>
    <row r="215" spans="1:56" ht="34.5" customHeight="1" x14ac:dyDescent="0.25">
      <c r="A215" s="7" t="s">
        <v>58</v>
      </c>
      <c r="B215" s="2" t="s">
        <v>2876</v>
      </c>
      <c r="C215" s="2" t="s">
        <v>2877</v>
      </c>
      <c r="D215" s="2" t="s">
        <v>2878</v>
      </c>
      <c r="F215" s="3" t="s">
        <v>58</v>
      </c>
      <c r="G215" s="3" t="s">
        <v>59</v>
      </c>
      <c r="H215" s="3" t="s">
        <v>58</v>
      </c>
      <c r="I215" s="3" t="s">
        <v>58</v>
      </c>
      <c r="J215" s="3" t="s">
        <v>60</v>
      </c>
      <c r="K215" s="2" t="s">
        <v>2879</v>
      </c>
      <c r="L215" s="2" t="s">
        <v>2880</v>
      </c>
      <c r="M215" s="3" t="s">
        <v>354</v>
      </c>
      <c r="O215" s="3" t="s">
        <v>64</v>
      </c>
      <c r="P215" s="3" t="s">
        <v>65</v>
      </c>
      <c r="R215" s="3" t="s">
        <v>66</v>
      </c>
      <c r="S215" s="4">
        <v>4</v>
      </c>
      <c r="T215" s="4">
        <v>4</v>
      </c>
      <c r="U215" s="5" t="s">
        <v>2881</v>
      </c>
      <c r="V215" s="5" t="s">
        <v>2881</v>
      </c>
      <c r="W215" s="5" t="s">
        <v>2882</v>
      </c>
      <c r="X215" s="5" t="s">
        <v>2882</v>
      </c>
      <c r="Y215" s="4">
        <v>692</v>
      </c>
      <c r="Z215" s="4">
        <v>597</v>
      </c>
      <c r="AA215" s="4">
        <v>605</v>
      </c>
      <c r="AB215" s="4">
        <v>3</v>
      </c>
      <c r="AC215" s="4">
        <v>3</v>
      </c>
      <c r="AD215" s="4">
        <v>21</v>
      </c>
      <c r="AE215" s="4">
        <v>21</v>
      </c>
      <c r="AF215" s="4">
        <v>8</v>
      </c>
      <c r="AG215" s="4">
        <v>8</v>
      </c>
      <c r="AH215" s="4">
        <v>6</v>
      </c>
      <c r="AI215" s="4">
        <v>6</v>
      </c>
      <c r="AJ215" s="4">
        <v>8</v>
      </c>
      <c r="AK215" s="4">
        <v>8</v>
      </c>
      <c r="AL215" s="4">
        <v>2</v>
      </c>
      <c r="AM215" s="4">
        <v>2</v>
      </c>
      <c r="AN215" s="4">
        <v>0</v>
      </c>
      <c r="AO215" s="4">
        <v>0</v>
      </c>
      <c r="AP215" s="3" t="s">
        <v>58</v>
      </c>
      <c r="AQ215" s="3" t="s">
        <v>58</v>
      </c>
      <c r="AR215" s="6" t="str">
        <f>HYPERLINK("http://catalog.hathitrust.org/Record/000452127","HathiTrust Record")</f>
        <v>HathiTrust Record</v>
      </c>
      <c r="AS215" s="6" t="str">
        <f>HYPERLINK("https://creighton-primo.hosted.exlibrisgroup.com/primo-explore/search?tab=default_tab&amp;search_scope=EVERYTHING&amp;vid=01CRU&amp;lang=en_US&amp;offset=0&amp;query=any,contains,991002894449702656","Catalog Record")</f>
        <v>Catalog Record</v>
      </c>
      <c r="AT215" s="6" t="str">
        <f>HYPERLINK("http://www.worldcat.org/oclc/513283","WorldCat Record")</f>
        <v>WorldCat Record</v>
      </c>
      <c r="AU215" s="3" t="s">
        <v>2883</v>
      </c>
      <c r="AV215" s="3" t="s">
        <v>2884</v>
      </c>
      <c r="AW215" s="3" t="s">
        <v>2885</v>
      </c>
      <c r="AX215" s="3" t="s">
        <v>2885</v>
      </c>
      <c r="AY215" s="3" t="s">
        <v>2886</v>
      </c>
      <c r="AZ215" s="3" t="s">
        <v>74</v>
      </c>
      <c r="BC215" s="3" t="s">
        <v>2887</v>
      </c>
      <c r="BD215" s="3" t="s">
        <v>2888</v>
      </c>
    </row>
    <row r="216" spans="1:56" ht="34.5" customHeight="1" x14ac:dyDescent="0.25">
      <c r="A216" s="7" t="s">
        <v>58</v>
      </c>
      <c r="B216" s="2" t="s">
        <v>2889</v>
      </c>
      <c r="C216" s="2" t="s">
        <v>2890</v>
      </c>
      <c r="D216" s="2" t="s">
        <v>2891</v>
      </c>
      <c r="F216" s="3" t="s">
        <v>58</v>
      </c>
      <c r="G216" s="3" t="s">
        <v>59</v>
      </c>
      <c r="H216" s="3" t="s">
        <v>58</v>
      </c>
      <c r="I216" s="3" t="s">
        <v>58</v>
      </c>
      <c r="J216" s="3" t="s">
        <v>60</v>
      </c>
      <c r="L216" s="2" t="s">
        <v>2892</v>
      </c>
      <c r="M216" s="3" t="s">
        <v>382</v>
      </c>
      <c r="O216" s="3" t="s">
        <v>64</v>
      </c>
      <c r="P216" s="3" t="s">
        <v>210</v>
      </c>
      <c r="Q216" s="2" t="s">
        <v>2893</v>
      </c>
      <c r="R216" s="3" t="s">
        <v>66</v>
      </c>
      <c r="S216" s="4">
        <v>4</v>
      </c>
      <c r="T216" s="4">
        <v>4</v>
      </c>
      <c r="U216" s="5" t="s">
        <v>2894</v>
      </c>
      <c r="V216" s="5" t="s">
        <v>2894</v>
      </c>
      <c r="W216" s="5" t="s">
        <v>102</v>
      </c>
      <c r="X216" s="5" t="s">
        <v>102</v>
      </c>
      <c r="Y216" s="4">
        <v>728</v>
      </c>
      <c r="Z216" s="4">
        <v>672</v>
      </c>
      <c r="AA216" s="4">
        <v>715</v>
      </c>
      <c r="AB216" s="4">
        <v>6</v>
      </c>
      <c r="AC216" s="4">
        <v>7</v>
      </c>
      <c r="AD216" s="4">
        <v>11</v>
      </c>
      <c r="AE216" s="4">
        <v>11</v>
      </c>
      <c r="AF216" s="4">
        <v>3</v>
      </c>
      <c r="AG216" s="4">
        <v>3</v>
      </c>
      <c r="AH216" s="4">
        <v>2</v>
      </c>
      <c r="AI216" s="4">
        <v>2</v>
      </c>
      <c r="AJ216" s="4">
        <v>6</v>
      </c>
      <c r="AK216" s="4">
        <v>6</v>
      </c>
      <c r="AL216" s="4">
        <v>1</v>
      </c>
      <c r="AM216" s="4">
        <v>1</v>
      </c>
      <c r="AN216" s="4">
        <v>0</v>
      </c>
      <c r="AO216" s="4">
        <v>0</v>
      </c>
      <c r="AP216" s="3" t="s">
        <v>58</v>
      </c>
      <c r="AQ216" s="3" t="s">
        <v>69</v>
      </c>
      <c r="AR216" s="6" t="str">
        <f>HYPERLINK("http://catalog.hathitrust.org/Record/000821254","HathiTrust Record")</f>
        <v>HathiTrust Record</v>
      </c>
      <c r="AS216" s="6" t="str">
        <f>HYPERLINK("https://creighton-primo.hosted.exlibrisgroup.com/primo-explore/search?tab=default_tab&amp;search_scope=EVERYTHING&amp;vid=01CRU&amp;lang=en_US&amp;offset=0&amp;query=any,contains,991000926519702656","Catalog Record")</f>
        <v>Catalog Record</v>
      </c>
      <c r="AT216" s="6" t="str">
        <f>HYPERLINK("http://www.worldcat.org/oclc/14240611","WorldCat Record")</f>
        <v>WorldCat Record</v>
      </c>
      <c r="AU216" s="3" t="s">
        <v>2895</v>
      </c>
      <c r="AV216" s="3" t="s">
        <v>2896</v>
      </c>
      <c r="AW216" s="3" t="s">
        <v>2897</v>
      </c>
      <c r="AX216" s="3" t="s">
        <v>2897</v>
      </c>
      <c r="AY216" s="3" t="s">
        <v>2898</v>
      </c>
      <c r="AZ216" s="3" t="s">
        <v>74</v>
      </c>
      <c r="BB216" s="3" t="s">
        <v>2899</v>
      </c>
      <c r="BC216" s="3" t="s">
        <v>2900</v>
      </c>
      <c r="BD216" s="3" t="s">
        <v>2901</v>
      </c>
    </row>
    <row r="217" spans="1:56" ht="34.5" customHeight="1" x14ac:dyDescent="0.25">
      <c r="A217" s="7" t="s">
        <v>58</v>
      </c>
      <c r="B217" s="2" t="s">
        <v>2902</v>
      </c>
      <c r="C217" s="2" t="s">
        <v>2903</v>
      </c>
      <c r="D217" s="2" t="s">
        <v>2904</v>
      </c>
      <c r="F217" s="3" t="s">
        <v>58</v>
      </c>
      <c r="G217" s="3" t="s">
        <v>59</v>
      </c>
      <c r="H217" s="3" t="s">
        <v>58</v>
      </c>
      <c r="I217" s="3" t="s">
        <v>58</v>
      </c>
      <c r="J217" s="3" t="s">
        <v>60</v>
      </c>
      <c r="K217" s="2" t="s">
        <v>2905</v>
      </c>
      <c r="L217" s="2" t="s">
        <v>2906</v>
      </c>
      <c r="M217" s="3" t="s">
        <v>1506</v>
      </c>
      <c r="N217" s="2" t="s">
        <v>1317</v>
      </c>
      <c r="O217" s="3" t="s">
        <v>64</v>
      </c>
      <c r="P217" s="3" t="s">
        <v>65</v>
      </c>
      <c r="R217" s="3" t="s">
        <v>66</v>
      </c>
      <c r="S217" s="4">
        <v>11</v>
      </c>
      <c r="T217" s="4">
        <v>11</v>
      </c>
      <c r="U217" s="5" t="s">
        <v>2769</v>
      </c>
      <c r="V217" s="5" t="s">
        <v>2769</v>
      </c>
      <c r="W217" s="5" t="s">
        <v>2907</v>
      </c>
      <c r="X217" s="5" t="s">
        <v>2907</v>
      </c>
      <c r="Y217" s="4">
        <v>730</v>
      </c>
      <c r="Z217" s="4">
        <v>647</v>
      </c>
      <c r="AA217" s="4">
        <v>965</v>
      </c>
      <c r="AB217" s="4">
        <v>3</v>
      </c>
      <c r="AC217" s="4">
        <v>5</v>
      </c>
      <c r="AD217" s="4">
        <v>15</v>
      </c>
      <c r="AE217" s="4">
        <v>30</v>
      </c>
      <c r="AF217" s="4">
        <v>5</v>
      </c>
      <c r="AG217" s="4">
        <v>14</v>
      </c>
      <c r="AH217" s="4">
        <v>3</v>
      </c>
      <c r="AI217" s="4">
        <v>3</v>
      </c>
      <c r="AJ217" s="4">
        <v>10</v>
      </c>
      <c r="AK217" s="4">
        <v>17</v>
      </c>
      <c r="AL217" s="4">
        <v>2</v>
      </c>
      <c r="AM217" s="4">
        <v>4</v>
      </c>
      <c r="AN217" s="4">
        <v>0</v>
      </c>
      <c r="AO217" s="4">
        <v>0</v>
      </c>
      <c r="AP217" s="3" t="s">
        <v>58</v>
      </c>
      <c r="AQ217" s="3" t="s">
        <v>69</v>
      </c>
      <c r="AR217" s="6" t="str">
        <f>HYPERLINK("http://catalog.hathitrust.org/Record/000135476","HathiTrust Record")</f>
        <v>HathiTrust Record</v>
      </c>
      <c r="AS217" s="6" t="str">
        <f>HYPERLINK("https://creighton-primo.hosted.exlibrisgroup.com/primo-explore/search?tab=default_tab&amp;search_scope=EVERYTHING&amp;vid=01CRU&amp;lang=en_US&amp;offset=0&amp;query=any,contains,991004528639702656","Catalog Record")</f>
        <v>Catalog Record</v>
      </c>
      <c r="AT217" s="6" t="str">
        <f>HYPERLINK("http://www.worldcat.org/oclc/3844402","WorldCat Record")</f>
        <v>WorldCat Record</v>
      </c>
      <c r="AU217" s="3" t="s">
        <v>2908</v>
      </c>
      <c r="AV217" s="3" t="s">
        <v>2909</v>
      </c>
      <c r="AW217" s="3" t="s">
        <v>2910</v>
      </c>
      <c r="AX217" s="3" t="s">
        <v>2910</v>
      </c>
      <c r="AY217" s="3" t="s">
        <v>2911</v>
      </c>
      <c r="AZ217" s="3" t="s">
        <v>74</v>
      </c>
      <c r="BB217" s="3" t="s">
        <v>2912</v>
      </c>
      <c r="BC217" s="3" t="s">
        <v>2913</v>
      </c>
      <c r="BD217" s="3" t="s">
        <v>2914</v>
      </c>
    </row>
    <row r="218" spans="1:56" ht="34.5" customHeight="1" x14ac:dyDescent="0.25">
      <c r="A218" s="7" t="s">
        <v>58</v>
      </c>
      <c r="B218" s="2" t="s">
        <v>2915</v>
      </c>
      <c r="C218" s="2" t="s">
        <v>2916</v>
      </c>
      <c r="D218" s="2" t="s">
        <v>2917</v>
      </c>
      <c r="F218" s="3" t="s">
        <v>58</v>
      </c>
      <c r="G218" s="3" t="s">
        <v>59</v>
      </c>
      <c r="H218" s="3" t="s">
        <v>58</v>
      </c>
      <c r="I218" s="3" t="s">
        <v>58</v>
      </c>
      <c r="J218" s="3" t="s">
        <v>60</v>
      </c>
      <c r="L218" s="2" t="s">
        <v>2918</v>
      </c>
      <c r="M218" s="3" t="s">
        <v>209</v>
      </c>
      <c r="O218" s="3" t="s">
        <v>64</v>
      </c>
      <c r="P218" s="3" t="s">
        <v>210</v>
      </c>
      <c r="Q218" s="2" t="s">
        <v>2893</v>
      </c>
      <c r="R218" s="3" t="s">
        <v>66</v>
      </c>
      <c r="S218" s="4">
        <v>2</v>
      </c>
      <c r="T218" s="4">
        <v>2</v>
      </c>
      <c r="U218" s="5" t="s">
        <v>2769</v>
      </c>
      <c r="V218" s="5" t="s">
        <v>2769</v>
      </c>
      <c r="W218" s="5" t="s">
        <v>2919</v>
      </c>
      <c r="X218" s="5" t="s">
        <v>2919</v>
      </c>
      <c r="Y218" s="4">
        <v>662</v>
      </c>
      <c r="Z218" s="4">
        <v>603</v>
      </c>
      <c r="AA218" s="4">
        <v>609</v>
      </c>
      <c r="AB218" s="4">
        <v>6</v>
      </c>
      <c r="AC218" s="4">
        <v>6</v>
      </c>
      <c r="AD218" s="4">
        <v>10</v>
      </c>
      <c r="AE218" s="4">
        <v>10</v>
      </c>
      <c r="AF218" s="4">
        <v>3</v>
      </c>
      <c r="AG218" s="4">
        <v>3</v>
      </c>
      <c r="AH218" s="4">
        <v>1</v>
      </c>
      <c r="AI218" s="4">
        <v>1</v>
      </c>
      <c r="AJ218" s="4">
        <v>6</v>
      </c>
      <c r="AK218" s="4">
        <v>6</v>
      </c>
      <c r="AL218" s="4">
        <v>2</v>
      </c>
      <c r="AM218" s="4">
        <v>2</v>
      </c>
      <c r="AN218" s="4">
        <v>0</v>
      </c>
      <c r="AO218" s="4">
        <v>0</v>
      </c>
      <c r="AP218" s="3" t="s">
        <v>58</v>
      </c>
      <c r="AQ218" s="3" t="s">
        <v>69</v>
      </c>
      <c r="AR218" s="6" t="str">
        <f>HYPERLINK("http://catalog.hathitrust.org/Record/000562987","HathiTrust Record")</f>
        <v>HathiTrust Record</v>
      </c>
      <c r="AS218" s="6" t="str">
        <f>HYPERLINK("https://creighton-primo.hosted.exlibrisgroup.com/primo-explore/search?tab=default_tab&amp;search_scope=EVERYTHING&amp;vid=01CRU&amp;lang=en_US&amp;offset=0&amp;query=any,contains,991000549529702656","Catalog Record")</f>
        <v>Catalog Record</v>
      </c>
      <c r="AT218" s="6" t="str">
        <f>HYPERLINK("http://www.worldcat.org/oclc/11532310","WorldCat Record")</f>
        <v>WorldCat Record</v>
      </c>
      <c r="AU218" s="3" t="s">
        <v>2920</v>
      </c>
      <c r="AV218" s="3" t="s">
        <v>2921</v>
      </c>
      <c r="AW218" s="3" t="s">
        <v>2922</v>
      </c>
      <c r="AX218" s="3" t="s">
        <v>2922</v>
      </c>
      <c r="AY218" s="3" t="s">
        <v>2923</v>
      </c>
      <c r="AZ218" s="3" t="s">
        <v>74</v>
      </c>
      <c r="BB218" s="3" t="s">
        <v>2924</v>
      </c>
      <c r="BC218" s="3" t="s">
        <v>2925</v>
      </c>
      <c r="BD218" s="3" t="s">
        <v>2926</v>
      </c>
    </row>
    <row r="219" spans="1:56" ht="34.5" customHeight="1" x14ac:dyDescent="0.25">
      <c r="A219" s="7" t="s">
        <v>58</v>
      </c>
      <c r="B219" s="2" t="s">
        <v>2927</v>
      </c>
      <c r="C219" s="2" t="s">
        <v>2928</v>
      </c>
      <c r="D219" s="2" t="s">
        <v>2929</v>
      </c>
      <c r="E219" s="3" t="s">
        <v>190</v>
      </c>
      <c r="F219" s="3" t="s">
        <v>69</v>
      </c>
      <c r="G219" s="3" t="s">
        <v>59</v>
      </c>
      <c r="H219" s="3" t="s">
        <v>58</v>
      </c>
      <c r="I219" s="3" t="s">
        <v>58</v>
      </c>
      <c r="J219" s="3" t="s">
        <v>60</v>
      </c>
      <c r="K219" s="2" t="s">
        <v>113</v>
      </c>
      <c r="L219" s="2" t="s">
        <v>2930</v>
      </c>
      <c r="M219" s="3" t="s">
        <v>368</v>
      </c>
      <c r="N219" s="2" t="s">
        <v>2931</v>
      </c>
      <c r="O219" s="3" t="s">
        <v>64</v>
      </c>
      <c r="P219" s="3" t="s">
        <v>252</v>
      </c>
      <c r="R219" s="3" t="s">
        <v>66</v>
      </c>
      <c r="S219" s="4">
        <v>1</v>
      </c>
      <c r="T219" s="4">
        <v>6</v>
      </c>
      <c r="V219" s="5" t="s">
        <v>2769</v>
      </c>
      <c r="W219" s="5" t="s">
        <v>2932</v>
      </c>
      <c r="X219" s="5" t="s">
        <v>2932</v>
      </c>
      <c r="Y219" s="4">
        <v>945</v>
      </c>
      <c r="Z219" s="4">
        <v>881</v>
      </c>
      <c r="AA219" s="4">
        <v>899</v>
      </c>
      <c r="AB219" s="4">
        <v>4</v>
      </c>
      <c r="AC219" s="4">
        <v>4</v>
      </c>
      <c r="AD219" s="4">
        <v>31</v>
      </c>
      <c r="AE219" s="4">
        <v>31</v>
      </c>
      <c r="AF219" s="4">
        <v>15</v>
      </c>
      <c r="AG219" s="4">
        <v>15</v>
      </c>
      <c r="AH219" s="4">
        <v>6</v>
      </c>
      <c r="AI219" s="4">
        <v>6</v>
      </c>
      <c r="AJ219" s="4">
        <v>17</v>
      </c>
      <c r="AK219" s="4">
        <v>17</v>
      </c>
      <c r="AL219" s="4">
        <v>2</v>
      </c>
      <c r="AM219" s="4">
        <v>2</v>
      </c>
      <c r="AN219" s="4">
        <v>0</v>
      </c>
      <c r="AO219" s="4">
        <v>0</v>
      </c>
      <c r="AP219" s="3" t="s">
        <v>58</v>
      </c>
      <c r="AQ219" s="3" t="s">
        <v>69</v>
      </c>
      <c r="AR219" s="6" t="str">
        <f>HYPERLINK("http://catalog.hathitrust.org/Record/000314442","HathiTrust Record")</f>
        <v>HathiTrust Record</v>
      </c>
      <c r="AS219" s="6" t="str">
        <f>HYPERLINK("https://creighton-primo.hosted.exlibrisgroup.com/primo-explore/search?tab=default_tab&amp;search_scope=EVERYTHING&amp;vid=01CRU&amp;lang=en_US&amp;offset=0&amp;query=any,contains,991002128809702656","Catalog Record")</f>
        <v>Catalog Record</v>
      </c>
      <c r="AT219" s="6" t="str">
        <f>HYPERLINK("http://www.worldcat.org/oclc/269569","WorldCat Record")</f>
        <v>WorldCat Record</v>
      </c>
      <c r="AU219" s="3" t="s">
        <v>2933</v>
      </c>
      <c r="AV219" s="3" t="s">
        <v>2934</v>
      </c>
      <c r="AW219" s="3" t="s">
        <v>2935</v>
      </c>
      <c r="AX219" s="3" t="s">
        <v>2935</v>
      </c>
      <c r="AY219" s="3" t="s">
        <v>2936</v>
      </c>
      <c r="AZ219" s="3" t="s">
        <v>74</v>
      </c>
      <c r="BC219" s="3" t="s">
        <v>2937</v>
      </c>
      <c r="BD219" s="3" t="s">
        <v>2938</v>
      </c>
    </row>
    <row r="220" spans="1:56" ht="34.5" customHeight="1" x14ac:dyDescent="0.25">
      <c r="A220" s="7" t="s">
        <v>58</v>
      </c>
      <c r="B220" s="2" t="s">
        <v>2927</v>
      </c>
      <c r="C220" s="2" t="s">
        <v>2928</v>
      </c>
      <c r="D220" s="2" t="s">
        <v>2929</v>
      </c>
      <c r="E220" s="3" t="s">
        <v>202</v>
      </c>
      <c r="F220" s="3" t="s">
        <v>69</v>
      </c>
      <c r="G220" s="3" t="s">
        <v>59</v>
      </c>
      <c r="H220" s="3" t="s">
        <v>58</v>
      </c>
      <c r="I220" s="3" t="s">
        <v>58</v>
      </c>
      <c r="J220" s="3" t="s">
        <v>60</v>
      </c>
      <c r="K220" s="2" t="s">
        <v>113</v>
      </c>
      <c r="L220" s="2" t="s">
        <v>2930</v>
      </c>
      <c r="M220" s="3" t="s">
        <v>368</v>
      </c>
      <c r="N220" s="2" t="s">
        <v>2931</v>
      </c>
      <c r="O220" s="3" t="s">
        <v>64</v>
      </c>
      <c r="P220" s="3" t="s">
        <v>252</v>
      </c>
      <c r="R220" s="3" t="s">
        <v>66</v>
      </c>
      <c r="S220" s="4">
        <v>5</v>
      </c>
      <c r="T220" s="4">
        <v>6</v>
      </c>
      <c r="U220" s="5" t="s">
        <v>2769</v>
      </c>
      <c r="V220" s="5" t="s">
        <v>2769</v>
      </c>
      <c r="W220" s="5" t="s">
        <v>2932</v>
      </c>
      <c r="X220" s="5" t="s">
        <v>2932</v>
      </c>
      <c r="Y220" s="4">
        <v>945</v>
      </c>
      <c r="Z220" s="4">
        <v>881</v>
      </c>
      <c r="AA220" s="4">
        <v>899</v>
      </c>
      <c r="AB220" s="4">
        <v>4</v>
      </c>
      <c r="AC220" s="4">
        <v>4</v>
      </c>
      <c r="AD220" s="4">
        <v>31</v>
      </c>
      <c r="AE220" s="4">
        <v>31</v>
      </c>
      <c r="AF220" s="4">
        <v>15</v>
      </c>
      <c r="AG220" s="4">
        <v>15</v>
      </c>
      <c r="AH220" s="4">
        <v>6</v>
      </c>
      <c r="AI220" s="4">
        <v>6</v>
      </c>
      <c r="AJ220" s="4">
        <v>17</v>
      </c>
      <c r="AK220" s="4">
        <v>17</v>
      </c>
      <c r="AL220" s="4">
        <v>2</v>
      </c>
      <c r="AM220" s="4">
        <v>2</v>
      </c>
      <c r="AN220" s="4">
        <v>0</v>
      </c>
      <c r="AO220" s="4">
        <v>0</v>
      </c>
      <c r="AP220" s="3" t="s">
        <v>58</v>
      </c>
      <c r="AQ220" s="3" t="s">
        <v>69</v>
      </c>
      <c r="AR220" s="6" t="str">
        <f>HYPERLINK("http://catalog.hathitrust.org/Record/000314442","HathiTrust Record")</f>
        <v>HathiTrust Record</v>
      </c>
      <c r="AS220" s="6" t="str">
        <f>HYPERLINK("https://creighton-primo.hosted.exlibrisgroup.com/primo-explore/search?tab=default_tab&amp;search_scope=EVERYTHING&amp;vid=01CRU&amp;lang=en_US&amp;offset=0&amp;query=any,contains,991002128809702656","Catalog Record")</f>
        <v>Catalog Record</v>
      </c>
      <c r="AT220" s="6" t="str">
        <f>HYPERLINK("http://www.worldcat.org/oclc/269569","WorldCat Record")</f>
        <v>WorldCat Record</v>
      </c>
      <c r="AU220" s="3" t="s">
        <v>2933</v>
      </c>
      <c r="AV220" s="3" t="s">
        <v>2934</v>
      </c>
      <c r="AW220" s="3" t="s">
        <v>2935</v>
      </c>
      <c r="AX220" s="3" t="s">
        <v>2935</v>
      </c>
      <c r="AY220" s="3" t="s">
        <v>2936</v>
      </c>
      <c r="AZ220" s="3" t="s">
        <v>74</v>
      </c>
      <c r="BC220" s="3" t="s">
        <v>2939</v>
      </c>
      <c r="BD220" s="3" t="s">
        <v>2940</v>
      </c>
    </row>
    <row r="221" spans="1:56" ht="34.5" customHeight="1" x14ac:dyDescent="0.25">
      <c r="A221" s="7" t="s">
        <v>58</v>
      </c>
      <c r="B221" s="2" t="s">
        <v>2941</v>
      </c>
      <c r="C221" s="2" t="s">
        <v>2942</v>
      </c>
      <c r="D221" s="2" t="s">
        <v>2943</v>
      </c>
      <c r="F221" s="3" t="s">
        <v>58</v>
      </c>
      <c r="G221" s="3" t="s">
        <v>59</v>
      </c>
      <c r="H221" s="3" t="s">
        <v>58</v>
      </c>
      <c r="I221" s="3" t="s">
        <v>58</v>
      </c>
      <c r="J221" s="3" t="s">
        <v>60</v>
      </c>
      <c r="K221" s="2" t="s">
        <v>2944</v>
      </c>
      <c r="L221" s="2" t="s">
        <v>2945</v>
      </c>
      <c r="M221" s="3" t="s">
        <v>209</v>
      </c>
      <c r="O221" s="3" t="s">
        <v>64</v>
      </c>
      <c r="P221" s="3" t="s">
        <v>65</v>
      </c>
      <c r="R221" s="3" t="s">
        <v>66</v>
      </c>
      <c r="S221" s="4">
        <v>3</v>
      </c>
      <c r="T221" s="4">
        <v>3</v>
      </c>
      <c r="U221" s="5" t="s">
        <v>985</v>
      </c>
      <c r="V221" s="5" t="s">
        <v>985</v>
      </c>
      <c r="W221" s="5" t="s">
        <v>2907</v>
      </c>
      <c r="X221" s="5" t="s">
        <v>2907</v>
      </c>
      <c r="Y221" s="4">
        <v>146</v>
      </c>
      <c r="Z221" s="4">
        <v>113</v>
      </c>
      <c r="AA221" s="4">
        <v>578</v>
      </c>
      <c r="AB221" s="4">
        <v>2</v>
      </c>
      <c r="AC221" s="4">
        <v>3</v>
      </c>
      <c r="AD221" s="4">
        <v>5</v>
      </c>
      <c r="AE221" s="4">
        <v>20</v>
      </c>
      <c r="AF221" s="4">
        <v>3</v>
      </c>
      <c r="AG221" s="4">
        <v>9</v>
      </c>
      <c r="AH221" s="4">
        <v>1</v>
      </c>
      <c r="AI221" s="4">
        <v>4</v>
      </c>
      <c r="AJ221" s="4">
        <v>2</v>
      </c>
      <c r="AK221" s="4">
        <v>10</v>
      </c>
      <c r="AL221" s="4">
        <v>1</v>
      </c>
      <c r="AM221" s="4">
        <v>2</v>
      </c>
      <c r="AN221" s="4">
        <v>0</v>
      </c>
      <c r="AO221" s="4">
        <v>0</v>
      </c>
      <c r="AP221" s="3" t="s">
        <v>58</v>
      </c>
      <c r="AQ221" s="3" t="s">
        <v>69</v>
      </c>
      <c r="AR221" s="6" t="str">
        <f>HYPERLINK("http://catalog.hathitrust.org/Record/002059855","HathiTrust Record")</f>
        <v>HathiTrust Record</v>
      </c>
      <c r="AS221" s="6" t="str">
        <f>HYPERLINK("https://creighton-primo.hosted.exlibrisgroup.com/primo-explore/search?tab=default_tab&amp;search_scope=EVERYTHING&amp;vid=01CRU&amp;lang=en_US&amp;offset=0&amp;query=any,contains,991000492959702656","Catalog Record")</f>
        <v>Catalog Record</v>
      </c>
      <c r="AT221" s="6" t="str">
        <f>HYPERLINK("http://www.worldcat.org/oclc/11114151","WorldCat Record")</f>
        <v>WorldCat Record</v>
      </c>
      <c r="AU221" s="3" t="s">
        <v>2946</v>
      </c>
      <c r="AV221" s="3" t="s">
        <v>2947</v>
      </c>
      <c r="AW221" s="3" t="s">
        <v>2948</v>
      </c>
      <c r="AX221" s="3" t="s">
        <v>2948</v>
      </c>
      <c r="AY221" s="3" t="s">
        <v>2949</v>
      </c>
      <c r="AZ221" s="3" t="s">
        <v>74</v>
      </c>
      <c r="BB221" s="3" t="s">
        <v>2950</v>
      </c>
      <c r="BC221" s="3" t="s">
        <v>2951</v>
      </c>
      <c r="BD221" s="3" t="s">
        <v>2952</v>
      </c>
    </row>
    <row r="222" spans="1:56" ht="34.5" customHeight="1" x14ac:dyDescent="0.25">
      <c r="A222" s="7" t="s">
        <v>58</v>
      </c>
      <c r="B222" s="2" t="s">
        <v>2953</v>
      </c>
      <c r="C222" s="2" t="s">
        <v>2954</v>
      </c>
      <c r="D222" s="2" t="s">
        <v>2955</v>
      </c>
      <c r="F222" s="3" t="s">
        <v>58</v>
      </c>
      <c r="G222" s="3" t="s">
        <v>59</v>
      </c>
      <c r="H222" s="3" t="s">
        <v>58</v>
      </c>
      <c r="I222" s="3" t="s">
        <v>58</v>
      </c>
      <c r="J222" s="3" t="s">
        <v>60</v>
      </c>
      <c r="K222" s="2" t="s">
        <v>2956</v>
      </c>
      <c r="L222" s="2" t="s">
        <v>2957</v>
      </c>
      <c r="M222" s="3" t="s">
        <v>1813</v>
      </c>
      <c r="N222" s="2" t="s">
        <v>657</v>
      </c>
      <c r="O222" s="3" t="s">
        <v>64</v>
      </c>
      <c r="P222" s="3" t="s">
        <v>268</v>
      </c>
      <c r="R222" s="3" t="s">
        <v>66</v>
      </c>
      <c r="S222" s="4">
        <v>10</v>
      </c>
      <c r="T222" s="4">
        <v>10</v>
      </c>
      <c r="U222" s="5" t="s">
        <v>2029</v>
      </c>
      <c r="V222" s="5" t="s">
        <v>2029</v>
      </c>
      <c r="W222" s="5" t="s">
        <v>2907</v>
      </c>
      <c r="X222" s="5" t="s">
        <v>2907</v>
      </c>
      <c r="Y222" s="4">
        <v>1113</v>
      </c>
      <c r="Z222" s="4">
        <v>1032</v>
      </c>
      <c r="AA222" s="4">
        <v>1180</v>
      </c>
      <c r="AB222" s="4">
        <v>9</v>
      </c>
      <c r="AC222" s="4">
        <v>9</v>
      </c>
      <c r="AD222" s="4">
        <v>26</v>
      </c>
      <c r="AE222" s="4">
        <v>33</v>
      </c>
      <c r="AF222" s="4">
        <v>7</v>
      </c>
      <c r="AG222" s="4">
        <v>11</v>
      </c>
      <c r="AH222" s="4">
        <v>6</v>
      </c>
      <c r="AI222" s="4">
        <v>8</v>
      </c>
      <c r="AJ222" s="4">
        <v>13</v>
      </c>
      <c r="AK222" s="4">
        <v>15</v>
      </c>
      <c r="AL222" s="4">
        <v>5</v>
      </c>
      <c r="AM222" s="4">
        <v>5</v>
      </c>
      <c r="AN222" s="4">
        <v>0</v>
      </c>
      <c r="AO222" s="4">
        <v>0</v>
      </c>
      <c r="AP222" s="3" t="s">
        <v>58</v>
      </c>
      <c r="AQ222" s="3" t="s">
        <v>69</v>
      </c>
      <c r="AR222" s="6" t="str">
        <f>HYPERLINK("http://catalog.hathitrust.org/Record/000411555","HathiTrust Record")</f>
        <v>HathiTrust Record</v>
      </c>
      <c r="AS222" s="6" t="str">
        <f>HYPERLINK("https://creighton-primo.hosted.exlibrisgroup.com/primo-explore/search?tab=default_tab&amp;search_scope=EVERYTHING&amp;vid=01CRU&amp;lang=en_US&amp;offset=0&amp;query=any,contains,991002653029702656","Catalog Record")</f>
        <v>Catalog Record</v>
      </c>
      <c r="AT222" s="6" t="str">
        <f>HYPERLINK("http://www.worldcat.org/oclc/387617","WorldCat Record")</f>
        <v>WorldCat Record</v>
      </c>
      <c r="AU222" s="3" t="s">
        <v>2958</v>
      </c>
      <c r="AV222" s="3" t="s">
        <v>2959</v>
      </c>
      <c r="AW222" s="3" t="s">
        <v>2960</v>
      </c>
      <c r="AX222" s="3" t="s">
        <v>2960</v>
      </c>
      <c r="AY222" s="3" t="s">
        <v>2961</v>
      </c>
      <c r="AZ222" s="3" t="s">
        <v>74</v>
      </c>
      <c r="BC222" s="3" t="s">
        <v>2962</v>
      </c>
      <c r="BD222" s="3" t="s">
        <v>2963</v>
      </c>
    </row>
    <row r="223" spans="1:56" ht="34.5" customHeight="1" x14ac:dyDescent="0.25">
      <c r="A223" s="7" t="s">
        <v>58</v>
      </c>
      <c r="B223" s="2" t="s">
        <v>2964</v>
      </c>
      <c r="C223" s="2" t="s">
        <v>2965</v>
      </c>
      <c r="D223" s="2" t="s">
        <v>2966</v>
      </c>
      <c r="F223" s="3" t="s">
        <v>58</v>
      </c>
      <c r="G223" s="3" t="s">
        <v>59</v>
      </c>
      <c r="H223" s="3" t="s">
        <v>58</v>
      </c>
      <c r="I223" s="3" t="s">
        <v>69</v>
      </c>
      <c r="J223" s="3" t="s">
        <v>60</v>
      </c>
      <c r="K223" s="2" t="s">
        <v>2967</v>
      </c>
      <c r="L223" s="2" t="s">
        <v>1331</v>
      </c>
      <c r="M223" s="3" t="s">
        <v>99</v>
      </c>
      <c r="O223" s="3" t="s">
        <v>64</v>
      </c>
      <c r="P223" s="3" t="s">
        <v>65</v>
      </c>
      <c r="R223" s="3" t="s">
        <v>66</v>
      </c>
      <c r="S223" s="4">
        <v>18</v>
      </c>
      <c r="T223" s="4">
        <v>18</v>
      </c>
      <c r="U223" s="5" t="s">
        <v>753</v>
      </c>
      <c r="V223" s="5" t="s">
        <v>753</v>
      </c>
      <c r="W223" s="5" t="s">
        <v>2968</v>
      </c>
      <c r="X223" s="5" t="s">
        <v>2968</v>
      </c>
      <c r="Y223" s="4">
        <v>1086</v>
      </c>
      <c r="Z223" s="4">
        <v>945</v>
      </c>
      <c r="AA223" s="4">
        <v>1481</v>
      </c>
      <c r="AB223" s="4">
        <v>7</v>
      </c>
      <c r="AC223" s="4">
        <v>9</v>
      </c>
      <c r="AD223" s="4">
        <v>25</v>
      </c>
      <c r="AE223" s="4">
        <v>40</v>
      </c>
      <c r="AF223" s="4">
        <v>6</v>
      </c>
      <c r="AG223" s="4">
        <v>14</v>
      </c>
      <c r="AH223" s="4">
        <v>5</v>
      </c>
      <c r="AI223" s="4">
        <v>8</v>
      </c>
      <c r="AJ223" s="4">
        <v>11</v>
      </c>
      <c r="AK223" s="4">
        <v>18</v>
      </c>
      <c r="AL223" s="4">
        <v>6</v>
      </c>
      <c r="AM223" s="4">
        <v>7</v>
      </c>
      <c r="AN223" s="4">
        <v>1</v>
      </c>
      <c r="AO223" s="4">
        <v>1</v>
      </c>
      <c r="AP223" s="3" t="s">
        <v>58</v>
      </c>
      <c r="AQ223" s="3" t="s">
        <v>69</v>
      </c>
      <c r="AR223" s="6" t="str">
        <f>HYPERLINK("http://catalog.hathitrust.org/Record/004501958","HathiTrust Record")</f>
        <v>HathiTrust Record</v>
      </c>
      <c r="AS223" s="6" t="str">
        <f>HYPERLINK("https://creighton-primo.hosted.exlibrisgroup.com/primo-explore/search?tab=default_tab&amp;search_scope=EVERYTHING&amp;vid=01CRU&amp;lang=en_US&amp;offset=0&amp;query=any,contains,991004925059702656","Catalog Record")</f>
        <v>Catalog Record</v>
      </c>
      <c r="AT223" s="6" t="str">
        <f>HYPERLINK("http://www.worldcat.org/oclc/6085496","WorldCat Record")</f>
        <v>WorldCat Record</v>
      </c>
      <c r="AU223" s="3" t="s">
        <v>2969</v>
      </c>
      <c r="AV223" s="3" t="s">
        <v>2970</v>
      </c>
      <c r="AW223" s="3" t="s">
        <v>2971</v>
      </c>
      <c r="AX223" s="3" t="s">
        <v>2971</v>
      </c>
      <c r="AY223" s="3" t="s">
        <v>2972</v>
      </c>
      <c r="AZ223" s="3" t="s">
        <v>74</v>
      </c>
      <c r="BB223" s="3" t="s">
        <v>2973</v>
      </c>
      <c r="BC223" s="3" t="s">
        <v>2974</v>
      </c>
      <c r="BD223" s="3" t="s">
        <v>2975</v>
      </c>
    </row>
    <row r="224" spans="1:56" ht="34.5" customHeight="1" x14ac:dyDescent="0.25">
      <c r="A224" s="7" t="s">
        <v>58</v>
      </c>
      <c r="B224" s="2" t="s">
        <v>2976</v>
      </c>
      <c r="C224" s="2" t="s">
        <v>2977</v>
      </c>
      <c r="D224" s="2" t="s">
        <v>2978</v>
      </c>
      <c r="F224" s="3" t="s">
        <v>58</v>
      </c>
      <c r="G224" s="3" t="s">
        <v>59</v>
      </c>
      <c r="H224" s="3" t="s">
        <v>58</v>
      </c>
      <c r="I224" s="3" t="s">
        <v>58</v>
      </c>
      <c r="J224" s="3" t="s">
        <v>60</v>
      </c>
      <c r="K224" s="2" t="s">
        <v>2979</v>
      </c>
      <c r="L224" s="2" t="s">
        <v>2980</v>
      </c>
      <c r="M224" s="3" t="s">
        <v>209</v>
      </c>
      <c r="N224" s="2" t="s">
        <v>284</v>
      </c>
      <c r="O224" s="3" t="s">
        <v>64</v>
      </c>
      <c r="P224" s="3" t="s">
        <v>210</v>
      </c>
      <c r="R224" s="3" t="s">
        <v>66</v>
      </c>
      <c r="S224" s="4">
        <v>2</v>
      </c>
      <c r="T224" s="4">
        <v>2</v>
      </c>
      <c r="U224" s="5" t="s">
        <v>2029</v>
      </c>
      <c r="V224" s="5" t="s">
        <v>2029</v>
      </c>
      <c r="W224" s="5" t="s">
        <v>2981</v>
      </c>
      <c r="X224" s="5" t="s">
        <v>2981</v>
      </c>
      <c r="Y224" s="4">
        <v>83</v>
      </c>
      <c r="Z224" s="4">
        <v>82</v>
      </c>
      <c r="AA224" s="4">
        <v>251</v>
      </c>
      <c r="AB224" s="4">
        <v>2</v>
      </c>
      <c r="AC224" s="4">
        <v>3</v>
      </c>
      <c r="AD224" s="4">
        <v>2</v>
      </c>
      <c r="AE224" s="4">
        <v>8</v>
      </c>
      <c r="AF224" s="4">
        <v>0</v>
      </c>
      <c r="AG224" s="4">
        <v>2</v>
      </c>
      <c r="AH224" s="4">
        <v>0</v>
      </c>
      <c r="AI224" s="4">
        <v>1</v>
      </c>
      <c r="AJ224" s="4">
        <v>1</v>
      </c>
      <c r="AK224" s="4">
        <v>4</v>
      </c>
      <c r="AL224" s="4">
        <v>1</v>
      </c>
      <c r="AM224" s="4">
        <v>2</v>
      </c>
      <c r="AN224" s="4">
        <v>0</v>
      </c>
      <c r="AO224" s="4">
        <v>0</v>
      </c>
      <c r="AP224" s="3" t="s">
        <v>58</v>
      </c>
      <c r="AQ224" s="3" t="s">
        <v>69</v>
      </c>
      <c r="AR224" s="6" t="str">
        <f>HYPERLINK("http://catalog.hathitrust.org/Record/000356645","HathiTrust Record")</f>
        <v>HathiTrust Record</v>
      </c>
      <c r="AS224" s="6" t="str">
        <f>HYPERLINK("https://creighton-primo.hosted.exlibrisgroup.com/primo-explore/search?tab=default_tab&amp;search_scope=EVERYTHING&amp;vid=01CRU&amp;lang=en_US&amp;offset=0&amp;query=any,contains,991000675229702656","Catalog Record")</f>
        <v>Catalog Record</v>
      </c>
      <c r="AT224" s="6" t="str">
        <f>HYPERLINK("http://www.worldcat.org/oclc/12344528","WorldCat Record")</f>
        <v>WorldCat Record</v>
      </c>
      <c r="AU224" s="3" t="s">
        <v>2982</v>
      </c>
      <c r="AV224" s="3" t="s">
        <v>2983</v>
      </c>
      <c r="AW224" s="3" t="s">
        <v>2984</v>
      </c>
      <c r="AX224" s="3" t="s">
        <v>2984</v>
      </c>
      <c r="AY224" s="3" t="s">
        <v>2985</v>
      </c>
      <c r="AZ224" s="3" t="s">
        <v>74</v>
      </c>
      <c r="BB224" s="3" t="s">
        <v>2986</v>
      </c>
      <c r="BC224" s="3" t="s">
        <v>2987</v>
      </c>
      <c r="BD224" s="3" t="s">
        <v>2988</v>
      </c>
    </row>
    <row r="225" spans="1:56" ht="34.5" customHeight="1" x14ac:dyDescent="0.25">
      <c r="A225" s="7" t="s">
        <v>58</v>
      </c>
      <c r="B225" s="2" t="s">
        <v>2989</v>
      </c>
      <c r="C225" s="2" t="s">
        <v>2990</v>
      </c>
      <c r="D225" s="2" t="s">
        <v>2991</v>
      </c>
      <c r="F225" s="3" t="s">
        <v>58</v>
      </c>
      <c r="G225" s="3" t="s">
        <v>59</v>
      </c>
      <c r="H225" s="3" t="s">
        <v>58</v>
      </c>
      <c r="I225" s="3" t="s">
        <v>58</v>
      </c>
      <c r="J225" s="3" t="s">
        <v>60</v>
      </c>
      <c r="K225" s="2" t="s">
        <v>2992</v>
      </c>
      <c r="L225" s="2" t="s">
        <v>2993</v>
      </c>
      <c r="M225" s="3" t="s">
        <v>176</v>
      </c>
      <c r="O225" s="3" t="s">
        <v>64</v>
      </c>
      <c r="P225" s="3" t="s">
        <v>65</v>
      </c>
      <c r="R225" s="3" t="s">
        <v>66</v>
      </c>
      <c r="S225" s="4">
        <v>5</v>
      </c>
      <c r="T225" s="4">
        <v>5</v>
      </c>
      <c r="U225" s="5" t="s">
        <v>2769</v>
      </c>
      <c r="V225" s="5" t="s">
        <v>2769</v>
      </c>
      <c r="W225" s="5" t="s">
        <v>2994</v>
      </c>
      <c r="X225" s="5" t="s">
        <v>2994</v>
      </c>
      <c r="Y225" s="4">
        <v>1685</v>
      </c>
      <c r="Z225" s="4">
        <v>1550</v>
      </c>
      <c r="AA225" s="4">
        <v>1558</v>
      </c>
      <c r="AB225" s="4">
        <v>12</v>
      </c>
      <c r="AC225" s="4">
        <v>12</v>
      </c>
      <c r="AD225" s="4">
        <v>36</v>
      </c>
      <c r="AE225" s="4">
        <v>36</v>
      </c>
      <c r="AF225" s="4">
        <v>12</v>
      </c>
      <c r="AG225" s="4">
        <v>12</v>
      </c>
      <c r="AH225" s="4">
        <v>9</v>
      </c>
      <c r="AI225" s="4">
        <v>9</v>
      </c>
      <c r="AJ225" s="4">
        <v>14</v>
      </c>
      <c r="AK225" s="4">
        <v>14</v>
      </c>
      <c r="AL225" s="4">
        <v>9</v>
      </c>
      <c r="AM225" s="4">
        <v>9</v>
      </c>
      <c r="AN225" s="4">
        <v>0</v>
      </c>
      <c r="AO225" s="4">
        <v>0</v>
      </c>
      <c r="AP225" s="3" t="s">
        <v>58</v>
      </c>
      <c r="AQ225" s="3" t="s">
        <v>69</v>
      </c>
      <c r="AR225" s="6" t="str">
        <f>HYPERLINK("http://catalog.hathitrust.org/Record/000868730","HathiTrust Record")</f>
        <v>HathiTrust Record</v>
      </c>
      <c r="AS225" s="6" t="str">
        <f>HYPERLINK("https://creighton-primo.hosted.exlibrisgroup.com/primo-explore/search?tab=default_tab&amp;search_scope=EVERYTHING&amp;vid=01CRU&amp;lang=en_US&amp;offset=0&amp;query=any,contains,991000873269702656","Catalog Record")</f>
        <v>Catalog Record</v>
      </c>
      <c r="AT225" s="6" t="str">
        <f>HYPERLINK("http://www.worldcat.org/oclc/13794633","WorldCat Record")</f>
        <v>WorldCat Record</v>
      </c>
      <c r="AU225" s="3" t="s">
        <v>2995</v>
      </c>
      <c r="AV225" s="3" t="s">
        <v>2996</v>
      </c>
      <c r="AW225" s="3" t="s">
        <v>2997</v>
      </c>
      <c r="AX225" s="3" t="s">
        <v>2997</v>
      </c>
      <c r="AY225" s="3" t="s">
        <v>2998</v>
      </c>
      <c r="AZ225" s="3" t="s">
        <v>74</v>
      </c>
      <c r="BB225" s="3" t="s">
        <v>2999</v>
      </c>
      <c r="BC225" s="3" t="s">
        <v>3000</v>
      </c>
      <c r="BD225" s="3" t="s">
        <v>3001</v>
      </c>
    </row>
    <row r="226" spans="1:56" ht="34.5" customHeight="1" x14ac:dyDescent="0.25">
      <c r="A226" s="7" t="s">
        <v>58</v>
      </c>
      <c r="B226" s="2" t="s">
        <v>3002</v>
      </c>
      <c r="C226" s="2" t="s">
        <v>3003</v>
      </c>
      <c r="D226" s="2" t="s">
        <v>3004</v>
      </c>
      <c r="F226" s="3" t="s">
        <v>58</v>
      </c>
      <c r="G226" s="3" t="s">
        <v>59</v>
      </c>
      <c r="H226" s="3" t="s">
        <v>58</v>
      </c>
      <c r="I226" s="3" t="s">
        <v>58</v>
      </c>
      <c r="J226" s="3" t="s">
        <v>60</v>
      </c>
      <c r="K226" s="2" t="s">
        <v>3005</v>
      </c>
      <c r="L226" s="2" t="s">
        <v>3006</v>
      </c>
      <c r="M226" s="3" t="s">
        <v>224</v>
      </c>
      <c r="O226" s="3" t="s">
        <v>64</v>
      </c>
      <c r="P226" s="3" t="s">
        <v>65</v>
      </c>
      <c r="R226" s="3" t="s">
        <v>66</v>
      </c>
      <c r="S226" s="4">
        <v>3</v>
      </c>
      <c r="T226" s="4">
        <v>3</v>
      </c>
      <c r="U226" s="5" t="s">
        <v>3007</v>
      </c>
      <c r="V226" s="5" t="s">
        <v>3007</v>
      </c>
      <c r="W226" s="5" t="s">
        <v>102</v>
      </c>
      <c r="X226" s="5" t="s">
        <v>102</v>
      </c>
      <c r="Y226" s="4">
        <v>381</v>
      </c>
      <c r="Z226" s="4">
        <v>338</v>
      </c>
      <c r="AA226" s="4">
        <v>1015</v>
      </c>
      <c r="AB226" s="4">
        <v>4</v>
      </c>
      <c r="AC226" s="4">
        <v>6</v>
      </c>
      <c r="AD226" s="4">
        <v>11</v>
      </c>
      <c r="AE226" s="4">
        <v>35</v>
      </c>
      <c r="AF226" s="4">
        <v>5</v>
      </c>
      <c r="AG226" s="4">
        <v>17</v>
      </c>
      <c r="AH226" s="4">
        <v>2</v>
      </c>
      <c r="AI226" s="4">
        <v>8</v>
      </c>
      <c r="AJ226" s="4">
        <v>3</v>
      </c>
      <c r="AK226" s="4">
        <v>16</v>
      </c>
      <c r="AL226" s="4">
        <v>3</v>
      </c>
      <c r="AM226" s="4">
        <v>4</v>
      </c>
      <c r="AN226" s="4">
        <v>0</v>
      </c>
      <c r="AO226" s="4">
        <v>0</v>
      </c>
      <c r="AP226" s="3" t="s">
        <v>58</v>
      </c>
      <c r="AQ226" s="3" t="s">
        <v>69</v>
      </c>
      <c r="AR226" s="6" t="str">
        <f>HYPERLINK("http://catalog.hathitrust.org/Record/000600549","HathiTrust Record")</f>
        <v>HathiTrust Record</v>
      </c>
      <c r="AS226" s="6" t="str">
        <f>HYPERLINK("https://creighton-primo.hosted.exlibrisgroup.com/primo-explore/search?tab=default_tab&amp;search_scope=EVERYTHING&amp;vid=01CRU&amp;lang=en_US&amp;offset=0&amp;query=any,contains,991000117489702656","Catalog Record")</f>
        <v>Catalog Record</v>
      </c>
      <c r="AT226" s="6" t="str">
        <f>HYPERLINK("http://www.worldcat.org/oclc/9043725","WorldCat Record")</f>
        <v>WorldCat Record</v>
      </c>
      <c r="AU226" s="3" t="s">
        <v>3008</v>
      </c>
      <c r="AV226" s="3" t="s">
        <v>3009</v>
      </c>
      <c r="AW226" s="3" t="s">
        <v>3010</v>
      </c>
      <c r="AX226" s="3" t="s">
        <v>3010</v>
      </c>
      <c r="AY226" s="3" t="s">
        <v>3011</v>
      </c>
      <c r="AZ226" s="3" t="s">
        <v>74</v>
      </c>
      <c r="BB226" s="3" t="s">
        <v>3012</v>
      </c>
      <c r="BC226" s="3" t="s">
        <v>3013</v>
      </c>
      <c r="BD226" s="3" t="s">
        <v>3014</v>
      </c>
    </row>
    <row r="227" spans="1:56" ht="34.5" customHeight="1" x14ac:dyDescent="0.25">
      <c r="A227" s="7" t="s">
        <v>58</v>
      </c>
      <c r="B227" s="2" t="s">
        <v>3015</v>
      </c>
      <c r="C227" s="2" t="s">
        <v>3016</v>
      </c>
      <c r="D227" s="2" t="s">
        <v>3017</v>
      </c>
      <c r="E227" s="3" t="s">
        <v>202</v>
      </c>
      <c r="F227" s="3" t="s">
        <v>69</v>
      </c>
      <c r="G227" s="3" t="s">
        <v>59</v>
      </c>
      <c r="H227" s="3" t="s">
        <v>58</v>
      </c>
      <c r="I227" s="3" t="s">
        <v>58</v>
      </c>
      <c r="J227" s="3" t="s">
        <v>60</v>
      </c>
      <c r="K227" s="2" t="s">
        <v>3018</v>
      </c>
      <c r="L227" s="2" t="s">
        <v>3019</v>
      </c>
      <c r="M227" s="3" t="s">
        <v>1545</v>
      </c>
      <c r="O227" s="3" t="s">
        <v>64</v>
      </c>
      <c r="P227" s="3" t="s">
        <v>65</v>
      </c>
      <c r="R227" s="3" t="s">
        <v>66</v>
      </c>
      <c r="S227" s="4">
        <v>14</v>
      </c>
      <c r="T227" s="4">
        <v>36</v>
      </c>
      <c r="U227" s="5" t="s">
        <v>2029</v>
      </c>
      <c r="V227" s="5" t="s">
        <v>2029</v>
      </c>
      <c r="W227" s="5" t="s">
        <v>3020</v>
      </c>
      <c r="X227" s="5" t="s">
        <v>3021</v>
      </c>
      <c r="Y227" s="4">
        <v>320</v>
      </c>
      <c r="Z227" s="4">
        <v>300</v>
      </c>
      <c r="AA227" s="4">
        <v>1086</v>
      </c>
      <c r="AB227" s="4">
        <v>1</v>
      </c>
      <c r="AC227" s="4">
        <v>4</v>
      </c>
      <c r="AD227" s="4">
        <v>10</v>
      </c>
      <c r="AE227" s="4">
        <v>32</v>
      </c>
      <c r="AF227" s="4">
        <v>3</v>
      </c>
      <c r="AG227" s="4">
        <v>15</v>
      </c>
      <c r="AH227" s="4">
        <v>1</v>
      </c>
      <c r="AI227" s="4">
        <v>5</v>
      </c>
      <c r="AJ227" s="4">
        <v>8</v>
      </c>
      <c r="AK227" s="4">
        <v>15</v>
      </c>
      <c r="AL227" s="4">
        <v>0</v>
      </c>
      <c r="AM227" s="4">
        <v>3</v>
      </c>
      <c r="AN227" s="4">
        <v>0</v>
      </c>
      <c r="AO227" s="4">
        <v>0</v>
      </c>
      <c r="AP227" s="3" t="s">
        <v>58</v>
      </c>
      <c r="AQ227" s="3" t="s">
        <v>69</v>
      </c>
      <c r="AR227" s="6" t="str">
        <f>HYPERLINK("http://catalog.hathitrust.org/Record/000230802","HathiTrust Record")</f>
        <v>HathiTrust Record</v>
      </c>
      <c r="AS227" s="6" t="str">
        <f>HYPERLINK("https://creighton-primo.hosted.exlibrisgroup.com/primo-explore/search?tab=default_tab&amp;search_scope=EVERYTHING&amp;vid=01CRU&amp;lang=en_US&amp;offset=0&amp;query=any,contains,991004287639702656","Catalog Record")</f>
        <v>Catalog Record</v>
      </c>
      <c r="AT227" s="6" t="str">
        <f>HYPERLINK("http://www.worldcat.org/oclc/2379072","WorldCat Record")</f>
        <v>WorldCat Record</v>
      </c>
      <c r="AU227" s="3" t="s">
        <v>3022</v>
      </c>
      <c r="AV227" s="3" t="s">
        <v>3023</v>
      </c>
      <c r="AW227" s="3" t="s">
        <v>3024</v>
      </c>
      <c r="AX227" s="3" t="s">
        <v>3024</v>
      </c>
      <c r="AY227" s="3" t="s">
        <v>3025</v>
      </c>
      <c r="AZ227" s="3" t="s">
        <v>74</v>
      </c>
      <c r="BB227" s="3" t="s">
        <v>3026</v>
      </c>
      <c r="BC227" s="3" t="s">
        <v>3027</v>
      </c>
      <c r="BD227" s="3" t="s">
        <v>3028</v>
      </c>
    </row>
    <row r="228" spans="1:56" ht="34.5" customHeight="1" x14ac:dyDescent="0.25">
      <c r="A228" s="7" t="s">
        <v>58</v>
      </c>
      <c r="B228" s="2" t="s">
        <v>3015</v>
      </c>
      <c r="C228" s="2" t="s">
        <v>3016</v>
      </c>
      <c r="D228" s="2" t="s">
        <v>3017</v>
      </c>
      <c r="E228" s="3" t="s">
        <v>2166</v>
      </c>
      <c r="F228" s="3" t="s">
        <v>69</v>
      </c>
      <c r="G228" s="3" t="s">
        <v>59</v>
      </c>
      <c r="H228" s="3" t="s">
        <v>58</v>
      </c>
      <c r="I228" s="3" t="s">
        <v>58</v>
      </c>
      <c r="J228" s="3" t="s">
        <v>60</v>
      </c>
      <c r="K228" s="2" t="s">
        <v>3018</v>
      </c>
      <c r="L228" s="2" t="s">
        <v>3019</v>
      </c>
      <c r="M228" s="3" t="s">
        <v>1545</v>
      </c>
      <c r="O228" s="3" t="s">
        <v>64</v>
      </c>
      <c r="P228" s="3" t="s">
        <v>65</v>
      </c>
      <c r="R228" s="3" t="s">
        <v>66</v>
      </c>
      <c r="S228" s="4">
        <v>9</v>
      </c>
      <c r="T228" s="4">
        <v>36</v>
      </c>
      <c r="U228" s="5" t="s">
        <v>2029</v>
      </c>
      <c r="V228" s="5" t="s">
        <v>2029</v>
      </c>
      <c r="W228" s="5" t="s">
        <v>102</v>
      </c>
      <c r="X228" s="5" t="s">
        <v>3021</v>
      </c>
      <c r="Y228" s="4">
        <v>320</v>
      </c>
      <c r="Z228" s="4">
        <v>300</v>
      </c>
      <c r="AA228" s="4">
        <v>1086</v>
      </c>
      <c r="AB228" s="4">
        <v>1</v>
      </c>
      <c r="AC228" s="4">
        <v>4</v>
      </c>
      <c r="AD228" s="4">
        <v>10</v>
      </c>
      <c r="AE228" s="4">
        <v>32</v>
      </c>
      <c r="AF228" s="4">
        <v>3</v>
      </c>
      <c r="AG228" s="4">
        <v>15</v>
      </c>
      <c r="AH228" s="4">
        <v>1</v>
      </c>
      <c r="AI228" s="4">
        <v>5</v>
      </c>
      <c r="AJ228" s="4">
        <v>8</v>
      </c>
      <c r="AK228" s="4">
        <v>15</v>
      </c>
      <c r="AL228" s="4">
        <v>0</v>
      </c>
      <c r="AM228" s="4">
        <v>3</v>
      </c>
      <c r="AN228" s="4">
        <v>0</v>
      </c>
      <c r="AO228" s="4">
        <v>0</v>
      </c>
      <c r="AP228" s="3" t="s">
        <v>58</v>
      </c>
      <c r="AQ228" s="3" t="s">
        <v>69</v>
      </c>
      <c r="AR228" s="6" t="str">
        <f>HYPERLINK("http://catalog.hathitrust.org/Record/000230802","HathiTrust Record")</f>
        <v>HathiTrust Record</v>
      </c>
      <c r="AS228" s="6" t="str">
        <f>HYPERLINK("https://creighton-primo.hosted.exlibrisgroup.com/primo-explore/search?tab=default_tab&amp;search_scope=EVERYTHING&amp;vid=01CRU&amp;lang=en_US&amp;offset=0&amp;query=any,contains,991004287639702656","Catalog Record")</f>
        <v>Catalog Record</v>
      </c>
      <c r="AT228" s="6" t="str">
        <f>HYPERLINK("http://www.worldcat.org/oclc/2379072","WorldCat Record")</f>
        <v>WorldCat Record</v>
      </c>
      <c r="AU228" s="3" t="s">
        <v>3022</v>
      </c>
      <c r="AV228" s="3" t="s">
        <v>3023</v>
      </c>
      <c r="AW228" s="3" t="s">
        <v>3024</v>
      </c>
      <c r="AX228" s="3" t="s">
        <v>3024</v>
      </c>
      <c r="AY228" s="3" t="s">
        <v>3025</v>
      </c>
      <c r="AZ228" s="3" t="s">
        <v>74</v>
      </c>
      <c r="BB228" s="3" t="s">
        <v>3026</v>
      </c>
      <c r="BC228" s="3" t="s">
        <v>3029</v>
      </c>
      <c r="BD228" s="3" t="s">
        <v>3030</v>
      </c>
    </row>
    <row r="229" spans="1:56" ht="34.5" customHeight="1" x14ac:dyDescent="0.25">
      <c r="A229" s="7" t="s">
        <v>58</v>
      </c>
      <c r="B229" s="2" t="s">
        <v>3015</v>
      </c>
      <c r="C229" s="2" t="s">
        <v>3016</v>
      </c>
      <c r="D229" s="2" t="s">
        <v>3017</v>
      </c>
      <c r="E229" s="3" t="s">
        <v>2723</v>
      </c>
      <c r="F229" s="3" t="s">
        <v>69</v>
      </c>
      <c r="G229" s="3" t="s">
        <v>59</v>
      </c>
      <c r="H229" s="3" t="s">
        <v>58</v>
      </c>
      <c r="I229" s="3" t="s">
        <v>58</v>
      </c>
      <c r="J229" s="3" t="s">
        <v>60</v>
      </c>
      <c r="K229" s="2" t="s">
        <v>3018</v>
      </c>
      <c r="L229" s="2" t="s">
        <v>3019</v>
      </c>
      <c r="M229" s="3" t="s">
        <v>1545</v>
      </c>
      <c r="O229" s="3" t="s">
        <v>64</v>
      </c>
      <c r="P229" s="3" t="s">
        <v>65</v>
      </c>
      <c r="R229" s="3" t="s">
        <v>66</v>
      </c>
      <c r="S229" s="4">
        <v>8</v>
      </c>
      <c r="T229" s="4">
        <v>36</v>
      </c>
      <c r="U229" s="5" t="s">
        <v>2769</v>
      </c>
      <c r="V229" s="5" t="s">
        <v>2029</v>
      </c>
      <c r="W229" s="5" t="s">
        <v>2389</v>
      </c>
      <c r="X229" s="5" t="s">
        <v>3021</v>
      </c>
      <c r="Y229" s="4">
        <v>320</v>
      </c>
      <c r="Z229" s="4">
        <v>300</v>
      </c>
      <c r="AA229" s="4">
        <v>1086</v>
      </c>
      <c r="AB229" s="4">
        <v>1</v>
      </c>
      <c r="AC229" s="4">
        <v>4</v>
      </c>
      <c r="AD229" s="4">
        <v>10</v>
      </c>
      <c r="AE229" s="4">
        <v>32</v>
      </c>
      <c r="AF229" s="4">
        <v>3</v>
      </c>
      <c r="AG229" s="4">
        <v>15</v>
      </c>
      <c r="AH229" s="4">
        <v>1</v>
      </c>
      <c r="AI229" s="4">
        <v>5</v>
      </c>
      <c r="AJ229" s="4">
        <v>8</v>
      </c>
      <c r="AK229" s="4">
        <v>15</v>
      </c>
      <c r="AL229" s="4">
        <v>0</v>
      </c>
      <c r="AM229" s="4">
        <v>3</v>
      </c>
      <c r="AN229" s="4">
        <v>0</v>
      </c>
      <c r="AO229" s="4">
        <v>0</v>
      </c>
      <c r="AP229" s="3" t="s">
        <v>58</v>
      </c>
      <c r="AQ229" s="3" t="s">
        <v>69</v>
      </c>
      <c r="AR229" s="6" t="str">
        <f>HYPERLINK("http://catalog.hathitrust.org/Record/000230802","HathiTrust Record")</f>
        <v>HathiTrust Record</v>
      </c>
      <c r="AS229" s="6" t="str">
        <f>HYPERLINK("https://creighton-primo.hosted.exlibrisgroup.com/primo-explore/search?tab=default_tab&amp;search_scope=EVERYTHING&amp;vid=01CRU&amp;lang=en_US&amp;offset=0&amp;query=any,contains,991004287639702656","Catalog Record")</f>
        <v>Catalog Record</v>
      </c>
      <c r="AT229" s="6" t="str">
        <f>HYPERLINK("http://www.worldcat.org/oclc/2379072","WorldCat Record")</f>
        <v>WorldCat Record</v>
      </c>
      <c r="AU229" s="3" t="s">
        <v>3022</v>
      </c>
      <c r="AV229" s="3" t="s">
        <v>3023</v>
      </c>
      <c r="AW229" s="3" t="s">
        <v>3024</v>
      </c>
      <c r="AX229" s="3" t="s">
        <v>3024</v>
      </c>
      <c r="AY229" s="3" t="s">
        <v>3025</v>
      </c>
      <c r="AZ229" s="3" t="s">
        <v>74</v>
      </c>
      <c r="BB229" s="3" t="s">
        <v>3026</v>
      </c>
      <c r="BC229" s="3" t="s">
        <v>3031</v>
      </c>
      <c r="BD229" s="3" t="s">
        <v>3032</v>
      </c>
    </row>
    <row r="230" spans="1:56" ht="34.5" customHeight="1" x14ac:dyDescent="0.25">
      <c r="A230" s="7" t="s">
        <v>58</v>
      </c>
      <c r="B230" s="2" t="s">
        <v>3015</v>
      </c>
      <c r="C230" s="2" t="s">
        <v>3016</v>
      </c>
      <c r="D230" s="2" t="s">
        <v>3017</v>
      </c>
      <c r="E230" s="3" t="s">
        <v>3033</v>
      </c>
      <c r="F230" s="3" t="s">
        <v>69</v>
      </c>
      <c r="G230" s="3" t="s">
        <v>59</v>
      </c>
      <c r="H230" s="3" t="s">
        <v>58</v>
      </c>
      <c r="I230" s="3" t="s">
        <v>58</v>
      </c>
      <c r="J230" s="3" t="s">
        <v>60</v>
      </c>
      <c r="K230" s="2" t="s">
        <v>3018</v>
      </c>
      <c r="L230" s="2" t="s">
        <v>3019</v>
      </c>
      <c r="M230" s="3" t="s">
        <v>1545</v>
      </c>
      <c r="O230" s="3" t="s">
        <v>64</v>
      </c>
      <c r="P230" s="3" t="s">
        <v>65</v>
      </c>
      <c r="R230" s="3" t="s">
        <v>66</v>
      </c>
      <c r="S230" s="4">
        <v>5</v>
      </c>
      <c r="T230" s="4">
        <v>36</v>
      </c>
      <c r="U230" s="5" t="s">
        <v>3034</v>
      </c>
      <c r="V230" s="5" t="s">
        <v>2029</v>
      </c>
      <c r="W230" s="5" t="s">
        <v>3021</v>
      </c>
      <c r="X230" s="5" t="s">
        <v>3021</v>
      </c>
      <c r="Y230" s="4">
        <v>320</v>
      </c>
      <c r="Z230" s="4">
        <v>300</v>
      </c>
      <c r="AA230" s="4">
        <v>1086</v>
      </c>
      <c r="AB230" s="4">
        <v>1</v>
      </c>
      <c r="AC230" s="4">
        <v>4</v>
      </c>
      <c r="AD230" s="4">
        <v>10</v>
      </c>
      <c r="AE230" s="4">
        <v>32</v>
      </c>
      <c r="AF230" s="4">
        <v>3</v>
      </c>
      <c r="AG230" s="4">
        <v>15</v>
      </c>
      <c r="AH230" s="4">
        <v>1</v>
      </c>
      <c r="AI230" s="4">
        <v>5</v>
      </c>
      <c r="AJ230" s="4">
        <v>8</v>
      </c>
      <c r="AK230" s="4">
        <v>15</v>
      </c>
      <c r="AL230" s="4">
        <v>0</v>
      </c>
      <c r="AM230" s="4">
        <v>3</v>
      </c>
      <c r="AN230" s="4">
        <v>0</v>
      </c>
      <c r="AO230" s="4">
        <v>0</v>
      </c>
      <c r="AP230" s="3" t="s">
        <v>58</v>
      </c>
      <c r="AQ230" s="3" t="s">
        <v>69</v>
      </c>
      <c r="AR230" s="6" t="str">
        <f>HYPERLINK("http://catalog.hathitrust.org/Record/000230802","HathiTrust Record")</f>
        <v>HathiTrust Record</v>
      </c>
      <c r="AS230" s="6" t="str">
        <f>HYPERLINK("https://creighton-primo.hosted.exlibrisgroup.com/primo-explore/search?tab=default_tab&amp;search_scope=EVERYTHING&amp;vid=01CRU&amp;lang=en_US&amp;offset=0&amp;query=any,contains,991004287639702656","Catalog Record")</f>
        <v>Catalog Record</v>
      </c>
      <c r="AT230" s="6" t="str">
        <f>HYPERLINK("http://www.worldcat.org/oclc/2379072","WorldCat Record")</f>
        <v>WorldCat Record</v>
      </c>
      <c r="AU230" s="3" t="s">
        <v>3022</v>
      </c>
      <c r="AV230" s="3" t="s">
        <v>3023</v>
      </c>
      <c r="AW230" s="3" t="s">
        <v>3024</v>
      </c>
      <c r="AX230" s="3" t="s">
        <v>3024</v>
      </c>
      <c r="AY230" s="3" t="s">
        <v>3025</v>
      </c>
      <c r="AZ230" s="3" t="s">
        <v>74</v>
      </c>
      <c r="BB230" s="3" t="s">
        <v>3026</v>
      </c>
      <c r="BC230" s="3" t="s">
        <v>3035</v>
      </c>
      <c r="BD230" s="3" t="s">
        <v>3036</v>
      </c>
    </row>
    <row r="231" spans="1:56" ht="34.5" customHeight="1" x14ac:dyDescent="0.25">
      <c r="A231" s="7" t="s">
        <v>58</v>
      </c>
      <c r="B231" s="2" t="s">
        <v>3037</v>
      </c>
      <c r="C231" s="2" t="s">
        <v>3038</v>
      </c>
      <c r="D231" s="2" t="s">
        <v>3039</v>
      </c>
      <c r="F231" s="3" t="s">
        <v>58</v>
      </c>
      <c r="G231" s="3" t="s">
        <v>59</v>
      </c>
      <c r="H231" s="3" t="s">
        <v>58</v>
      </c>
      <c r="I231" s="3" t="s">
        <v>58</v>
      </c>
      <c r="J231" s="3" t="s">
        <v>60</v>
      </c>
      <c r="K231" s="2" t="s">
        <v>3040</v>
      </c>
      <c r="L231" s="2" t="s">
        <v>3041</v>
      </c>
      <c r="M231" s="3" t="s">
        <v>99</v>
      </c>
      <c r="O231" s="3" t="s">
        <v>64</v>
      </c>
      <c r="P231" s="3" t="s">
        <v>65</v>
      </c>
      <c r="R231" s="3" t="s">
        <v>66</v>
      </c>
      <c r="S231" s="4">
        <v>24</v>
      </c>
      <c r="T231" s="4">
        <v>24</v>
      </c>
      <c r="U231" s="5" t="s">
        <v>2029</v>
      </c>
      <c r="V231" s="5" t="s">
        <v>2029</v>
      </c>
      <c r="W231" s="5" t="s">
        <v>2732</v>
      </c>
      <c r="X231" s="5" t="s">
        <v>2732</v>
      </c>
      <c r="Y231" s="4">
        <v>1320</v>
      </c>
      <c r="Z231" s="4">
        <v>1222</v>
      </c>
      <c r="AA231" s="4">
        <v>1761</v>
      </c>
      <c r="AB231" s="4">
        <v>7</v>
      </c>
      <c r="AC231" s="4">
        <v>12</v>
      </c>
      <c r="AD231" s="4">
        <v>21</v>
      </c>
      <c r="AE231" s="4">
        <v>32</v>
      </c>
      <c r="AF231" s="4">
        <v>9</v>
      </c>
      <c r="AG231" s="4">
        <v>13</v>
      </c>
      <c r="AH231" s="4">
        <v>4</v>
      </c>
      <c r="AI231" s="4">
        <v>6</v>
      </c>
      <c r="AJ231" s="4">
        <v>9</v>
      </c>
      <c r="AK231" s="4">
        <v>15</v>
      </c>
      <c r="AL231" s="4">
        <v>3</v>
      </c>
      <c r="AM231" s="4">
        <v>6</v>
      </c>
      <c r="AN231" s="4">
        <v>0</v>
      </c>
      <c r="AO231" s="4">
        <v>0</v>
      </c>
      <c r="AP231" s="3" t="s">
        <v>58</v>
      </c>
      <c r="AQ231" s="3" t="s">
        <v>69</v>
      </c>
      <c r="AR231" s="6" t="str">
        <f>HYPERLINK("http://catalog.hathitrust.org/Record/006937321","HathiTrust Record")</f>
        <v>HathiTrust Record</v>
      </c>
      <c r="AS231" s="6" t="str">
        <f>HYPERLINK("https://creighton-primo.hosted.exlibrisgroup.com/primo-explore/search?tab=default_tab&amp;search_scope=EVERYTHING&amp;vid=01CRU&amp;lang=en_US&amp;offset=0&amp;query=any,contains,991004893149702656","Catalog Record")</f>
        <v>Catalog Record</v>
      </c>
      <c r="AT231" s="6" t="str">
        <f>HYPERLINK("http://www.worldcat.org/oclc/5889305","WorldCat Record")</f>
        <v>WorldCat Record</v>
      </c>
      <c r="AU231" s="3" t="s">
        <v>3042</v>
      </c>
      <c r="AV231" s="3" t="s">
        <v>3043</v>
      </c>
      <c r="AW231" s="3" t="s">
        <v>3044</v>
      </c>
      <c r="AX231" s="3" t="s">
        <v>3044</v>
      </c>
      <c r="AY231" s="3" t="s">
        <v>3045</v>
      </c>
      <c r="AZ231" s="3" t="s">
        <v>74</v>
      </c>
      <c r="BB231" s="3" t="s">
        <v>3046</v>
      </c>
      <c r="BC231" s="3" t="s">
        <v>3047</v>
      </c>
      <c r="BD231" s="3" t="s">
        <v>3048</v>
      </c>
    </row>
    <row r="232" spans="1:56" ht="34.5" customHeight="1" x14ac:dyDescent="0.25">
      <c r="A232" s="7" t="s">
        <v>58</v>
      </c>
      <c r="B232" s="2" t="s">
        <v>3049</v>
      </c>
      <c r="C232" s="2" t="s">
        <v>3050</v>
      </c>
      <c r="D232" s="2" t="s">
        <v>3051</v>
      </c>
      <c r="E232" s="3" t="s">
        <v>2166</v>
      </c>
      <c r="F232" s="3" t="s">
        <v>69</v>
      </c>
      <c r="G232" s="3" t="s">
        <v>59</v>
      </c>
      <c r="H232" s="3" t="s">
        <v>58</v>
      </c>
      <c r="I232" s="3" t="s">
        <v>58</v>
      </c>
      <c r="J232" s="3" t="s">
        <v>60</v>
      </c>
      <c r="K232" s="2" t="s">
        <v>3052</v>
      </c>
      <c r="L232" s="2" t="s">
        <v>3053</v>
      </c>
      <c r="M232" s="3" t="s">
        <v>237</v>
      </c>
      <c r="N232" s="2" t="s">
        <v>284</v>
      </c>
      <c r="O232" s="3" t="s">
        <v>64</v>
      </c>
      <c r="P232" s="3" t="s">
        <v>65</v>
      </c>
      <c r="R232" s="3" t="s">
        <v>66</v>
      </c>
      <c r="S232" s="4">
        <v>1</v>
      </c>
      <c r="T232" s="4">
        <v>22</v>
      </c>
      <c r="U232" s="5" t="s">
        <v>3054</v>
      </c>
      <c r="V232" s="5" t="s">
        <v>2029</v>
      </c>
      <c r="W232" s="5" t="s">
        <v>102</v>
      </c>
      <c r="X232" s="5" t="s">
        <v>102</v>
      </c>
      <c r="Y232" s="4">
        <v>952</v>
      </c>
      <c r="Z232" s="4">
        <v>893</v>
      </c>
      <c r="AA232" s="4">
        <v>899</v>
      </c>
      <c r="AB232" s="4">
        <v>5</v>
      </c>
      <c r="AC232" s="4">
        <v>5</v>
      </c>
      <c r="AD232" s="4">
        <v>22</v>
      </c>
      <c r="AE232" s="4">
        <v>22</v>
      </c>
      <c r="AF232" s="4">
        <v>8</v>
      </c>
      <c r="AG232" s="4">
        <v>8</v>
      </c>
      <c r="AH232" s="4">
        <v>4</v>
      </c>
      <c r="AI232" s="4">
        <v>4</v>
      </c>
      <c r="AJ232" s="4">
        <v>11</v>
      </c>
      <c r="AK232" s="4">
        <v>11</v>
      </c>
      <c r="AL232" s="4">
        <v>3</v>
      </c>
      <c r="AM232" s="4">
        <v>3</v>
      </c>
      <c r="AN232" s="4">
        <v>0</v>
      </c>
      <c r="AO232" s="4">
        <v>0</v>
      </c>
      <c r="AP232" s="3" t="s">
        <v>58</v>
      </c>
      <c r="AQ232" s="3" t="s">
        <v>69</v>
      </c>
      <c r="AR232" s="6" t="str">
        <f>HYPERLINK("http://catalog.hathitrust.org/Record/000144838","HathiTrust Record")</f>
        <v>HathiTrust Record</v>
      </c>
      <c r="AS232" s="6" t="str">
        <f>HYPERLINK("https://creighton-primo.hosted.exlibrisgroup.com/primo-explore/search?tab=default_tab&amp;search_scope=EVERYTHING&amp;vid=01CRU&amp;lang=en_US&amp;offset=0&amp;query=any,contains,991005058779702656","Catalog Record")</f>
        <v>Catalog Record</v>
      </c>
      <c r="AT232" s="6" t="str">
        <f>HYPERLINK("http://www.worldcat.org/oclc/6915859","WorldCat Record")</f>
        <v>WorldCat Record</v>
      </c>
      <c r="AU232" s="3" t="s">
        <v>3055</v>
      </c>
      <c r="AV232" s="3" t="s">
        <v>3056</v>
      </c>
      <c r="AW232" s="3" t="s">
        <v>3057</v>
      </c>
      <c r="AX232" s="3" t="s">
        <v>3057</v>
      </c>
      <c r="AY232" s="3" t="s">
        <v>3058</v>
      </c>
      <c r="AZ232" s="3" t="s">
        <v>74</v>
      </c>
      <c r="BB232" s="3" t="s">
        <v>3059</v>
      </c>
      <c r="BC232" s="3" t="s">
        <v>3060</v>
      </c>
      <c r="BD232" s="3" t="s">
        <v>3061</v>
      </c>
    </row>
    <row r="233" spans="1:56" ht="34.5" customHeight="1" x14ac:dyDescent="0.25">
      <c r="A233" s="7" t="s">
        <v>58</v>
      </c>
      <c r="B233" s="2" t="s">
        <v>3049</v>
      </c>
      <c r="C233" s="2" t="s">
        <v>3050</v>
      </c>
      <c r="D233" s="2" t="s">
        <v>3051</v>
      </c>
      <c r="E233" s="3" t="s">
        <v>202</v>
      </c>
      <c r="F233" s="3" t="s">
        <v>69</v>
      </c>
      <c r="G233" s="3" t="s">
        <v>59</v>
      </c>
      <c r="H233" s="3" t="s">
        <v>58</v>
      </c>
      <c r="I233" s="3" t="s">
        <v>58</v>
      </c>
      <c r="J233" s="3" t="s">
        <v>60</v>
      </c>
      <c r="K233" s="2" t="s">
        <v>3052</v>
      </c>
      <c r="L233" s="2" t="s">
        <v>3053</v>
      </c>
      <c r="M233" s="3" t="s">
        <v>237</v>
      </c>
      <c r="N233" s="2" t="s">
        <v>284</v>
      </c>
      <c r="O233" s="3" t="s">
        <v>64</v>
      </c>
      <c r="P233" s="3" t="s">
        <v>65</v>
      </c>
      <c r="R233" s="3" t="s">
        <v>66</v>
      </c>
      <c r="S233" s="4">
        <v>16</v>
      </c>
      <c r="T233" s="4">
        <v>22</v>
      </c>
      <c r="U233" s="5" t="s">
        <v>2029</v>
      </c>
      <c r="V233" s="5" t="s">
        <v>2029</v>
      </c>
      <c r="W233" s="5" t="s">
        <v>3062</v>
      </c>
      <c r="X233" s="5" t="s">
        <v>102</v>
      </c>
      <c r="Y233" s="4">
        <v>952</v>
      </c>
      <c r="Z233" s="4">
        <v>893</v>
      </c>
      <c r="AA233" s="4">
        <v>899</v>
      </c>
      <c r="AB233" s="4">
        <v>5</v>
      </c>
      <c r="AC233" s="4">
        <v>5</v>
      </c>
      <c r="AD233" s="4">
        <v>22</v>
      </c>
      <c r="AE233" s="4">
        <v>22</v>
      </c>
      <c r="AF233" s="4">
        <v>8</v>
      </c>
      <c r="AG233" s="4">
        <v>8</v>
      </c>
      <c r="AH233" s="4">
        <v>4</v>
      </c>
      <c r="AI233" s="4">
        <v>4</v>
      </c>
      <c r="AJ233" s="4">
        <v>11</v>
      </c>
      <c r="AK233" s="4">
        <v>11</v>
      </c>
      <c r="AL233" s="4">
        <v>3</v>
      </c>
      <c r="AM233" s="4">
        <v>3</v>
      </c>
      <c r="AN233" s="4">
        <v>0</v>
      </c>
      <c r="AO233" s="4">
        <v>0</v>
      </c>
      <c r="AP233" s="3" t="s">
        <v>58</v>
      </c>
      <c r="AQ233" s="3" t="s">
        <v>69</v>
      </c>
      <c r="AR233" s="6" t="str">
        <f>HYPERLINK("http://catalog.hathitrust.org/Record/000144838","HathiTrust Record")</f>
        <v>HathiTrust Record</v>
      </c>
      <c r="AS233" s="6" t="str">
        <f>HYPERLINK("https://creighton-primo.hosted.exlibrisgroup.com/primo-explore/search?tab=default_tab&amp;search_scope=EVERYTHING&amp;vid=01CRU&amp;lang=en_US&amp;offset=0&amp;query=any,contains,991005058779702656","Catalog Record")</f>
        <v>Catalog Record</v>
      </c>
      <c r="AT233" s="6" t="str">
        <f>HYPERLINK("http://www.worldcat.org/oclc/6915859","WorldCat Record")</f>
        <v>WorldCat Record</v>
      </c>
      <c r="AU233" s="3" t="s">
        <v>3055</v>
      </c>
      <c r="AV233" s="3" t="s">
        <v>3056</v>
      </c>
      <c r="AW233" s="3" t="s">
        <v>3057</v>
      </c>
      <c r="AX233" s="3" t="s">
        <v>3057</v>
      </c>
      <c r="AY233" s="3" t="s">
        <v>3058</v>
      </c>
      <c r="AZ233" s="3" t="s">
        <v>74</v>
      </c>
      <c r="BB233" s="3" t="s">
        <v>3059</v>
      </c>
      <c r="BC233" s="3" t="s">
        <v>3063</v>
      </c>
      <c r="BD233" s="3" t="s">
        <v>3064</v>
      </c>
    </row>
    <row r="234" spans="1:56" ht="34.5" customHeight="1" x14ac:dyDescent="0.25">
      <c r="A234" s="7" t="s">
        <v>58</v>
      </c>
      <c r="B234" s="2" t="s">
        <v>3049</v>
      </c>
      <c r="C234" s="2" t="s">
        <v>3050</v>
      </c>
      <c r="D234" s="2" t="s">
        <v>3051</v>
      </c>
      <c r="E234" s="3" t="s">
        <v>190</v>
      </c>
      <c r="F234" s="3" t="s">
        <v>69</v>
      </c>
      <c r="G234" s="3" t="s">
        <v>59</v>
      </c>
      <c r="H234" s="3" t="s">
        <v>58</v>
      </c>
      <c r="I234" s="3" t="s">
        <v>58</v>
      </c>
      <c r="J234" s="3" t="s">
        <v>60</v>
      </c>
      <c r="K234" s="2" t="s">
        <v>3052</v>
      </c>
      <c r="L234" s="2" t="s">
        <v>3053</v>
      </c>
      <c r="M234" s="3" t="s">
        <v>237</v>
      </c>
      <c r="N234" s="2" t="s">
        <v>284</v>
      </c>
      <c r="O234" s="3" t="s">
        <v>64</v>
      </c>
      <c r="P234" s="3" t="s">
        <v>65</v>
      </c>
      <c r="R234" s="3" t="s">
        <v>66</v>
      </c>
      <c r="S234" s="4">
        <v>5</v>
      </c>
      <c r="T234" s="4">
        <v>22</v>
      </c>
      <c r="U234" s="5" t="s">
        <v>2769</v>
      </c>
      <c r="V234" s="5" t="s">
        <v>2029</v>
      </c>
      <c r="W234" s="5" t="s">
        <v>3065</v>
      </c>
      <c r="X234" s="5" t="s">
        <v>102</v>
      </c>
      <c r="Y234" s="4">
        <v>952</v>
      </c>
      <c r="Z234" s="4">
        <v>893</v>
      </c>
      <c r="AA234" s="4">
        <v>899</v>
      </c>
      <c r="AB234" s="4">
        <v>5</v>
      </c>
      <c r="AC234" s="4">
        <v>5</v>
      </c>
      <c r="AD234" s="4">
        <v>22</v>
      </c>
      <c r="AE234" s="4">
        <v>22</v>
      </c>
      <c r="AF234" s="4">
        <v>8</v>
      </c>
      <c r="AG234" s="4">
        <v>8</v>
      </c>
      <c r="AH234" s="4">
        <v>4</v>
      </c>
      <c r="AI234" s="4">
        <v>4</v>
      </c>
      <c r="AJ234" s="4">
        <v>11</v>
      </c>
      <c r="AK234" s="4">
        <v>11</v>
      </c>
      <c r="AL234" s="4">
        <v>3</v>
      </c>
      <c r="AM234" s="4">
        <v>3</v>
      </c>
      <c r="AN234" s="4">
        <v>0</v>
      </c>
      <c r="AO234" s="4">
        <v>0</v>
      </c>
      <c r="AP234" s="3" t="s">
        <v>58</v>
      </c>
      <c r="AQ234" s="3" t="s">
        <v>69</v>
      </c>
      <c r="AR234" s="6" t="str">
        <f>HYPERLINK("http://catalog.hathitrust.org/Record/000144838","HathiTrust Record")</f>
        <v>HathiTrust Record</v>
      </c>
      <c r="AS234" s="6" t="str">
        <f>HYPERLINK("https://creighton-primo.hosted.exlibrisgroup.com/primo-explore/search?tab=default_tab&amp;search_scope=EVERYTHING&amp;vid=01CRU&amp;lang=en_US&amp;offset=0&amp;query=any,contains,991005058779702656","Catalog Record")</f>
        <v>Catalog Record</v>
      </c>
      <c r="AT234" s="6" t="str">
        <f>HYPERLINK("http://www.worldcat.org/oclc/6915859","WorldCat Record")</f>
        <v>WorldCat Record</v>
      </c>
      <c r="AU234" s="3" t="s">
        <v>3055</v>
      </c>
      <c r="AV234" s="3" t="s">
        <v>3056</v>
      </c>
      <c r="AW234" s="3" t="s">
        <v>3057</v>
      </c>
      <c r="AX234" s="3" t="s">
        <v>3057</v>
      </c>
      <c r="AY234" s="3" t="s">
        <v>3058</v>
      </c>
      <c r="AZ234" s="3" t="s">
        <v>74</v>
      </c>
      <c r="BB234" s="3" t="s">
        <v>3059</v>
      </c>
      <c r="BC234" s="3" t="s">
        <v>3066</v>
      </c>
      <c r="BD234" s="3" t="s">
        <v>3067</v>
      </c>
    </row>
    <row r="235" spans="1:56" ht="34.5" customHeight="1" x14ac:dyDescent="0.25">
      <c r="A235" s="7" t="s">
        <v>58</v>
      </c>
      <c r="B235" s="2" t="s">
        <v>3068</v>
      </c>
      <c r="C235" s="2" t="s">
        <v>3069</v>
      </c>
      <c r="D235" s="2" t="s">
        <v>3070</v>
      </c>
      <c r="F235" s="3" t="s">
        <v>58</v>
      </c>
      <c r="G235" s="3" t="s">
        <v>59</v>
      </c>
      <c r="H235" s="3" t="s">
        <v>58</v>
      </c>
      <c r="I235" s="3" t="s">
        <v>58</v>
      </c>
      <c r="J235" s="3" t="s">
        <v>60</v>
      </c>
      <c r="K235" s="2" t="s">
        <v>3052</v>
      </c>
      <c r="L235" s="2" t="s">
        <v>3071</v>
      </c>
      <c r="M235" s="3" t="s">
        <v>237</v>
      </c>
      <c r="N235" s="2" t="s">
        <v>3072</v>
      </c>
      <c r="O235" s="3" t="s">
        <v>64</v>
      </c>
      <c r="P235" s="3" t="s">
        <v>65</v>
      </c>
      <c r="R235" s="3" t="s">
        <v>66</v>
      </c>
      <c r="S235" s="4">
        <v>21</v>
      </c>
      <c r="T235" s="4">
        <v>21</v>
      </c>
      <c r="U235" s="5" t="s">
        <v>3073</v>
      </c>
      <c r="V235" s="5" t="s">
        <v>3073</v>
      </c>
      <c r="W235" s="5" t="s">
        <v>3074</v>
      </c>
      <c r="X235" s="5" t="s">
        <v>3074</v>
      </c>
      <c r="Y235" s="4">
        <v>341</v>
      </c>
      <c r="Z235" s="4">
        <v>330</v>
      </c>
      <c r="AA235" s="4">
        <v>1592</v>
      </c>
      <c r="AB235" s="4">
        <v>2</v>
      </c>
      <c r="AC235" s="4">
        <v>14</v>
      </c>
      <c r="AD235" s="4">
        <v>8</v>
      </c>
      <c r="AE235" s="4">
        <v>43</v>
      </c>
      <c r="AF235" s="4">
        <v>7</v>
      </c>
      <c r="AG235" s="4">
        <v>19</v>
      </c>
      <c r="AH235" s="4">
        <v>0</v>
      </c>
      <c r="AI235" s="4">
        <v>8</v>
      </c>
      <c r="AJ235" s="4">
        <v>3</v>
      </c>
      <c r="AK235" s="4">
        <v>19</v>
      </c>
      <c r="AL235" s="4">
        <v>0</v>
      </c>
      <c r="AM235" s="4">
        <v>8</v>
      </c>
      <c r="AN235" s="4">
        <v>0</v>
      </c>
      <c r="AO235" s="4">
        <v>0</v>
      </c>
      <c r="AP235" s="3" t="s">
        <v>58</v>
      </c>
      <c r="AQ235" s="3" t="s">
        <v>69</v>
      </c>
      <c r="AR235" s="6" t="str">
        <f>HYPERLINK("http://catalog.hathitrust.org/Record/101924879","HathiTrust Record")</f>
        <v>HathiTrust Record</v>
      </c>
      <c r="AS235" s="6" t="str">
        <f>HYPERLINK("https://creighton-primo.hosted.exlibrisgroup.com/primo-explore/search?tab=default_tab&amp;search_scope=EVERYTHING&amp;vid=01CRU&amp;lang=en_US&amp;offset=0&amp;query=any,contains,991005169089702656","Catalog Record")</f>
        <v>Catalog Record</v>
      </c>
      <c r="AT235" s="6" t="str">
        <f>HYPERLINK("http://www.worldcat.org/oclc/7837837","WorldCat Record")</f>
        <v>WorldCat Record</v>
      </c>
      <c r="AU235" s="3" t="s">
        <v>3075</v>
      </c>
      <c r="AV235" s="3" t="s">
        <v>3076</v>
      </c>
      <c r="AW235" s="3" t="s">
        <v>3077</v>
      </c>
      <c r="AX235" s="3" t="s">
        <v>3077</v>
      </c>
      <c r="AY235" s="3" t="s">
        <v>3078</v>
      </c>
      <c r="AZ235" s="3" t="s">
        <v>74</v>
      </c>
      <c r="BB235" s="3" t="s">
        <v>3079</v>
      </c>
      <c r="BC235" s="3" t="s">
        <v>3080</v>
      </c>
      <c r="BD235" s="3" t="s">
        <v>3081</v>
      </c>
    </row>
    <row r="236" spans="1:56" ht="34.5" customHeight="1" x14ac:dyDescent="0.25">
      <c r="A236" s="7" t="s">
        <v>58</v>
      </c>
      <c r="B236" s="2" t="s">
        <v>3082</v>
      </c>
      <c r="C236" s="2" t="s">
        <v>3083</v>
      </c>
      <c r="D236" s="2" t="s">
        <v>3084</v>
      </c>
      <c r="F236" s="3" t="s">
        <v>58</v>
      </c>
      <c r="G236" s="3" t="s">
        <v>59</v>
      </c>
      <c r="H236" s="3" t="s">
        <v>58</v>
      </c>
      <c r="I236" s="3" t="s">
        <v>58</v>
      </c>
      <c r="J236" s="3" t="s">
        <v>60</v>
      </c>
      <c r="K236" s="2" t="s">
        <v>3085</v>
      </c>
      <c r="L236" s="2" t="s">
        <v>3086</v>
      </c>
      <c r="M236" s="3" t="s">
        <v>382</v>
      </c>
      <c r="O236" s="3" t="s">
        <v>64</v>
      </c>
      <c r="P236" s="3" t="s">
        <v>252</v>
      </c>
      <c r="R236" s="3" t="s">
        <v>66</v>
      </c>
      <c r="S236" s="4">
        <v>5</v>
      </c>
      <c r="T236" s="4">
        <v>5</v>
      </c>
      <c r="U236" s="5" t="s">
        <v>3087</v>
      </c>
      <c r="V236" s="5" t="s">
        <v>3087</v>
      </c>
      <c r="W236" s="5" t="s">
        <v>1416</v>
      </c>
      <c r="X236" s="5" t="s">
        <v>1416</v>
      </c>
      <c r="Y236" s="4">
        <v>1303</v>
      </c>
      <c r="Z236" s="4">
        <v>1207</v>
      </c>
      <c r="AA236" s="4">
        <v>1214</v>
      </c>
      <c r="AB236" s="4">
        <v>9</v>
      </c>
      <c r="AC236" s="4">
        <v>9</v>
      </c>
      <c r="AD236" s="4">
        <v>30</v>
      </c>
      <c r="AE236" s="4">
        <v>30</v>
      </c>
      <c r="AF236" s="4">
        <v>12</v>
      </c>
      <c r="AG236" s="4">
        <v>12</v>
      </c>
      <c r="AH236" s="4">
        <v>7</v>
      </c>
      <c r="AI236" s="4">
        <v>7</v>
      </c>
      <c r="AJ236" s="4">
        <v>14</v>
      </c>
      <c r="AK236" s="4">
        <v>14</v>
      </c>
      <c r="AL236" s="4">
        <v>4</v>
      </c>
      <c r="AM236" s="4">
        <v>4</v>
      </c>
      <c r="AN236" s="4">
        <v>0</v>
      </c>
      <c r="AO236" s="4">
        <v>0</v>
      </c>
      <c r="AP236" s="3" t="s">
        <v>58</v>
      </c>
      <c r="AQ236" s="3" t="s">
        <v>69</v>
      </c>
      <c r="AR236" s="6" t="str">
        <f>HYPERLINK("http://catalog.hathitrust.org/Record/000431853","HathiTrust Record")</f>
        <v>HathiTrust Record</v>
      </c>
      <c r="AS236" s="6" t="str">
        <f>HYPERLINK("https://creighton-primo.hosted.exlibrisgroup.com/primo-explore/search?tab=default_tab&amp;search_scope=EVERYTHING&amp;vid=01CRU&amp;lang=en_US&amp;offset=0&amp;query=any,contains,991000759589702656","Catalog Record")</f>
        <v>Catalog Record</v>
      </c>
      <c r="AT236" s="6" t="str">
        <f>HYPERLINK("http://www.worldcat.org/oclc/12971572","WorldCat Record")</f>
        <v>WorldCat Record</v>
      </c>
      <c r="AU236" s="3" t="s">
        <v>3088</v>
      </c>
      <c r="AV236" s="3" t="s">
        <v>3089</v>
      </c>
      <c r="AW236" s="3" t="s">
        <v>3090</v>
      </c>
      <c r="AX236" s="3" t="s">
        <v>3090</v>
      </c>
      <c r="AY236" s="3" t="s">
        <v>3091</v>
      </c>
      <c r="AZ236" s="3" t="s">
        <v>74</v>
      </c>
      <c r="BB236" s="3" t="s">
        <v>3092</v>
      </c>
      <c r="BC236" s="3" t="s">
        <v>3093</v>
      </c>
      <c r="BD236" s="3" t="s">
        <v>3094</v>
      </c>
    </row>
    <row r="237" spans="1:56" ht="34.5" customHeight="1" x14ac:dyDescent="0.25">
      <c r="A237" s="7" t="s">
        <v>58</v>
      </c>
      <c r="B237" s="2" t="s">
        <v>3095</v>
      </c>
      <c r="C237" s="2" t="s">
        <v>3096</v>
      </c>
      <c r="D237" s="2" t="s">
        <v>3097</v>
      </c>
      <c r="F237" s="3" t="s">
        <v>58</v>
      </c>
      <c r="G237" s="3" t="s">
        <v>59</v>
      </c>
      <c r="H237" s="3" t="s">
        <v>58</v>
      </c>
      <c r="I237" s="3" t="s">
        <v>58</v>
      </c>
      <c r="J237" s="3" t="s">
        <v>60</v>
      </c>
      <c r="K237" s="2" t="s">
        <v>3098</v>
      </c>
      <c r="L237" s="2" t="s">
        <v>3099</v>
      </c>
      <c r="M237" s="3" t="s">
        <v>3100</v>
      </c>
      <c r="O237" s="3" t="s">
        <v>64</v>
      </c>
      <c r="P237" s="3" t="s">
        <v>65</v>
      </c>
      <c r="R237" s="3" t="s">
        <v>66</v>
      </c>
      <c r="S237" s="4">
        <v>2</v>
      </c>
      <c r="T237" s="4">
        <v>2</v>
      </c>
      <c r="U237" s="5" t="s">
        <v>3087</v>
      </c>
      <c r="V237" s="5" t="s">
        <v>3087</v>
      </c>
      <c r="W237" s="5" t="s">
        <v>497</v>
      </c>
      <c r="X237" s="5" t="s">
        <v>497</v>
      </c>
      <c r="Y237" s="4">
        <v>415</v>
      </c>
      <c r="Z237" s="4">
        <v>390</v>
      </c>
      <c r="AA237" s="4">
        <v>780</v>
      </c>
      <c r="AB237" s="4">
        <v>6</v>
      </c>
      <c r="AC237" s="4">
        <v>12</v>
      </c>
      <c r="AD237" s="4">
        <v>17</v>
      </c>
      <c r="AE237" s="4">
        <v>33</v>
      </c>
      <c r="AF237" s="4">
        <v>7</v>
      </c>
      <c r="AG237" s="4">
        <v>15</v>
      </c>
      <c r="AH237" s="4">
        <v>2</v>
      </c>
      <c r="AI237" s="4">
        <v>4</v>
      </c>
      <c r="AJ237" s="4">
        <v>7</v>
      </c>
      <c r="AK237" s="4">
        <v>14</v>
      </c>
      <c r="AL237" s="4">
        <v>4</v>
      </c>
      <c r="AM237" s="4">
        <v>7</v>
      </c>
      <c r="AN237" s="4">
        <v>0</v>
      </c>
      <c r="AO237" s="4">
        <v>0</v>
      </c>
      <c r="AP237" s="3" t="s">
        <v>58</v>
      </c>
      <c r="AQ237" s="3" t="s">
        <v>69</v>
      </c>
      <c r="AR237" s="6" t="str">
        <f>HYPERLINK("http://catalog.hathitrust.org/Record/000411453","HathiTrust Record")</f>
        <v>HathiTrust Record</v>
      </c>
      <c r="AS237" s="6" t="str">
        <f>HYPERLINK("https://creighton-primo.hosted.exlibrisgroup.com/primo-explore/search?tab=default_tab&amp;search_scope=EVERYTHING&amp;vid=01CRU&amp;lang=en_US&amp;offset=0&amp;query=any,contains,991003435189702656","Catalog Record")</f>
        <v>Catalog Record</v>
      </c>
      <c r="AT237" s="6" t="str">
        <f>HYPERLINK("http://www.worldcat.org/oclc/970294","WorldCat Record")</f>
        <v>WorldCat Record</v>
      </c>
      <c r="AU237" s="3" t="s">
        <v>3101</v>
      </c>
      <c r="AV237" s="3" t="s">
        <v>3102</v>
      </c>
      <c r="AW237" s="3" t="s">
        <v>3103</v>
      </c>
      <c r="AX237" s="3" t="s">
        <v>3103</v>
      </c>
      <c r="AY237" s="3" t="s">
        <v>3104</v>
      </c>
      <c r="AZ237" s="3" t="s">
        <v>74</v>
      </c>
      <c r="BC237" s="3" t="s">
        <v>3105</v>
      </c>
      <c r="BD237" s="3" t="s">
        <v>3106</v>
      </c>
    </row>
    <row r="238" spans="1:56" ht="34.5" customHeight="1" x14ac:dyDescent="0.25">
      <c r="A238" s="7" t="s">
        <v>58</v>
      </c>
      <c r="B238" s="2" t="s">
        <v>3107</v>
      </c>
      <c r="C238" s="2" t="s">
        <v>3108</v>
      </c>
      <c r="D238" s="2" t="s">
        <v>3109</v>
      </c>
      <c r="F238" s="3" t="s">
        <v>58</v>
      </c>
      <c r="G238" s="3" t="s">
        <v>59</v>
      </c>
      <c r="H238" s="3" t="s">
        <v>58</v>
      </c>
      <c r="I238" s="3" t="s">
        <v>58</v>
      </c>
      <c r="J238" s="3" t="s">
        <v>60</v>
      </c>
      <c r="K238" s="2" t="s">
        <v>2211</v>
      </c>
      <c r="L238" s="2" t="s">
        <v>3110</v>
      </c>
      <c r="M238" s="3" t="s">
        <v>283</v>
      </c>
      <c r="O238" s="3" t="s">
        <v>64</v>
      </c>
      <c r="P238" s="3" t="s">
        <v>84</v>
      </c>
      <c r="Q238" s="2" t="s">
        <v>3111</v>
      </c>
      <c r="R238" s="3" t="s">
        <v>66</v>
      </c>
      <c r="S238" s="4">
        <v>4</v>
      </c>
      <c r="T238" s="4">
        <v>4</v>
      </c>
      <c r="U238" s="5" t="s">
        <v>3112</v>
      </c>
      <c r="V238" s="5" t="s">
        <v>3112</v>
      </c>
      <c r="W238" s="5" t="s">
        <v>3113</v>
      </c>
      <c r="X238" s="5" t="s">
        <v>3113</v>
      </c>
      <c r="Y238" s="4">
        <v>1749</v>
      </c>
      <c r="Z238" s="4">
        <v>1522</v>
      </c>
      <c r="AA238" s="4">
        <v>2430</v>
      </c>
      <c r="AB238" s="4">
        <v>17</v>
      </c>
      <c r="AC238" s="4">
        <v>19</v>
      </c>
      <c r="AD238" s="4">
        <v>45</v>
      </c>
      <c r="AE238" s="4">
        <v>58</v>
      </c>
      <c r="AF238" s="4">
        <v>16</v>
      </c>
      <c r="AG238" s="4">
        <v>24</v>
      </c>
      <c r="AH238" s="4">
        <v>8</v>
      </c>
      <c r="AI238" s="4">
        <v>11</v>
      </c>
      <c r="AJ238" s="4">
        <v>17</v>
      </c>
      <c r="AK238" s="4">
        <v>24</v>
      </c>
      <c r="AL238" s="4">
        <v>11</v>
      </c>
      <c r="AM238" s="4">
        <v>12</v>
      </c>
      <c r="AN238" s="4">
        <v>0</v>
      </c>
      <c r="AO238" s="4">
        <v>0</v>
      </c>
      <c r="AP238" s="3" t="s">
        <v>58</v>
      </c>
      <c r="AQ238" s="3" t="s">
        <v>58</v>
      </c>
      <c r="AS238" s="6" t="str">
        <f>HYPERLINK("https://creighton-primo.hosted.exlibrisgroup.com/primo-explore/search?tab=default_tab&amp;search_scope=EVERYTHING&amp;vid=01CRU&amp;lang=en_US&amp;offset=0&amp;query=any,contains,991002975249702656","Catalog Record")</f>
        <v>Catalog Record</v>
      </c>
      <c r="AT238" s="6" t="str">
        <f>HYPERLINK("http://www.worldcat.org/oclc/39890647","WorldCat Record")</f>
        <v>WorldCat Record</v>
      </c>
      <c r="AU238" s="3" t="s">
        <v>3114</v>
      </c>
      <c r="AV238" s="3" t="s">
        <v>3115</v>
      </c>
      <c r="AW238" s="3" t="s">
        <v>3116</v>
      </c>
      <c r="AX238" s="3" t="s">
        <v>3116</v>
      </c>
      <c r="AY238" s="3" t="s">
        <v>3117</v>
      </c>
      <c r="AZ238" s="3" t="s">
        <v>74</v>
      </c>
      <c r="BB238" s="3" t="s">
        <v>3118</v>
      </c>
      <c r="BC238" s="3" t="s">
        <v>3119</v>
      </c>
      <c r="BD238" s="3" t="s">
        <v>3120</v>
      </c>
    </row>
    <row r="239" spans="1:56" ht="34.5" customHeight="1" x14ac:dyDescent="0.25">
      <c r="A239" s="7" t="s">
        <v>58</v>
      </c>
      <c r="B239" s="2" t="s">
        <v>3121</v>
      </c>
      <c r="C239" s="2" t="s">
        <v>3122</v>
      </c>
      <c r="D239" s="2" t="s">
        <v>3123</v>
      </c>
      <c r="F239" s="3" t="s">
        <v>58</v>
      </c>
      <c r="G239" s="3" t="s">
        <v>59</v>
      </c>
      <c r="H239" s="3" t="s">
        <v>58</v>
      </c>
      <c r="I239" s="3" t="s">
        <v>58</v>
      </c>
      <c r="J239" s="3" t="s">
        <v>60</v>
      </c>
      <c r="K239" s="2" t="s">
        <v>3124</v>
      </c>
      <c r="L239" s="2" t="s">
        <v>3125</v>
      </c>
      <c r="M239" s="3" t="s">
        <v>1303</v>
      </c>
      <c r="N239" s="2" t="s">
        <v>1317</v>
      </c>
      <c r="O239" s="3" t="s">
        <v>64</v>
      </c>
      <c r="P239" s="3" t="s">
        <v>252</v>
      </c>
      <c r="R239" s="3" t="s">
        <v>66</v>
      </c>
      <c r="S239" s="4">
        <v>15</v>
      </c>
      <c r="T239" s="4">
        <v>15</v>
      </c>
      <c r="U239" s="5" t="s">
        <v>3112</v>
      </c>
      <c r="V239" s="5" t="s">
        <v>3112</v>
      </c>
      <c r="W239" s="5" t="s">
        <v>3126</v>
      </c>
      <c r="X239" s="5" t="s">
        <v>3126</v>
      </c>
      <c r="Y239" s="4">
        <v>566</v>
      </c>
      <c r="Z239" s="4">
        <v>470</v>
      </c>
      <c r="AA239" s="4">
        <v>1528</v>
      </c>
      <c r="AB239" s="4">
        <v>4</v>
      </c>
      <c r="AC239" s="4">
        <v>9</v>
      </c>
      <c r="AD239" s="4">
        <v>14</v>
      </c>
      <c r="AE239" s="4">
        <v>43</v>
      </c>
      <c r="AF239" s="4">
        <v>4</v>
      </c>
      <c r="AG239" s="4">
        <v>17</v>
      </c>
      <c r="AH239" s="4">
        <v>3</v>
      </c>
      <c r="AI239" s="4">
        <v>7</v>
      </c>
      <c r="AJ239" s="4">
        <v>9</v>
      </c>
      <c r="AK239" s="4">
        <v>21</v>
      </c>
      <c r="AL239" s="4">
        <v>2</v>
      </c>
      <c r="AM239" s="4">
        <v>7</v>
      </c>
      <c r="AN239" s="4">
        <v>0</v>
      </c>
      <c r="AO239" s="4">
        <v>0</v>
      </c>
      <c r="AP239" s="3" t="s">
        <v>58</v>
      </c>
      <c r="AQ239" s="3" t="s">
        <v>58</v>
      </c>
      <c r="AS239" s="6" t="str">
        <f>HYPERLINK("https://creighton-primo.hosted.exlibrisgroup.com/primo-explore/search?tab=default_tab&amp;search_scope=EVERYTHING&amp;vid=01CRU&amp;lang=en_US&amp;offset=0&amp;query=any,contains,991001944179702656","Catalog Record")</f>
        <v>Catalog Record</v>
      </c>
      <c r="AT239" s="6" t="str">
        <f>HYPERLINK("http://www.worldcat.org/oclc/24550249","WorldCat Record")</f>
        <v>WorldCat Record</v>
      </c>
      <c r="AU239" s="3" t="s">
        <v>3127</v>
      </c>
      <c r="AV239" s="3" t="s">
        <v>3128</v>
      </c>
      <c r="AW239" s="3" t="s">
        <v>3129</v>
      </c>
      <c r="AX239" s="3" t="s">
        <v>3129</v>
      </c>
      <c r="AY239" s="3" t="s">
        <v>3130</v>
      </c>
      <c r="AZ239" s="3" t="s">
        <v>74</v>
      </c>
      <c r="BB239" s="3" t="s">
        <v>3131</v>
      </c>
      <c r="BC239" s="3" t="s">
        <v>3132</v>
      </c>
      <c r="BD239" s="3" t="s">
        <v>3133</v>
      </c>
    </row>
    <row r="240" spans="1:56" ht="34.5" customHeight="1" x14ac:dyDescent="0.25">
      <c r="A240" s="7" t="s">
        <v>58</v>
      </c>
      <c r="B240" s="2" t="s">
        <v>3134</v>
      </c>
      <c r="C240" s="2" t="s">
        <v>3135</v>
      </c>
      <c r="D240" s="2" t="s">
        <v>3136</v>
      </c>
      <c r="F240" s="3" t="s">
        <v>58</v>
      </c>
      <c r="G240" s="3" t="s">
        <v>59</v>
      </c>
      <c r="H240" s="3" t="s">
        <v>58</v>
      </c>
      <c r="I240" s="3" t="s">
        <v>58</v>
      </c>
      <c r="J240" s="3" t="s">
        <v>60</v>
      </c>
      <c r="K240" s="2" t="s">
        <v>3137</v>
      </c>
      <c r="L240" s="2" t="s">
        <v>3138</v>
      </c>
      <c r="M240" s="3" t="s">
        <v>146</v>
      </c>
      <c r="O240" s="3" t="s">
        <v>64</v>
      </c>
      <c r="P240" s="3" t="s">
        <v>252</v>
      </c>
      <c r="R240" s="3" t="s">
        <v>66</v>
      </c>
      <c r="S240" s="4">
        <v>3</v>
      </c>
      <c r="T240" s="4">
        <v>3</v>
      </c>
      <c r="U240" s="5" t="s">
        <v>3139</v>
      </c>
      <c r="V240" s="5" t="s">
        <v>3139</v>
      </c>
      <c r="W240" s="5" t="s">
        <v>3140</v>
      </c>
      <c r="X240" s="5" t="s">
        <v>3140</v>
      </c>
      <c r="Y240" s="4">
        <v>533</v>
      </c>
      <c r="Z240" s="4">
        <v>510</v>
      </c>
      <c r="AA240" s="4">
        <v>515</v>
      </c>
      <c r="AB240" s="4">
        <v>4</v>
      </c>
      <c r="AC240" s="4">
        <v>4</v>
      </c>
      <c r="AD240" s="4">
        <v>14</v>
      </c>
      <c r="AE240" s="4">
        <v>14</v>
      </c>
      <c r="AF240" s="4">
        <v>5</v>
      </c>
      <c r="AG240" s="4">
        <v>5</v>
      </c>
      <c r="AH240" s="4">
        <v>3</v>
      </c>
      <c r="AI240" s="4">
        <v>3</v>
      </c>
      <c r="AJ240" s="4">
        <v>7</v>
      </c>
      <c r="AK240" s="4">
        <v>7</v>
      </c>
      <c r="AL240" s="4">
        <v>2</v>
      </c>
      <c r="AM240" s="4">
        <v>2</v>
      </c>
      <c r="AN240" s="4">
        <v>0</v>
      </c>
      <c r="AO240" s="4">
        <v>0</v>
      </c>
      <c r="AP240" s="3" t="s">
        <v>58</v>
      </c>
      <c r="AQ240" s="3" t="s">
        <v>58</v>
      </c>
      <c r="AS240" s="6" t="str">
        <f>HYPERLINK("https://creighton-primo.hosted.exlibrisgroup.com/primo-explore/search?tab=default_tab&amp;search_scope=EVERYTHING&amp;vid=01CRU&amp;lang=en_US&amp;offset=0&amp;query=any,contains,991002173709702656","Catalog Record")</f>
        <v>Catalog Record</v>
      </c>
      <c r="AT240" s="6" t="str">
        <f>HYPERLINK("http://www.worldcat.org/oclc/27975652","WorldCat Record")</f>
        <v>WorldCat Record</v>
      </c>
      <c r="AU240" s="3" t="s">
        <v>3141</v>
      </c>
      <c r="AV240" s="3" t="s">
        <v>3142</v>
      </c>
      <c r="AW240" s="3" t="s">
        <v>3143</v>
      </c>
      <c r="AX240" s="3" t="s">
        <v>3143</v>
      </c>
      <c r="AY240" s="3" t="s">
        <v>3144</v>
      </c>
      <c r="AZ240" s="3" t="s">
        <v>74</v>
      </c>
      <c r="BB240" s="3" t="s">
        <v>3145</v>
      </c>
      <c r="BC240" s="3" t="s">
        <v>3146</v>
      </c>
      <c r="BD240" s="3" t="s">
        <v>3147</v>
      </c>
    </row>
    <row r="241" spans="1:56" ht="34.5" customHeight="1" x14ac:dyDescent="0.25">
      <c r="A241" s="7" t="s">
        <v>58</v>
      </c>
      <c r="B241" s="2" t="s">
        <v>3148</v>
      </c>
      <c r="C241" s="2" t="s">
        <v>3149</v>
      </c>
      <c r="D241" s="2" t="s">
        <v>3150</v>
      </c>
      <c r="F241" s="3" t="s">
        <v>58</v>
      </c>
      <c r="G241" s="3" t="s">
        <v>59</v>
      </c>
      <c r="H241" s="3" t="s">
        <v>58</v>
      </c>
      <c r="I241" s="3" t="s">
        <v>58</v>
      </c>
      <c r="J241" s="3" t="s">
        <v>60</v>
      </c>
      <c r="K241" s="2" t="s">
        <v>3151</v>
      </c>
      <c r="L241" s="2" t="s">
        <v>3152</v>
      </c>
      <c r="M241" s="3" t="s">
        <v>1545</v>
      </c>
      <c r="O241" s="3" t="s">
        <v>64</v>
      </c>
      <c r="P241" s="3" t="s">
        <v>670</v>
      </c>
      <c r="R241" s="3" t="s">
        <v>66</v>
      </c>
      <c r="S241" s="4">
        <v>10</v>
      </c>
      <c r="T241" s="4">
        <v>10</v>
      </c>
      <c r="U241" s="5" t="s">
        <v>2769</v>
      </c>
      <c r="V241" s="5" t="s">
        <v>2769</v>
      </c>
      <c r="W241" s="5" t="s">
        <v>552</v>
      </c>
      <c r="X241" s="5" t="s">
        <v>552</v>
      </c>
      <c r="Y241" s="4">
        <v>958</v>
      </c>
      <c r="Z241" s="4">
        <v>856</v>
      </c>
      <c r="AA241" s="4">
        <v>1068</v>
      </c>
      <c r="AB241" s="4">
        <v>8</v>
      </c>
      <c r="AC241" s="4">
        <v>9</v>
      </c>
      <c r="AD241" s="4">
        <v>29</v>
      </c>
      <c r="AE241" s="4">
        <v>32</v>
      </c>
      <c r="AF241" s="4">
        <v>11</v>
      </c>
      <c r="AG241" s="4">
        <v>13</v>
      </c>
      <c r="AH241" s="4">
        <v>5</v>
      </c>
      <c r="AI241" s="4">
        <v>6</v>
      </c>
      <c r="AJ241" s="4">
        <v>13</v>
      </c>
      <c r="AK241" s="4">
        <v>15</v>
      </c>
      <c r="AL241" s="4">
        <v>6</v>
      </c>
      <c r="AM241" s="4">
        <v>6</v>
      </c>
      <c r="AN241" s="4">
        <v>0</v>
      </c>
      <c r="AO241" s="4">
        <v>0</v>
      </c>
      <c r="AP241" s="3" t="s">
        <v>58</v>
      </c>
      <c r="AQ241" s="3" t="s">
        <v>69</v>
      </c>
      <c r="AR241" s="6" t="str">
        <f>HYPERLINK("http://catalog.hathitrust.org/Record/000411399","HathiTrust Record")</f>
        <v>HathiTrust Record</v>
      </c>
      <c r="AS241" s="6" t="str">
        <f>HYPERLINK("https://creighton-primo.hosted.exlibrisgroup.com/primo-explore/search?tab=default_tab&amp;search_scope=EVERYTHING&amp;vid=01CRU&amp;lang=en_US&amp;offset=0&amp;query=any,contains,991002233259702656","Catalog Record")</f>
        <v>Catalog Record</v>
      </c>
      <c r="AT241" s="6" t="str">
        <f>HYPERLINK("http://www.worldcat.org/oclc/294863","WorldCat Record")</f>
        <v>WorldCat Record</v>
      </c>
      <c r="AU241" s="3" t="s">
        <v>3153</v>
      </c>
      <c r="AV241" s="3" t="s">
        <v>3154</v>
      </c>
      <c r="AW241" s="3" t="s">
        <v>3155</v>
      </c>
      <c r="AX241" s="3" t="s">
        <v>3155</v>
      </c>
      <c r="AY241" s="3" t="s">
        <v>3156</v>
      </c>
      <c r="AZ241" s="3" t="s">
        <v>74</v>
      </c>
      <c r="BC241" s="3" t="s">
        <v>3157</v>
      </c>
      <c r="BD241" s="3" t="s">
        <v>3158</v>
      </c>
    </row>
    <row r="242" spans="1:56" ht="34.5" customHeight="1" x14ac:dyDescent="0.25">
      <c r="A242" s="7" t="s">
        <v>58</v>
      </c>
      <c r="B242" s="2" t="s">
        <v>3159</v>
      </c>
      <c r="C242" s="2" t="s">
        <v>3160</v>
      </c>
      <c r="D242" s="2" t="s">
        <v>3161</v>
      </c>
      <c r="F242" s="3" t="s">
        <v>58</v>
      </c>
      <c r="G242" s="3" t="s">
        <v>59</v>
      </c>
      <c r="H242" s="3" t="s">
        <v>58</v>
      </c>
      <c r="I242" s="3" t="s">
        <v>58</v>
      </c>
      <c r="J242" s="3" t="s">
        <v>60</v>
      </c>
      <c r="L242" s="2" t="s">
        <v>3162</v>
      </c>
      <c r="M242" s="3" t="s">
        <v>819</v>
      </c>
      <c r="O242" s="3" t="s">
        <v>64</v>
      </c>
      <c r="P242" s="3" t="s">
        <v>65</v>
      </c>
      <c r="R242" s="3" t="s">
        <v>66</v>
      </c>
      <c r="S242" s="4">
        <v>8</v>
      </c>
      <c r="T242" s="4">
        <v>8</v>
      </c>
      <c r="U242" s="5" t="s">
        <v>3163</v>
      </c>
      <c r="V242" s="5" t="s">
        <v>3163</v>
      </c>
      <c r="W242" s="5" t="s">
        <v>3164</v>
      </c>
      <c r="X242" s="5" t="s">
        <v>3164</v>
      </c>
      <c r="Y242" s="4">
        <v>765</v>
      </c>
      <c r="Z242" s="4">
        <v>689</v>
      </c>
      <c r="AA242" s="4">
        <v>697</v>
      </c>
      <c r="AB242" s="4">
        <v>3</v>
      </c>
      <c r="AC242" s="4">
        <v>3</v>
      </c>
      <c r="AD242" s="4">
        <v>15</v>
      </c>
      <c r="AE242" s="4">
        <v>15</v>
      </c>
      <c r="AF242" s="4">
        <v>7</v>
      </c>
      <c r="AG242" s="4">
        <v>7</v>
      </c>
      <c r="AH242" s="4">
        <v>3</v>
      </c>
      <c r="AI242" s="4">
        <v>3</v>
      </c>
      <c r="AJ242" s="4">
        <v>7</v>
      </c>
      <c r="AK242" s="4">
        <v>7</v>
      </c>
      <c r="AL242" s="4">
        <v>1</v>
      </c>
      <c r="AM242" s="4">
        <v>1</v>
      </c>
      <c r="AN242" s="4">
        <v>0</v>
      </c>
      <c r="AO242" s="4">
        <v>0</v>
      </c>
      <c r="AP242" s="3" t="s">
        <v>58</v>
      </c>
      <c r="AQ242" s="3" t="s">
        <v>69</v>
      </c>
      <c r="AR242" s="6" t="str">
        <f>HYPERLINK("http://catalog.hathitrust.org/Record/000707699","HathiTrust Record")</f>
        <v>HathiTrust Record</v>
      </c>
      <c r="AS242" s="6" t="str">
        <f>HYPERLINK("https://creighton-primo.hosted.exlibrisgroup.com/primo-explore/search?tab=default_tab&amp;search_scope=EVERYTHING&amp;vid=01CRU&amp;lang=en_US&amp;offset=0&amp;query=any,contains,991003950599702656","Catalog Record")</f>
        <v>Catalog Record</v>
      </c>
      <c r="AT242" s="6" t="str">
        <f>HYPERLINK("http://www.worldcat.org/oclc/1957961","WorldCat Record")</f>
        <v>WorldCat Record</v>
      </c>
      <c r="AU242" s="3" t="s">
        <v>3165</v>
      </c>
      <c r="AV242" s="3" t="s">
        <v>3166</v>
      </c>
      <c r="AW242" s="3" t="s">
        <v>3167</v>
      </c>
      <c r="AX242" s="3" t="s">
        <v>3167</v>
      </c>
      <c r="AY242" s="3" t="s">
        <v>3168</v>
      </c>
      <c r="AZ242" s="3" t="s">
        <v>74</v>
      </c>
      <c r="BB242" s="3" t="s">
        <v>3169</v>
      </c>
      <c r="BC242" s="3" t="s">
        <v>3170</v>
      </c>
      <c r="BD242" s="3" t="s">
        <v>3171</v>
      </c>
    </row>
    <row r="243" spans="1:56" ht="34.5" customHeight="1" x14ac:dyDescent="0.25">
      <c r="A243" s="7" t="s">
        <v>58</v>
      </c>
      <c r="B243" s="2" t="s">
        <v>3172</v>
      </c>
      <c r="C243" s="2" t="s">
        <v>3173</v>
      </c>
      <c r="D243" s="2" t="s">
        <v>3174</v>
      </c>
      <c r="F243" s="3" t="s">
        <v>58</v>
      </c>
      <c r="G243" s="3" t="s">
        <v>59</v>
      </c>
      <c r="H243" s="3" t="s">
        <v>58</v>
      </c>
      <c r="I243" s="3" t="s">
        <v>58</v>
      </c>
      <c r="J243" s="3" t="s">
        <v>60</v>
      </c>
      <c r="K243" s="2" t="s">
        <v>3175</v>
      </c>
      <c r="L243" s="2" t="s">
        <v>3176</v>
      </c>
      <c r="M243" s="3" t="s">
        <v>607</v>
      </c>
      <c r="O243" s="3" t="s">
        <v>64</v>
      </c>
      <c r="P243" s="3" t="s">
        <v>65</v>
      </c>
      <c r="R243" s="3" t="s">
        <v>66</v>
      </c>
      <c r="S243" s="4">
        <v>2</v>
      </c>
      <c r="T243" s="4">
        <v>2</v>
      </c>
      <c r="U243" s="5" t="s">
        <v>3177</v>
      </c>
      <c r="V243" s="5" t="s">
        <v>3177</v>
      </c>
      <c r="W243" s="5" t="s">
        <v>68</v>
      </c>
      <c r="X243" s="5" t="s">
        <v>68</v>
      </c>
      <c r="Y243" s="4">
        <v>601</v>
      </c>
      <c r="Z243" s="4">
        <v>540</v>
      </c>
      <c r="AA243" s="4">
        <v>547</v>
      </c>
      <c r="AB243" s="4">
        <v>5</v>
      </c>
      <c r="AC243" s="4">
        <v>5</v>
      </c>
      <c r="AD243" s="4">
        <v>21</v>
      </c>
      <c r="AE243" s="4">
        <v>21</v>
      </c>
      <c r="AF243" s="4">
        <v>8</v>
      </c>
      <c r="AG243" s="4">
        <v>8</v>
      </c>
      <c r="AH243" s="4">
        <v>5</v>
      </c>
      <c r="AI243" s="4">
        <v>5</v>
      </c>
      <c r="AJ243" s="4">
        <v>8</v>
      </c>
      <c r="AK243" s="4">
        <v>8</v>
      </c>
      <c r="AL243" s="4">
        <v>3</v>
      </c>
      <c r="AM243" s="4">
        <v>3</v>
      </c>
      <c r="AN243" s="4">
        <v>0</v>
      </c>
      <c r="AO243" s="4">
        <v>0</v>
      </c>
      <c r="AP243" s="3" t="s">
        <v>58</v>
      </c>
      <c r="AQ243" s="3" t="s">
        <v>69</v>
      </c>
      <c r="AR243" s="6" t="str">
        <f>HYPERLINK("http://catalog.hathitrust.org/Record/000014864","HathiTrust Record")</f>
        <v>HathiTrust Record</v>
      </c>
      <c r="AS243" s="6" t="str">
        <f>HYPERLINK("https://creighton-primo.hosted.exlibrisgroup.com/primo-explore/search?tab=default_tab&amp;search_scope=EVERYTHING&amp;vid=01CRU&amp;lang=en_US&amp;offset=0&amp;query=any,contains,991003389499702656","Catalog Record")</f>
        <v>Catalog Record</v>
      </c>
      <c r="AT243" s="6" t="str">
        <f>HYPERLINK("http://www.worldcat.org/oclc/926966","WorldCat Record")</f>
        <v>WorldCat Record</v>
      </c>
      <c r="AU243" s="3" t="s">
        <v>3178</v>
      </c>
      <c r="AV243" s="3" t="s">
        <v>3179</v>
      </c>
      <c r="AW243" s="3" t="s">
        <v>3180</v>
      </c>
      <c r="AX243" s="3" t="s">
        <v>3180</v>
      </c>
      <c r="AY243" s="3" t="s">
        <v>3181</v>
      </c>
      <c r="AZ243" s="3" t="s">
        <v>74</v>
      </c>
      <c r="BC243" s="3" t="s">
        <v>3182</v>
      </c>
      <c r="BD243" s="3" t="s">
        <v>3183</v>
      </c>
    </row>
    <row r="244" spans="1:56" ht="34.5" customHeight="1" x14ac:dyDescent="0.25">
      <c r="A244" s="7" t="s">
        <v>58</v>
      </c>
      <c r="B244" s="2" t="s">
        <v>3184</v>
      </c>
      <c r="C244" s="2" t="s">
        <v>3185</v>
      </c>
      <c r="D244" s="2" t="s">
        <v>3186</v>
      </c>
      <c r="F244" s="3" t="s">
        <v>58</v>
      </c>
      <c r="G244" s="3" t="s">
        <v>59</v>
      </c>
      <c r="H244" s="3" t="s">
        <v>58</v>
      </c>
      <c r="I244" s="3" t="s">
        <v>58</v>
      </c>
      <c r="J244" s="3" t="s">
        <v>60</v>
      </c>
      <c r="K244" s="2" t="s">
        <v>3187</v>
      </c>
      <c r="L244" s="2" t="s">
        <v>3188</v>
      </c>
      <c r="M244" s="3" t="s">
        <v>1429</v>
      </c>
      <c r="O244" s="3" t="s">
        <v>64</v>
      </c>
      <c r="P244" s="3" t="s">
        <v>670</v>
      </c>
      <c r="R244" s="3" t="s">
        <v>66</v>
      </c>
      <c r="S244" s="4">
        <v>5</v>
      </c>
      <c r="T244" s="4">
        <v>5</v>
      </c>
      <c r="U244" s="5" t="s">
        <v>3189</v>
      </c>
      <c r="V244" s="5" t="s">
        <v>3189</v>
      </c>
      <c r="W244" s="5" t="s">
        <v>3190</v>
      </c>
      <c r="X244" s="5" t="s">
        <v>3190</v>
      </c>
      <c r="Y244" s="4">
        <v>400</v>
      </c>
      <c r="Z244" s="4">
        <v>388</v>
      </c>
      <c r="AA244" s="4">
        <v>1399</v>
      </c>
      <c r="AB244" s="4">
        <v>3</v>
      </c>
      <c r="AC244" s="4">
        <v>8</v>
      </c>
      <c r="AD244" s="4">
        <v>10</v>
      </c>
      <c r="AE244" s="4">
        <v>39</v>
      </c>
      <c r="AF244" s="4">
        <v>8</v>
      </c>
      <c r="AG244" s="4">
        <v>18</v>
      </c>
      <c r="AH244" s="4">
        <v>0</v>
      </c>
      <c r="AI244" s="4">
        <v>7</v>
      </c>
      <c r="AJ244" s="4">
        <v>2</v>
      </c>
      <c r="AK244" s="4">
        <v>17</v>
      </c>
      <c r="AL244" s="4">
        <v>2</v>
      </c>
      <c r="AM244" s="4">
        <v>5</v>
      </c>
      <c r="AN244" s="4">
        <v>0</v>
      </c>
      <c r="AO244" s="4">
        <v>0</v>
      </c>
      <c r="AP244" s="3" t="s">
        <v>58</v>
      </c>
      <c r="AQ244" s="3" t="s">
        <v>58</v>
      </c>
      <c r="AS244" s="6" t="str">
        <f>HYPERLINK("https://creighton-primo.hosted.exlibrisgroup.com/primo-explore/search?tab=default_tab&amp;search_scope=EVERYTHING&amp;vid=01CRU&amp;lang=en_US&amp;offset=0&amp;query=any,contains,991003230829702656","Catalog Record")</f>
        <v>Catalog Record</v>
      </c>
      <c r="AT244" s="6" t="str">
        <f>HYPERLINK("http://www.worldcat.org/oclc/755737","WorldCat Record")</f>
        <v>WorldCat Record</v>
      </c>
      <c r="AU244" s="3" t="s">
        <v>3191</v>
      </c>
      <c r="AV244" s="3" t="s">
        <v>3192</v>
      </c>
      <c r="AW244" s="3" t="s">
        <v>3193</v>
      </c>
      <c r="AX244" s="3" t="s">
        <v>3193</v>
      </c>
      <c r="AY244" s="3" t="s">
        <v>3194</v>
      </c>
      <c r="AZ244" s="3" t="s">
        <v>74</v>
      </c>
      <c r="BC244" s="3" t="s">
        <v>3195</v>
      </c>
      <c r="BD244" s="3" t="s">
        <v>3196</v>
      </c>
    </row>
    <row r="245" spans="1:56" ht="34.5" customHeight="1" x14ac:dyDescent="0.25">
      <c r="A245" s="7" t="s">
        <v>58</v>
      </c>
      <c r="B245" s="2" t="s">
        <v>3197</v>
      </c>
      <c r="C245" s="2" t="s">
        <v>3198</v>
      </c>
      <c r="D245" s="2" t="s">
        <v>3199</v>
      </c>
      <c r="F245" s="3" t="s">
        <v>58</v>
      </c>
      <c r="G245" s="3" t="s">
        <v>59</v>
      </c>
      <c r="H245" s="3" t="s">
        <v>58</v>
      </c>
      <c r="I245" s="3" t="s">
        <v>58</v>
      </c>
      <c r="J245" s="3" t="s">
        <v>60</v>
      </c>
      <c r="K245" s="2" t="s">
        <v>3200</v>
      </c>
      <c r="L245" s="2" t="s">
        <v>3201</v>
      </c>
      <c r="M245" s="3" t="s">
        <v>698</v>
      </c>
      <c r="N245" s="2" t="s">
        <v>284</v>
      </c>
      <c r="O245" s="3" t="s">
        <v>64</v>
      </c>
      <c r="P245" s="3" t="s">
        <v>1708</v>
      </c>
      <c r="R245" s="3" t="s">
        <v>66</v>
      </c>
      <c r="S245" s="4">
        <v>4</v>
      </c>
      <c r="T245" s="4">
        <v>4</v>
      </c>
      <c r="U245" s="5" t="s">
        <v>3202</v>
      </c>
      <c r="V245" s="5" t="s">
        <v>3202</v>
      </c>
      <c r="W245" s="5" t="s">
        <v>3203</v>
      </c>
      <c r="X245" s="5" t="s">
        <v>3203</v>
      </c>
      <c r="Y245" s="4">
        <v>449</v>
      </c>
      <c r="Z245" s="4">
        <v>404</v>
      </c>
      <c r="AA245" s="4">
        <v>404</v>
      </c>
      <c r="AB245" s="4">
        <v>2</v>
      </c>
      <c r="AC245" s="4">
        <v>2</v>
      </c>
      <c r="AD245" s="4">
        <v>4</v>
      </c>
      <c r="AE245" s="4">
        <v>4</v>
      </c>
      <c r="AF245" s="4">
        <v>1</v>
      </c>
      <c r="AG245" s="4">
        <v>1</v>
      </c>
      <c r="AH245" s="4">
        <v>0</v>
      </c>
      <c r="AI245" s="4">
        <v>0</v>
      </c>
      <c r="AJ245" s="4">
        <v>2</v>
      </c>
      <c r="AK245" s="4">
        <v>2</v>
      </c>
      <c r="AL245" s="4">
        <v>1</v>
      </c>
      <c r="AM245" s="4">
        <v>1</v>
      </c>
      <c r="AN245" s="4">
        <v>0</v>
      </c>
      <c r="AO245" s="4">
        <v>0</v>
      </c>
      <c r="AP245" s="3" t="s">
        <v>58</v>
      </c>
      <c r="AQ245" s="3" t="s">
        <v>58</v>
      </c>
      <c r="AS245" s="6" t="str">
        <f>HYPERLINK("https://creighton-primo.hosted.exlibrisgroup.com/primo-explore/search?tab=default_tab&amp;search_scope=EVERYTHING&amp;vid=01CRU&amp;lang=en_US&amp;offset=0&amp;query=any,contains,991002385639702656","Catalog Record")</f>
        <v>Catalog Record</v>
      </c>
      <c r="AT245" s="6" t="str">
        <f>HYPERLINK("http://www.worldcat.org/oclc/31009824","WorldCat Record")</f>
        <v>WorldCat Record</v>
      </c>
      <c r="AU245" s="3" t="s">
        <v>3204</v>
      </c>
      <c r="AV245" s="3" t="s">
        <v>3205</v>
      </c>
      <c r="AW245" s="3" t="s">
        <v>3206</v>
      </c>
      <c r="AX245" s="3" t="s">
        <v>3206</v>
      </c>
      <c r="AY245" s="3" t="s">
        <v>3207</v>
      </c>
      <c r="AZ245" s="3" t="s">
        <v>74</v>
      </c>
      <c r="BB245" s="3" t="s">
        <v>3208</v>
      </c>
      <c r="BC245" s="3" t="s">
        <v>3209</v>
      </c>
      <c r="BD245" s="3" t="s">
        <v>3210</v>
      </c>
    </row>
    <row r="246" spans="1:56" ht="34.5" customHeight="1" x14ac:dyDescent="0.25">
      <c r="A246" s="7" t="s">
        <v>58</v>
      </c>
      <c r="B246" s="2" t="s">
        <v>3211</v>
      </c>
      <c r="C246" s="2" t="s">
        <v>3212</v>
      </c>
      <c r="D246" s="2" t="s">
        <v>3213</v>
      </c>
      <c r="F246" s="3" t="s">
        <v>58</v>
      </c>
      <c r="G246" s="3" t="s">
        <v>59</v>
      </c>
      <c r="H246" s="3" t="s">
        <v>58</v>
      </c>
      <c r="I246" s="3" t="s">
        <v>58</v>
      </c>
      <c r="J246" s="3" t="s">
        <v>60</v>
      </c>
      <c r="K246" s="2" t="s">
        <v>3214</v>
      </c>
      <c r="L246" s="2" t="s">
        <v>3215</v>
      </c>
      <c r="M246" s="3" t="s">
        <v>1545</v>
      </c>
      <c r="O246" s="3" t="s">
        <v>64</v>
      </c>
      <c r="P246" s="3" t="s">
        <v>238</v>
      </c>
      <c r="R246" s="3" t="s">
        <v>66</v>
      </c>
      <c r="S246" s="4">
        <v>7</v>
      </c>
      <c r="T246" s="4">
        <v>7</v>
      </c>
      <c r="U246" s="5" t="s">
        <v>3216</v>
      </c>
      <c r="V246" s="5" t="s">
        <v>3216</v>
      </c>
      <c r="W246" s="5" t="s">
        <v>3217</v>
      </c>
      <c r="X246" s="5" t="s">
        <v>3217</v>
      </c>
      <c r="Y246" s="4">
        <v>501</v>
      </c>
      <c r="Z246" s="4">
        <v>470</v>
      </c>
      <c r="AA246" s="4">
        <v>479</v>
      </c>
      <c r="AB246" s="4">
        <v>4</v>
      </c>
      <c r="AC246" s="4">
        <v>4</v>
      </c>
      <c r="AD246" s="4">
        <v>6</v>
      </c>
      <c r="AE246" s="4">
        <v>6</v>
      </c>
      <c r="AF246" s="4">
        <v>1</v>
      </c>
      <c r="AG246" s="4">
        <v>1</v>
      </c>
      <c r="AH246" s="4">
        <v>1</v>
      </c>
      <c r="AI246" s="4">
        <v>1</v>
      </c>
      <c r="AJ246" s="4">
        <v>3</v>
      </c>
      <c r="AK246" s="4">
        <v>3</v>
      </c>
      <c r="AL246" s="4">
        <v>1</v>
      </c>
      <c r="AM246" s="4">
        <v>1</v>
      </c>
      <c r="AN246" s="4">
        <v>0</v>
      </c>
      <c r="AO246" s="4">
        <v>0</v>
      </c>
      <c r="AP246" s="3" t="s">
        <v>58</v>
      </c>
      <c r="AQ246" s="3" t="s">
        <v>69</v>
      </c>
      <c r="AR246" s="6" t="str">
        <f>HYPERLINK("http://catalog.hathitrust.org/Record/000041580","HathiTrust Record")</f>
        <v>HathiTrust Record</v>
      </c>
      <c r="AS246" s="6" t="str">
        <f>HYPERLINK("https://creighton-primo.hosted.exlibrisgroup.com/primo-explore/search?tab=default_tab&amp;search_scope=EVERYTHING&amp;vid=01CRU&amp;lang=en_US&amp;offset=0&amp;query=any,contains,991003596469702656","Catalog Record")</f>
        <v>Catalog Record</v>
      </c>
      <c r="AT246" s="6" t="str">
        <f>HYPERLINK("http://www.worldcat.org/oclc/1175735","WorldCat Record")</f>
        <v>WorldCat Record</v>
      </c>
      <c r="AU246" s="3" t="s">
        <v>3218</v>
      </c>
      <c r="AV246" s="3" t="s">
        <v>3219</v>
      </c>
      <c r="AW246" s="3" t="s">
        <v>3220</v>
      </c>
      <c r="AX246" s="3" t="s">
        <v>3220</v>
      </c>
      <c r="AY246" s="3" t="s">
        <v>3221</v>
      </c>
      <c r="AZ246" s="3" t="s">
        <v>74</v>
      </c>
      <c r="BB246" s="3" t="s">
        <v>3222</v>
      </c>
      <c r="BC246" s="3" t="s">
        <v>3223</v>
      </c>
      <c r="BD246" s="3" t="s">
        <v>3224</v>
      </c>
    </row>
    <row r="247" spans="1:56" ht="34.5" customHeight="1" x14ac:dyDescent="0.25">
      <c r="A247" s="7" t="s">
        <v>58</v>
      </c>
      <c r="B247" s="2" t="s">
        <v>3225</v>
      </c>
      <c r="C247" s="2" t="s">
        <v>3226</v>
      </c>
      <c r="D247" s="2" t="s">
        <v>3227</v>
      </c>
      <c r="F247" s="3" t="s">
        <v>58</v>
      </c>
      <c r="G247" s="3" t="s">
        <v>59</v>
      </c>
      <c r="H247" s="3" t="s">
        <v>58</v>
      </c>
      <c r="I247" s="3" t="s">
        <v>58</v>
      </c>
      <c r="J247" s="3" t="s">
        <v>60</v>
      </c>
      <c r="K247" s="2" t="s">
        <v>3228</v>
      </c>
      <c r="L247" s="2" t="s">
        <v>3229</v>
      </c>
      <c r="M247" s="3" t="s">
        <v>115</v>
      </c>
      <c r="N247" s="2" t="s">
        <v>3230</v>
      </c>
      <c r="O247" s="3" t="s">
        <v>64</v>
      </c>
      <c r="P247" s="3" t="s">
        <v>252</v>
      </c>
      <c r="R247" s="3" t="s">
        <v>66</v>
      </c>
      <c r="S247" s="4">
        <v>0</v>
      </c>
      <c r="T247" s="4">
        <v>0</v>
      </c>
      <c r="U247" s="5" t="s">
        <v>3231</v>
      </c>
      <c r="V247" s="5" t="s">
        <v>3231</v>
      </c>
      <c r="W247" s="5" t="s">
        <v>3232</v>
      </c>
      <c r="X247" s="5" t="s">
        <v>3232</v>
      </c>
      <c r="Y247" s="4">
        <v>123</v>
      </c>
      <c r="Z247" s="4">
        <v>96</v>
      </c>
      <c r="AA247" s="4">
        <v>453</v>
      </c>
      <c r="AB247" s="4">
        <v>1</v>
      </c>
      <c r="AC247" s="4">
        <v>3</v>
      </c>
      <c r="AD247" s="4">
        <v>5</v>
      </c>
      <c r="AE247" s="4">
        <v>20</v>
      </c>
      <c r="AF247" s="4">
        <v>1</v>
      </c>
      <c r="AG247" s="4">
        <v>4</v>
      </c>
      <c r="AH247" s="4">
        <v>1</v>
      </c>
      <c r="AI247" s="4">
        <v>6</v>
      </c>
      <c r="AJ247" s="4">
        <v>5</v>
      </c>
      <c r="AK247" s="4">
        <v>12</v>
      </c>
      <c r="AL247" s="4">
        <v>0</v>
      </c>
      <c r="AM247" s="4">
        <v>2</v>
      </c>
      <c r="AN247" s="4">
        <v>0</v>
      </c>
      <c r="AO247" s="4">
        <v>0</v>
      </c>
      <c r="AP247" s="3" t="s">
        <v>58</v>
      </c>
      <c r="AQ247" s="3" t="s">
        <v>58</v>
      </c>
      <c r="AS247" s="6" t="str">
        <f>HYPERLINK("https://creighton-primo.hosted.exlibrisgroup.com/primo-explore/search?tab=default_tab&amp;search_scope=EVERYTHING&amp;vid=01CRU&amp;lang=en_US&amp;offset=0&amp;query=any,contains,991000279339702656","Catalog Record")</f>
        <v>Catalog Record</v>
      </c>
      <c r="AT247" s="6" t="str">
        <f>HYPERLINK("http://www.worldcat.org/oclc/9911021","WorldCat Record")</f>
        <v>WorldCat Record</v>
      </c>
      <c r="AU247" s="3" t="s">
        <v>3233</v>
      </c>
      <c r="AV247" s="3" t="s">
        <v>3234</v>
      </c>
      <c r="AW247" s="3" t="s">
        <v>3235</v>
      </c>
      <c r="AX247" s="3" t="s">
        <v>3235</v>
      </c>
      <c r="AY247" s="3" t="s">
        <v>3236</v>
      </c>
      <c r="AZ247" s="3" t="s">
        <v>74</v>
      </c>
      <c r="BB247" s="3" t="s">
        <v>3237</v>
      </c>
      <c r="BC247" s="3" t="s">
        <v>3238</v>
      </c>
      <c r="BD247" s="3" t="s">
        <v>3239</v>
      </c>
    </row>
    <row r="248" spans="1:56" ht="34.5" customHeight="1" x14ac:dyDescent="0.25">
      <c r="A248" s="7" t="s">
        <v>58</v>
      </c>
      <c r="B248" s="2" t="s">
        <v>3240</v>
      </c>
      <c r="C248" s="2" t="s">
        <v>3241</v>
      </c>
      <c r="D248" s="2" t="s">
        <v>3242</v>
      </c>
      <c r="F248" s="3" t="s">
        <v>58</v>
      </c>
      <c r="G248" s="3" t="s">
        <v>59</v>
      </c>
      <c r="H248" s="3" t="s">
        <v>58</v>
      </c>
      <c r="I248" s="3" t="s">
        <v>58</v>
      </c>
      <c r="J248" s="3" t="s">
        <v>60</v>
      </c>
      <c r="K248" s="2" t="s">
        <v>3243</v>
      </c>
      <c r="L248" s="2" t="s">
        <v>3244</v>
      </c>
      <c r="M248" s="3" t="s">
        <v>983</v>
      </c>
      <c r="N248" s="2" t="s">
        <v>3245</v>
      </c>
      <c r="O248" s="3" t="s">
        <v>64</v>
      </c>
      <c r="P248" s="3" t="s">
        <v>100</v>
      </c>
      <c r="R248" s="3" t="s">
        <v>66</v>
      </c>
      <c r="S248" s="4">
        <v>8</v>
      </c>
      <c r="T248" s="4">
        <v>8</v>
      </c>
      <c r="U248" s="5" t="s">
        <v>3246</v>
      </c>
      <c r="V248" s="5" t="s">
        <v>3246</v>
      </c>
      <c r="W248" s="5" t="s">
        <v>3247</v>
      </c>
      <c r="X248" s="5" t="s">
        <v>3247</v>
      </c>
      <c r="Y248" s="4">
        <v>403</v>
      </c>
      <c r="Z248" s="4">
        <v>376</v>
      </c>
      <c r="AA248" s="4">
        <v>379</v>
      </c>
      <c r="AB248" s="4">
        <v>4</v>
      </c>
      <c r="AC248" s="4">
        <v>4</v>
      </c>
      <c r="AD248" s="4">
        <v>5</v>
      </c>
      <c r="AE248" s="4">
        <v>5</v>
      </c>
      <c r="AF248" s="4">
        <v>2</v>
      </c>
      <c r="AG248" s="4">
        <v>2</v>
      </c>
      <c r="AH248" s="4">
        <v>0</v>
      </c>
      <c r="AI248" s="4">
        <v>0</v>
      </c>
      <c r="AJ248" s="4">
        <v>1</v>
      </c>
      <c r="AK248" s="4">
        <v>1</v>
      </c>
      <c r="AL248" s="4">
        <v>2</v>
      </c>
      <c r="AM248" s="4">
        <v>2</v>
      </c>
      <c r="AN248" s="4">
        <v>0</v>
      </c>
      <c r="AO248" s="4">
        <v>0</v>
      </c>
      <c r="AP248" s="3" t="s">
        <v>58</v>
      </c>
      <c r="AQ248" s="3" t="s">
        <v>58</v>
      </c>
      <c r="AS248" s="6" t="str">
        <f>HYPERLINK("https://creighton-primo.hosted.exlibrisgroup.com/primo-explore/search?tab=default_tab&amp;search_scope=EVERYTHING&amp;vid=01CRU&amp;lang=en_US&amp;offset=0&amp;query=any,contains,991004753979702656","Catalog Record")</f>
        <v>Catalog Record</v>
      </c>
      <c r="AT248" s="6" t="str">
        <f>HYPERLINK("http://www.worldcat.org/oclc/4956527","WorldCat Record")</f>
        <v>WorldCat Record</v>
      </c>
      <c r="AU248" s="3" t="s">
        <v>3248</v>
      </c>
      <c r="AV248" s="3" t="s">
        <v>3249</v>
      </c>
      <c r="AW248" s="3" t="s">
        <v>3250</v>
      </c>
      <c r="AX248" s="3" t="s">
        <v>3250</v>
      </c>
      <c r="AY248" s="3" t="s">
        <v>3251</v>
      </c>
      <c r="AZ248" s="3" t="s">
        <v>74</v>
      </c>
      <c r="BB248" s="3" t="s">
        <v>3252</v>
      </c>
      <c r="BC248" s="3" t="s">
        <v>3253</v>
      </c>
      <c r="BD248" s="3" t="s">
        <v>3254</v>
      </c>
    </row>
    <row r="249" spans="1:56" ht="34.5" customHeight="1" x14ac:dyDescent="0.25">
      <c r="A249" s="7" t="s">
        <v>58</v>
      </c>
      <c r="B249" s="2" t="s">
        <v>3255</v>
      </c>
      <c r="C249" s="2" t="s">
        <v>3256</v>
      </c>
      <c r="D249" s="2" t="s">
        <v>3257</v>
      </c>
      <c r="F249" s="3" t="s">
        <v>58</v>
      </c>
      <c r="G249" s="3" t="s">
        <v>59</v>
      </c>
      <c r="H249" s="3" t="s">
        <v>58</v>
      </c>
      <c r="I249" s="3" t="s">
        <v>58</v>
      </c>
      <c r="J249" s="3" t="s">
        <v>60</v>
      </c>
      <c r="K249" s="2" t="s">
        <v>3258</v>
      </c>
      <c r="L249" s="2" t="s">
        <v>3259</v>
      </c>
      <c r="M249" s="3" t="s">
        <v>739</v>
      </c>
      <c r="O249" s="3" t="s">
        <v>64</v>
      </c>
      <c r="P249" s="3" t="s">
        <v>65</v>
      </c>
      <c r="R249" s="3" t="s">
        <v>66</v>
      </c>
      <c r="S249" s="4">
        <v>10</v>
      </c>
      <c r="T249" s="4">
        <v>10</v>
      </c>
      <c r="U249" s="5" t="s">
        <v>3260</v>
      </c>
      <c r="V249" s="5" t="s">
        <v>3260</v>
      </c>
      <c r="W249" s="5" t="s">
        <v>2732</v>
      </c>
      <c r="X249" s="5" t="s">
        <v>2732</v>
      </c>
      <c r="Y249" s="4">
        <v>551</v>
      </c>
      <c r="Z249" s="4">
        <v>444</v>
      </c>
      <c r="AA249" s="4">
        <v>451</v>
      </c>
      <c r="AB249" s="4">
        <v>4</v>
      </c>
      <c r="AC249" s="4">
        <v>4</v>
      </c>
      <c r="AD249" s="4">
        <v>11</v>
      </c>
      <c r="AE249" s="4">
        <v>11</v>
      </c>
      <c r="AF249" s="4">
        <v>2</v>
      </c>
      <c r="AG249" s="4">
        <v>2</v>
      </c>
      <c r="AH249" s="4">
        <v>1</v>
      </c>
      <c r="AI249" s="4">
        <v>1</v>
      </c>
      <c r="AJ249" s="4">
        <v>6</v>
      </c>
      <c r="AK249" s="4">
        <v>6</v>
      </c>
      <c r="AL249" s="4">
        <v>3</v>
      </c>
      <c r="AM249" s="4">
        <v>3</v>
      </c>
      <c r="AN249" s="4">
        <v>0</v>
      </c>
      <c r="AO249" s="4">
        <v>0</v>
      </c>
      <c r="AP249" s="3" t="s">
        <v>58</v>
      </c>
      <c r="AQ249" s="3" t="s">
        <v>69</v>
      </c>
      <c r="AR249" s="6" t="str">
        <f>HYPERLINK("http://catalog.hathitrust.org/Record/001829568","HathiTrust Record")</f>
        <v>HathiTrust Record</v>
      </c>
      <c r="AS249" s="6" t="str">
        <f>HYPERLINK("https://creighton-primo.hosted.exlibrisgroup.com/primo-explore/search?tab=default_tab&amp;search_scope=EVERYTHING&amp;vid=01CRU&amp;lang=en_US&amp;offset=0&amp;query=any,contains,991001445889702656","Catalog Record")</f>
        <v>Catalog Record</v>
      </c>
      <c r="AT249" s="6" t="str">
        <f>HYPERLINK("http://www.worldcat.org/oclc/19270736","WorldCat Record")</f>
        <v>WorldCat Record</v>
      </c>
      <c r="AU249" s="3" t="s">
        <v>3261</v>
      </c>
      <c r="AV249" s="3" t="s">
        <v>3262</v>
      </c>
      <c r="AW249" s="3" t="s">
        <v>3263</v>
      </c>
      <c r="AX249" s="3" t="s">
        <v>3263</v>
      </c>
      <c r="AY249" s="3" t="s">
        <v>3264</v>
      </c>
      <c r="AZ249" s="3" t="s">
        <v>74</v>
      </c>
      <c r="BB249" s="3" t="s">
        <v>3265</v>
      </c>
      <c r="BC249" s="3" t="s">
        <v>3266</v>
      </c>
      <c r="BD249" s="3" t="s">
        <v>3267</v>
      </c>
    </row>
    <row r="250" spans="1:56" ht="34.5" customHeight="1" x14ac:dyDescent="0.25">
      <c r="A250" s="7" t="s">
        <v>58</v>
      </c>
      <c r="B250" s="2" t="s">
        <v>3268</v>
      </c>
      <c r="C250" s="2" t="s">
        <v>3269</v>
      </c>
      <c r="D250" s="2" t="s">
        <v>3270</v>
      </c>
      <c r="F250" s="3" t="s">
        <v>58</v>
      </c>
      <c r="G250" s="3" t="s">
        <v>59</v>
      </c>
      <c r="H250" s="3" t="s">
        <v>58</v>
      </c>
      <c r="I250" s="3" t="s">
        <v>58</v>
      </c>
      <c r="J250" s="3" t="s">
        <v>60</v>
      </c>
      <c r="K250" s="2" t="s">
        <v>3085</v>
      </c>
      <c r="L250" s="2" t="s">
        <v>3271</v>
      </c>
      <c r="M250" s="3" t="s">
        <v>465</v>
      </c>
      <c r="O250" s="3" t="s">
        <v>64</v>
      </c>
      <c r="P250" s="3" t="s">
        <v>65</v>
      </c>
      <c r="Q250" s="2" t="s">
        <v>3272</v>
      </c>
      <c r="R250" s="3" t="s">
        <v>66</v>
      </c>
      <c r="S250" s="4">
        <v>1</v>
      </c>
      <c r="T250" s="4">
        <v>1</v>
      </c>
      <c r="U250" s="5" t="s">
        <v>726</v>
      </c>
      <c r="V250" s="5" t="s">
        <v>726</v>
      </c>
      <c r="W250" s="5" t="s">
        <v>3273</v>
      </c>
      <c r="X250" s="5" t="s">
        <v>3273</v>
      </c>
      <c r="Y250" s="4">
        <v>580</v>
      </c>
      <c r="Z250" s="4">
        <v>508</v>
      </c>
      <c r="AA250" s="4">
        <v>685</v>
      </c>
      <c r="AB250" s="4">
        <v>4</v>
      </c>
      <c r="AC250" s="4">
        <v>5</v>
      </c>
      <c r="AD250" s="4">
        <v>22</v>
      </c>
      <c r="AE250" s="4">
        <v>27</v>
      </c>
      <c r="AF250" s="4">
        <v>8</v>
      </c>
      <c r="AG250" s="4">
        <v>11</v>
      </c>
      <c r="AH250" s="4">
        <v>5</v>
      </c>
      <c r="AI250" s="4">
        <v>5</v>
      </c>
      <c r="AJ250" s="4">
        <v>12</v>
      </c>
      <c r="AK250" s="4">
        <v>14</v>
      </c>
      <c r="AL250" s="4">
        <v>2</v>
      </c>
      <c r="AM250" s="4">
        <v>3</v>
      </c>
      <c r="AN250" s="4">
        <v>0</v>
      </c>
      <c r="AO250" s="4">
        <v>0</v>
      </c>
      <c r="AP250" s="3" t="s">
        <v>58</v>
      </c>
      <c r="AQ250" s="3" t="s">
        <v>69</v>
      </c>
      <c r="AR250" s="6" t="str">
        <f>HYPERLINK("http://catalog.hathitrust.org/Record/000411580","HathiTrust Record")</f>
        <v>HathiTrust Record</v>
      </c>
      <c r="AS250" s="6" t="str">
        <f>HYPERLINK("https://creighton-primo.hosted.exlibrisgroup.com/primo-explore/search?tab=default_tab&amp;search_scope=EVERYTHING&amp;vid=01CRU&amp;lang=en_US&amp;offset=0&amp;query=any,contains,991000059579702656","Catalog Record")</f>
        <v>Catalog Record</v>
      </c>
      <c r="AT250" s="6" t="str">
        <f>HYPERLINK("http://www.worldcat.org/oclc/24311","WorldCat Record")</f>
        <v>WorldCat Record</v>
      </c>
      <c r="AU250" s="3" t="s">
        <v>3274</v>
      </c>
      <c r="AV250" s="3" t="s">
        <v>3275</v>
      </c>
      <c r="AW250" s="3" t="s">
        <v>3276</v>
      </c>
      <c r="AX250" s="3" t="s">
        <v>3276</v>
      </c>
      <c r="AY250" s="3" t="s">
        <v>3277</v>
      </c>
      <c r="AZ250" s="3" t="s">
        <v>74</v>
      </c>
      <c r="BC250" s="3" t="s">
        <v>3278</v>
      </c>
      <c r="BD250" s="3" t="s">
        <v>3279</v>
      </c>
    </row>
    <row r="251" spans="1:56" ht="34.5" customHeight="1" x14ac:dyDescent="0.25">
      <c r="A251" s="7" t="s">
        <v>58</v>
      </c>
      <c r="B251" s="2" t="s">
        <v>3280</v>
      </c>
      <c r="C251" s="2" t="s">
        <v>3281</v>
      </c>
      <c r="D251" s="2" t="s">
        <v>3282</v>
      </c>
      <c r="F251" s="3" t="s">
        <v>58</v>
      </c>
      <c r="G251" s="3" t="s">
        <v>59</v>
      </c>
      <c r="H251" s="3" t="s">
        <v>58</v>
      </c>
      <c r="I251" s="3" t="s">
        <v>58</v>
      </c>
      <c r="J251" s="3" t="s">
        <v>60</v>
      </c>
      <c r="K251" s="2" t="s">
        <v>3283</v>
      </c>
      <c r="L251" s="2" t="s">
        <v>3284</v>
      </c>
      <c r="M251" s="3" t="s">
        <v>237</v>
      </c>
      <c r="O251" s="3" t="s">
        <v>64</v>
      </c>
      <c r="P251" s="3" t="s">
        <v>65</v>
      </c>
      <c r="R251" s="3" t="s">
        <v>66</v>
      </c>
      <c r="S251" s="4">
        <v>7</v>
      </c>
      <c r="T251" s="4">
        <v>7</v>
      </c>
      <c r="U251" s="5" t="s">
        <v>299</v>
      </c>
      <c r="V251" s="5" t="s">
        <v>299</v>
      </c>
      <c r="W251" s="5" t="s">
        <v>849</v>
      </c>
      <c r="X251" s="5" t="s">
        <v>849</v>
      </c>
      <c r="Y251" s="4">
        <v>1871</v>
      </c>
      <c r="Z251" s="4">
        <v>1700</v>
      </c>
      <c r="AA251" s="4">
        <v>1914</v>
      </c>
      <c r="AB251" s="4">
        <v>12</v>
      </c>
      <c r="AC251" s="4">
        <v>14</v>
      </c>
      <c r="AD251" s="4">
        <v>50</v>
      </c>
      <c r="AE251" s="4">
        <v>53</v>
      </c>
      <c r="AF251" s="4">
        <v>22</v>
      </c>
      <c r="AG251" s="4">
        <v>24</v>
      </c>
      <c r="AH251" s="4">
        <v>11</v>
      </c>
      <c r="AI251" s="4">
        <v>11</v>
      </c>
      <c r="AJ251" s="4">
        <v>22</v>
      </c>
      <c r="AK251" s="4">
        <v>23</v>
      </c>
      <c r="AL251" s="4">
        <v>6</v>
      </c>
      <c r="AM251" s="4">
        <v>7</v>
      </c>
      <c r="AN251" s="4">
        <v>2</v>
      </c>
      <c r="AO251" s="4">
        <v>2</v>
      </c>
      <c r="AP251" s="3" t="s">
        <v>58</v>
      </c>
      <c r="AQ251" s="3" t="s">
        <v>58</v>
      </c>
      <c r="AS251" s="6" t="str">
        <f>HYPERLINK("https://creighton-primo.hosted.exlibrisgroup.com/primo-explore/search?tab=default_tab&amp;search_scope=EVERYTHING&amp;vid=01CRU&amp;lang=en_US&amp;offset=0&amp;query=any,contains,991005152829702656","Catalog Record")</f>
        <v>Catalog Record</v>
      </c>
      <c r="AT251" s="6" t="str">
        <f>HYPERLINK("http://www.worldcat.org/oclc/7734777","WorldCat Record")</f>
        <v>WorldCat Record</v>
      </c>
      <c r="AU251" s="3" t="s">
        <v>3285</v>
      </c>
      <c r="AV251" s="3" t="s">
        <v>3286</v>
      </c>
      <c r="AW251" s="3" t="s">
        <v>3287</v>
      </c>
      <c r="AX251" s="3" t="s">
        <v>3287</v>
      </c>
      <c r="AY251" s="3" t="s">
        <v>3288</v>
      </c>
      <c r="AZ251" s="3" t="s">
        <v>74</v>
      </c>
      <c r="BB251" s="3" t="s">
        <v>3289</v>
      </c>
      <c r="BC251" s="3" t="s">
        <v>3290</v>
      </c>
      <c r="BD251" s="3" t="s">
        <v>3291</v>
      </c>
    </row>
    <row r="252" spans="1:56" ht="34.5" customHeight="1" x14ac:dyDescent="0.25">
      <c r="A252" s="7" t="s">
        <v>58</v>
      </c>
      <c r="B252" s="2" t="s">
        <v>3292</v>
      </c>
      <c r="C252" s="2" t="s">
        <v>3293</v>
      </c>
      <c r="D252" s="2" t="s">
        <v>3294</v>
      </c>
      <c r="F252" s="3" t="s">
        <v>58</v>
      </c>
      <c r="G252" s="3" t="s">
        <v>59</v>
      </c>
      <c r="H252" s="3" t="s">
        <v>58</v>
      </c>
      <c r="I252" s="3" t="s">
        <v>58</v>
      </c>
      <c r="J252" s="3" t="s">
        <v>60</v>
      </c>
      <c r="K252" s="2" t="s">
        <v>3295</v>
      </c>
      <c r="L252" s="2" t="s">
        <v>3296</v>
      </c>
      <c r="M252" s="3" t="s">
        <v>1357</v>
      </c>
      <c r="O252" s="3" t="s">
        <v>64</v>
      </c>
      <c r="P252" s="3" t="s">
        <v>65</v>
      </c>
      <c r="R252" s="3" t="s">
        <v>66</v>
      </c>
      <c r="S252" s="4">
        <v>3</v>
      </c>
      <c r="T252" s="4">
        <v>3</v>
      </c>
      <c r="U252" s="5" t="s">
        <v>3297</v>
      </c>
      <c r="V252" s="5" t="s">
        <v>3297</v>
      </c>
      <c r="W252" s="5" t="s">
        <v>3298</v>
      </c>
      <c r="X252" s="5" t="s">
        <v>3298</v>
      </c>
      <c r="Y252" s="4">
        <v>258</v>
      </c>
      <c r="Z252" s="4">
        <v>218</v>
      </c>
      <c r="AA252" s="4">
        <v>894</v>
      </c>
      <c r="AB252" s="4">
        <v>2</v>
      </c>
      <c r="AC252" s="4">
        <v>6</v>
      </c>
      <c r="AD252" s="4">
        <v>3</v>
      </c>
      <c r="AE252" s="4">
        <v>17</v>
      </c>
      <c r="AF252" s="4">
        <v>1</v>
      </c>
      <c r="AG252" s="4">
        <v>8</v>
      </c>
      <c r="AH252" s="4">
        <v>0</v>
      </c>
      <c r="AI252" s="4">
        <v>2</v>
      </c>
      <c r="AJ252" s="4">
        <v>1</v>
      </c>
      <c r="AK252" s="4">
        <v>5</v>
      </c>
      <c r="AL252" s="4">
        <v>1</v>
      </c>
      <c r="AM252" s="4">
        <v>3</v>
      </c>
      <c r="AN252" s="4">
        <v>0</v>
      </c>
      <c r="AO252" s="4">
        <v>1</v>
      </c>
      <c r="AP252" s="3" t="s">
        <v>58</v>
      </c>
      <c r="AQ252" s="3" t="s">
        <v>58</v>
      </c>
      <c r="AS252" s="6" t="str">
        <f>HYPERLINK("https://creighton-primo.hosted.exlibrisgroup.com/primo-explore/search?tab=default_tab&amp;search_scope=EVERYTHING&amp;vid=01CRU&amp;lang=en_US&amp;offset=0&amp;query=any,contains,991005352269702656","Catalog Record")</f>
        <v>Catalog Record</v>
      </c>
      <c r="AT252" s="6" t="str">
        <f>HYPERLINK("http://www.worldcat.org/oclc/20826674","WorldCat Record")</f>
        <v>WorldCat Record</v>
      </c>
      <c r="AU252" s="3" t="s">
        <v>3299</v>
      </c>
      <c r="AV252" s="3" t="s">
        <v>3300</v>
      </c>
      <c r="AW252" s="3" t="s">
        <v>3301</v>
      </c>
      <c r="AX252" s="3" t="s">
        <v>3301</v>
      </c>
      <c r="AY252" s="3" t="s">
        <v>3302</v>
      </c>
      <c r="AZ252" s="3" t="s">
        <v>74</v>
      </c>
      <c r="BB252" s="3" t="s">
        <v>3303</v>
      </c>
      <c r="BC252" s="3" t="s">
        <v>3304</v>
      </c>
      <c r="BD252" s="3" t="s">
        <v>3305</v>
      </c>
    </row>
    <row r="253" spans="1:56" ht="34.5" customHeight="1" x14ac:dyDescent="0.25">
      <c r="A253" s="7" t="s">
        <v>58</v>
      </c>
      <c r="B253" s="2" t="s">
        <v>3306</v>
      </c>
      <c r="C253" s="2" t="s">
        <v>3307</v>
      </c>
      <c r="D253" s="2" t="s">
        <v>3308</v>
      </c>
      <c r="F253" s="3" t="s">
        <v>58</v>
      </c>
      <c r="G253" s="3" t="s">
        <v>59</v>
      </c>
      <c r="H253" s="3" t="s">
        <v>58</v>
      </c>
      <c r="I253" s="3" t="s">
        <v>58</v>
      </c>
      <c r="J253" s="3" t="s">
        <v>60</v>
      </c>
      <c r="K253" s="2" t="s">
        <v>3309</v>
      </c>
      <c r="L253" s="2" t="s">
        <v>3310</v>
      </c>
      <c r="M253" s="3" t="s">
        <v>3311</v>
      </c>
      <c r="O253" s="3" t="s">
        <v>64</v>
      </c>
      <c r="P253" s="3" t="s">
        <v>65</v>
      </c>
      <c r="R253" s="3" t="s">
        <v>66</v>
      </c>
      <c r="S253" s="4">
        <v>1</v>
      </c>
      <c r="T253" s="4">
        <v>1</v>
      </c>
      <c r="U253" s="5" t="s">
        <v>3312</v>
      </c>
      <c r="V253" s="5" t="s">
        <v>3312</v>
      </c>
      <c r="W253" s="5" t="s">
        <v>3313</v>
      </c>
      <c r="X253" s="5" t="s">
        <v>3313</v>
      </c>
      <c r="Y253" s="4">
        <v>90</v>
      </c>
      <c r="Z253" s="4">
        <v>85</v>
      </c>
      <c r="AA253" s="4">
        <v>586</v>
      </c>
      <c r="AB253" s="4">
        <v>2</v>
      </c>
      <c r="AC253" s="4">
        <v>3</v>
      </c>
      <c r="AD253" s="4">
        <v>3</v>
      </c>
      <c r="AE253" s="4">
        <v>20</v>
      </c>
      <c r="AF253" s="4">
        <v>1</v>
      </c>
      <c r="AG253" s="4">
        <v>9</v>
      </c>
      <c r="AH253" s="4">
        <v>0</v>
      </c>
      <c r="AI253" s="4">
        <v>3</v>
      </c>
      <c r="AJ253" s="4">
        <v>1</v>
      </c>
      <c r="AK253" s="4">
        <v>10</v>
      </c>
      <c r="AL253" s="4">
        <v>1</v>
      </c>
      <c r="AM253" s="4">
        <v>2</v>
      </c>
      <c r="AN253" s="4">
        <v>0</v>
      </c>
      <c r="AO253" s="4">
        <v>0</v>
      </c>
      <c r="AP253" s="3" t="s">
        <v>69</v>
      </c>
      <c r="AQ253" s="3" t="s">
        <v>58</v>
      </c>
      <c r="AR253" s="6" t="str">
        <f>HYPERLINK("http://catalog.hathitrust.org/Record/007559673","HathiTrust Record")</f>
        <v>HathiTrust Record</v>
      </c>
      <c r="AS253" s="6" t="str">
        <f>HYPERLINK("https://creighton-primo.hosted.exlibrisgroup.com/primo-explore/search?tab=default_tab&amp;search_scope=EVERYTHING&amp;vid=01CRU&amp;lang=en_US&amp;offset=0&amp;query=any,contains,991003781489702656","Catalog Record")</f>
        <v>Catalog Record</v>
      </c>
      <c r="AT253" s="6" t="str">
        <f>HYPERLINK("http://www.worldcat.org/oclc/1495157","WorldCat Record")</f>
        <v>WorldCat Record</v>
      </c>
      <c r="AU253" s="3" t="s">
        <v>3314</v>
      </c>
      <c r="AV253" s="3" t="s">
        <v>3315</v>
      </c>
      <c r="AW253" s="3" t="s">
        <v>3316</v>
      </c>
      <c r="AX253" s="3" t="s">
        <v>3316</v>
      </c>
      <c r="AY253" s="3" t="s">
        <v>3317</v>
      </c>
      <c r="AZ253" s="3" t="s">
        <v>74</v>
      </c>
      <c r="BC253" s="3" t="s">
        <v>3318</v>
      </c>
      <c r="BD253" s="3" t="s">
        <v>3319</v>
      </c>
    </row>
    <row r="254" spans="1:56" ht="34.5" customHeight="1" x14ac:dyDescent="0.25">
      <c r="A254" s="7" t="s">
        <v>58</v>
      </c>
      <c r="B254" s="2" t="s">
        <v>3320</v>
      </c>
      <c r="C254" s="2" t="s">
        <v>3321</v>
      </c>
      <c r="D254" s="2" t="s">
        <v>3322</v>
      </c>
      <c r="F254" s="3" t="s">
        <v>58</v>
      </c>
      <c r="G254" s="3" t="s">
        <v>59</v>
      </c>
      <c r="H254" s="3" t="s">
        <v>58</v>
      </c>
      <c r="I254" s="3" t="s">
        <v>58</v>
      </c>
      <c r="J254" s="3" t="s">
        <v>60</v>
      </c>
      <c r="K254" s="2" t="s">
        <v>3323</v>
      </c>
      <c r="L254" s="2" t="s">
        <v>3324</v>
      </c>
      <c r="M254" s="3" t="s">
        <v>739</v>
      </c>
      <c r="O254" s="3" t="s">
        <v>64</v>
      </c>
      <c r="P254" s="3" t="s">
        <v>65</v>
      </c>
      <c r="R254" s="3" t="s">
        <v>66</v>
      </c>
      <c r="S254" s="4">
        <v>17</v>
      </c>
      <c r="T254" s="4">
        <v>17</v>
      </c>
      <c r="U254" s="5" t="s">
        <v>3325</v>
      </c>
      <c r="V254" s="5" t="s">
        <v>3325</v>
      </c>
      <c r="W254" s="5" t="s">
        <v>3326</v>
      </c>
      <c r="X254" s="5" t="s">
        <v>3326</v>
      </c>
      <c r="Y254" s="4">
        <v>639</v>
      </c>
      <c r="Z254" s="4">
        <v>600</v>
      </c>
      <c r="AA254" s="4">
        <v>762</v>
      </c>
      <c r="AB254" s="4">
        <v>6</v>
      </c>
      <c r="AC254" s="4">
        <v>8</v>
      </c>
      <c r="AD254" s="4">
        <v>10</v>
      </c>
      <c r="AE254" s="4">
        <v>10</v>
      </c>
      <c r="AF254" s="4">
        <v>3</v>
      </c>
      <c r="AG254" s="4">
        <v>3</v>
      </c>
      <c r="AH254" s="4">
        <v>1</v>
      </c>
      <c r="AI254" s="4">
        <v>1</v>
      </c>
      <c r="AJ254" s="4">
        <v>3</v>
      </c>
      <c r="AK254" s="4">
        <v>3</v>
      </c>
      <c r="AL254" s="4">
        <v>3</v>
      </c>
      <c r="AM254" s="4">
        <v>3</v>
      </c>
      <c r="AN254" s="4">
        <v>0</v>
      </c>
      <c r="AO254" s="4">
        <v>0</v>
      </c>
      <c r="AP254" s="3" t="s">
        <v>58</v>
      </c>
      <c r="AQ254" s="3" t="s">
        <v>69</v>
      </c>
      <c r="AR254" s="6" t="str">
        <f>HYPERLINK("http://catalog.hathitrust.org/Record/001838052","HathiTrust Record")</f>
        <v>HathiTrust Record</v>
      </c>
      <c r="AS254" s="6" t="str">
        <f>HYPERLINK("https://creighton-primo.hosted.exlibrisgroup.com/primo-explore/search?tab=default_tab&amp;search_scope=EVERYTHING&amp;vid=01CRU&amp;lang=en_US&amp;offset=0&amp;query=any,contains,991001463299702656","Catalog Record")</f>
        <v>Catalog Record</v>
      </c>
      <c r="AT254" s="6" t="str">
        <f>HYPERLINK("http://www.worldcat.org/oclc/19458230","WorldCat Record")</f>
        <v>WorldCat Record</v>
      </c>
      <c r="AU254" s="3" t="s">
        <v>3327</v>
      </c>
      <c r="AV254" s="3" t="s">
        <v>3328</v>
      </c>
      <c r="AW254" s="3" t="s">
        <v>3329</v>
      </c>
      <c r="AX254" s="3" t="s">
        <v>3329</v>
      </c>
      <c r="AY254" s="3" t="s">
        <v>3330</v>
      </c>
      <c r="AZ254" s="3" t="s">
        <v>74</v>
      </c>
      <c r="BB254" s="3" t="s">
        <v>3331</v>
      </c>
      <c r="BC254" s="3" t="s">
        <v>3332</v>
      </c>
      <c r="BD254" s="3" t="s">
        <v>3333</v>
      </c>
    </row>
    <row r="255" spans="1:56" ht="34.5" customHeight="1" x14ac:dyDescent="0.25">
      <c r="A255" s="7" t="s">
        <v>58</v>
      </c>
      <c r="B255" s="2" t="s">
        <v>3334</v>
      </c>
      <c r="C255" s="2" t="s">
        <v>3335</v>
      </c>
      <c r="D255" s="2" t="s">
        <v>3336</v>
      </c>
      <c r="F255" s="3" t="s">
        <v>58</v>
      </c>
      <c r="G255" s="3" t="s">
        <v>59</v>
      </c>
      <c r="H255" s="3" t="s">
        <v>58</v>
      </c>
      <c r="I255" s="3" t="s">
        <v>58</v>
      </c>
      <c r="J255" s="3" t="s">
        <v>60</v>
      </c>
      <c r="K255" s="2" t="s">
        <v>3295</v>
      </c>
      <c r="L255" s="2" t="s">
        <v>3337</v>
      </c>
      <c r="M255" s="3" t="s">
        <v>176</v>
      </c>
      <c r="O255" s="3" t="s">
        <v>64</v>
      </c>
      <c r="P255" s="3" t="s">
        <v>65</v>
      </c>
      <c r="R255" s="3" t="s">
        <v>66</v>
      </c>
      <c r="S255" s="4">
        <v>4</v>
      </c>
      <c r="T255" s="4">
        <v>4</v>
      </c>
      <c r="U255" s="5" t="s">
        <v>3338</v>
      </c>
      <c r="V255" s="5" t="s">
        <v>3338</v>
      </c>
      <c r="W255" s="5" t="s">
        <v>3339</v>
      </c>
      <c r="X255" s="5" t="s">
        <v>3339</v>
      </c>
      <c r="Y255" s="4">
        <v>560</v>
      </c>
      <c r="Z255" s="4">
        <v>432</v>
      </c>
      <c r="AA255" s="4">
        <v>1334</v>
      </c>
      <c r="AB255" s="4">
        <v>4</v>
      </c>
      <c r="AC255" s="4">
        <v>6</v>
      </c>
      <c r="AD255" s="4">
        <v>17</v>
      </c>
      <c r="AE255" s="4">
        <v>40</v>
      </c>
      <c r="AF255" s="4">
        <v>7</v>
      </c>
      <c r="AG255" s="4">
        <v>19</v>
      </c>
      <c r="AH255" s="4">
        <v>2</v>
      </c>
      <c r="AI255" s="4">
        <v>6</v>
      </c>
      <c r="AJ255" s="4">
        <v>10</v>
      </c>
      <c r="AK255" s="4">
        <v>20</v>
      </c>
      <c r="AL255" s="4">
        <v>3</v>
      </c>
      <c r="AM255" s="4">
        <v>5</v>
      </c>
      <c r="AN255" s="4">
        <v>0</v>
      </c>
      <c r="AO255" s="4">
        <v>0</v>
      </c>
      <c r="AP255" s="3" t="s">
        <v>58</v>
      </c>
      <c r="AQ255" s="3" t="s">
        <v>69</v>
      </c>
      <c r="AR255" s="6" t="str">
        <f>HYPERLINK("http://catalog.hathitrust.org/Record/008231658","HathiTrust Record")</f>
        <v>HathiTrust Record</v>
      </c>
      <c r="AS255" s="6" t="str">
        <f>HYPERLINK("https://creighton-primo.hosted.exlibrisgroup.com/primo-explore/search?tab=default_tab&amp;search_scope=EVERYTHING&amp;vid=01CRU&amp;lang=en_US&amp;offset=0&amp;query=any,contains,991000972649702656","Catalog Record")</f>
        <v>Catalog Record</v>
      </c>
      <c r="AT255" s="6" t="str">
        <f>HYPERLINK("http://www.worldcat.org/oclc/14966304","WorldCat Record")</f>
        <v>WorldCat Record</v>
      </c>
      <c r="AU255" s="3" t="s">
        <v>3340</v>
      </c>
      <c r="AV255" s="3" t="s">
        <v>3341</v>
      </c>
      <c r="AW255" s="3" t="s">
        <v>3342</v>
      </c>
      <c r="AX255" s="3" t="s">
        <v>3342</v>
      </c>
      <c r="AY255" s="3" t="s">
        <v>3343</v>
      </c>
      <c r="AZ255" s="3" t="s">
        <v>74</v>
      </c>
      <c r="BB255" s="3" t="s">
        <v>3344</v>
      </c>
      <c r="BC255" s="3" t="s">
        <v>3345</v>
      </c>
      <c r="BD255" s="3" t="s">
        <v>3346</v>
      </c>
    </row>
    <row r="256" spans="1:56" ht="34.5" customHeight="1" x14ac:dyDescent="0.25">
      <c r="A256" s="7" t="s">
        <v>58</v>
      </c>
      <c r="B256" s="2" t="s">
        <v>3347</v>
      </c>
      <c r="C256" s="2" t="s">
        <v>3348</v>
      </c>
      <c r="D256" s="2" t="s">
        <v>3349</v>
      </c>
      <c r="F256" s="3" t="s">
        <v>58</v>
      </c>
      <c r="G256" s="3" t="s">
        <v>59</v>
      </c>
      <c r="H256" s="3" t="s">
        <v>58</v>
      </c>
      <c r="I256" s="3" t="s">
        <v>58</v>
      </c>
      <c r="J256" s="3" t="s">
        <v>60</v>
      </c>
      <c r="K256" s="2" t="s">
        <v>3350</v>
      </c>
      <c r="L256" s="2" t="s">
        <v>3351</v>
      </c>
      <c r="M256" s="3" t="s">
        <v>162</v>
      </c>
      <c r="O256" s="3" t="s">
        <v>64</v>
      </c>
      <c r="P256" s="3" t="s">
        <v>252</v>
      </c>
      <c r="R256" s="3" t="s">
        <v>66</v>
      </c>
      <c r="S256" s="4">
        <v>4</v>
      </c>
      <c r="T256" s="4">
        <v>4</v>
      </c>
      <c r="U256" s="5" t="s">
        <v>299</v>
      </c>
      <c r="V256" s="5" t="s">
        <v>299</v>
      </c>
      <c r="W256" s="5" t="s">
        <v>754</v>
      </c>
      <c r="X256" s="5" t="s">
        <v>754</v>
      </c>
      <c r="Y256" s="4">
        <v>544</v>
      </c>
      <c r="Z256" s="4">
        <v>408</v>
      </c>
      <c r="AA256" s="4">
        <v>414</v>
      </c>
      <c r="AB256" s="4">
        <v>2</v>
      </c>
      <c r="AC256" s="4">
        <v>2</v>
      </c>
      <c r="AD256" s="4">
        <v>14</v>
      </c>
      <c r="AE256" s="4">
        <v>14</v>
      </c>
      <c r="AF256" s="4">
        <v>5</v>
      </c>
      <c r="AG256" s="4">
        <v>5</v>
      </c>
      <c r="AH256" s="4">
        <v>2</v>
      </c>
      <c r="AI256" s="4">
        <v>2</v>
      </c>
      <c r="AJ256" s="4">
        <v>8</v>
      </c>
      <c r="AK256" s="4">
        <v>8</v>
      </c>
      <c r="AL256" s="4">
        <v>1</v>
      </c>
      <c r="AM256" s="4">
        <v>1</v>
      </c>
      <c r="AN256" s="4">
        <v>0</v>
      </c>
      <c r="AO256" s="4">
        <v>0</v>
      </c>
      <c r="AP256" s="3" t="s">
        <v>58</v>
      </c>
      <c r="AQ256" s="3" t="s">
        <v>69</v>
      </c>
      <c r="AR256" s="6" t="str">
        <f>HYPERLINK("http://catalog.hathitrust.org/Record/000335173","HathiTrust Record")</f>
        <v>HathiTrust Record</v>
      </c>
      <c r="AS256" s="6" t="str">
        <f>HYPERLINK("https://creighton-primo.hosted.exlibrisgroup.com/primo-explore/search?tab=default_tab&amp;search_scope=EVERYTHING&amp;vid=01CRU&amp;lang=en_US&amp;offset=0&amp;query=any,contains,991000462859702656","Catalog Record")</f>
        <v>Catalog Record</v>
      </c>
      <c r="AT256" s="6" t="str">
        <f>HYPERLINK("http://www.worldcat.org/oclc/10948755","WorldCat Record")</f>
        <v>WorldCat Record</v>
      </c>
      <c r="AU256" s="3" t="s">
        <v>3352</v>
      </c>
      <c r="AV256" s="3" t="s">
        <v>3353</v>
      </c>
      <c r="AW256" s="3" t="s">
        <v>3354</v>
      </c>
      <c r="AX256" s="3" t="s">
        <v>3354</v>
      </c>
      <c r="AY256" s="3" t="s">
        <v>3355</v>
      </c>
      <c r="AZ256" s="3" t="s">
        <v>74</v>
      </c>
      <c r="BB256" s="3" t="s">
        <v>3356</v>
      </c>
      <c r="BC256" s="3" t="s">
        <v>3357</v>
      </c>
      <c r="BD256" s="3" t="s">
        <v>3358</v>
      </c>
    </row>
    <row r="257" spans="1:56" ht="34.5" customHeight="1" x14ac:dyDescent="0.25">
      <c r="A257" s="7" t="s">
        <v>58</v>
      </c>
      <c r="B257" s="2" t="s">
        <v>3359</v>
      </c>
      <c r="C257" s="2" t="s">
        <v>3360</v>
      </c>
      <c r="D257" s="2" t="s">
        <v>3361</v>
      </c>
      <c r="F257" s="3" t="s">
        <v>58</v>
      </c>
      <c r="G257" s="3" t="s">
        <v>59</v>
      </c>
      <c r="H257" s="3" t="s">
        <v>58</v>
      </c>
      <c r="I257" s="3" t="s">
        <v>58</v>
      </c>
      <c r="J257" s="3" t="s">
        <v>60</v>
      </c>
      <c r="L257" s="2" t="s">
        <v>3362</v>
      </c>
      <c r="M257" s="3" t="s">
        <v>450</v>
      </c>
      <c r="O257" s="3" t="s">
        <v>64</v>
      </c>
      <c r="P257" s="3" t="s">
        <v>65</v>
      </c>
      <c r="Q257" s="2" t="s">
        <v>3363</v>
      </c>
      <c r="R257" s="3" t="s">
        <v>66</v>
      </c>
      <c r="S257" s="4">
        <v>5</v>
      </c>
      <c r="T257" s="4">
        <v>5</v>
      </c>
      <c r="U257" s="5" t="s">
        <v>3364</v>
      </c>
      <c r="V257" s="5" t="s">
        <v>3364</v>
      </c>
      <c r="W257" s="5" t="s">
        <v>3365</v>
      </c>
      <c r="X257" s="5" t="s">
        <v>3365</v>
      </c>
      <c r="Y257" s="4">
        <v>505</v>
      </c>
      <c r="Z257" s="4">
        <v>491</v>
      </c>
      <c r="AA257" s="4">
        <v>494</v>
      </c>
      <c r="AB257" s="4">
        <v>2</v>
      </c>
      <c r="AC257" s="4">
        <v>2</v>
      </c>
      <c r="AD257" s="4">
        <v>13</v>
      </c>
      <c r="AE257" s="4">
        <v>13</v>
      </c>
      <c r="AF257" s="4">
        <v>7</v>
      </c>
      <c r="AG257" s="4">
        <v>7</v>
      </c>
      <c r="AH257" s="4">
        <v>3</v>
      </c>
      <c r="AI257" s="4">
        <v>3</v>
      </c>
      <c r="AJ257" s="4">
        <v>5</v>
      </c>
      <c r="AK257" s="4">
        <v>5</v>
      </c>
      <c r="AL257" s="4">
        <v>1</v>
      </c>
      <c r="AM257" s="4">
        <v>1</v>
      </c>
      <c r="AN257" s="4">
        <v>0</v>
      </c>
      <c r="AO257" s="4">
        <v>0</v>
      </c>
      <c r="AP257" s="3" t="s">
        <v>58</v>
      </c>
      <c r="AQ257" s="3" t="s">
        <v>69</v>
      </c>
      <c r="AR257" s="6" t="str">
        <f>HYPERLINK("http://catalog.hathitrust.org/Record/003559599","HathiTrust Record")</f>
        <v>HathiTrust Record</v>
      </c>
      <c r="AS257" s="6" t="str">
        <f>HYPERLINK("https://creighton-primo.hosted.exlibrisgroup.com/primo-explore/search?tab=default_tab&amp;search_scope=EVERYTHING&amp;vid=01CRU&amp;lang=en_US&amp;offset=0&amp;query=any,contains,991004393719702656","Catalog Record")</f>
        <v>Catalog Record</v>
      </c>
      <c r="AT257" s="6" t="str">
        <f>HYPERLINK("http://www.worldcat.org/oclc/3273943","WorldCat Record")</f>
        <v>WorldCat Record</v>
      </c>
      <c r="AU257" s="3" t="s">
        <v>3366</v>
      </c>
      <c r="AV257" s="3" t="s">
        <v>3367</v>
      </c>
      <c r="AW257" s="3" t="s">
        <v>3368</v>
      </c>
      <c r="AX257" s="3" t="s">
        <v>3368</v>
      </c>
      <c r="AY257" s="3" t="s">
        <v>3369</v>
      </c>
      <c r="AZ257" s="3" t="s">
        <v>74</v>
      </c>
      <c r="BB257" s="3" t="s">
        <v>3370</v>
      </c>
      <c r="BC257" s="3" t="s">
        <v>3371</v>
      </c>
      <c r="BD257" s="3" t="s">
        <v>3372</v>
      </c>
    </row>
    <row r="258" spans="1:56" ht="34.5" customHeight="1" x14ac:dyDescent="0.25">
      <c r="A258" s="7" t="s">
        <v>58</v>
      </c>
      <c r="B258" s="2" t="s">
        <v>3373</v>
      </c>
      <c r="C258" s="2" t="s">
        <v>3374</v>
      </c>
      <c r="D258" s="2" t="s">
        <v>3375</v>
      </c>
      <c r="F258" s="3" t="s">
        <v>58</v>
      </c>
      <c r="G258" s="3" t="s">
        <v>59</v>
      </c>
      <c r="H258" s="3" t="s">
        <v>58</v>
      </c>
      <c r="I258" s="3" t="s">
        <v>58</v>
      </c>
      <c r="J258" s="3" t="s">
        <v>60</v>
      </c>
      <c r="K258" s="2" t="s">
        <v>3376</v>
      </c>
      <c r="L258" s="2" t="s">
        <v>3377</v>
      </c>
      <c r="M258" s="3" t="s">
        <v>1374</v>
      </c>
      <c r="O258" s="3" t="s">
        <v>64</v>
      </c>
      <c r="P258" s="3" t="s">
        <v>65</v>
      </c>
      <c r="R258" s="3" t="s">
        <v>66</v>
      </c>
      <c r="S258" s="4">
        <v>3</v>
      </c>
      <c r="T258" s="4">
        <v>3</v>
      </c>
      <c r="U258" s="5" t="s">
        <v>3378</v>
      </c>
      <c r="V258" s="5" t="s">
        <v>3378</v>
      </c>
      <c r="W258" s="5" t="s">
        <v>3379</v>
      </c>
      <c r="X258" s="5" t="s">
        <v>3379</v>
      </c>
      <c r="Y258" s="4">
        <v>1790</v>
      </c>
      <c r="Z258" s="4">
        <v>1717</v>
      </c>
      <c r="AA258" s="4">
        <v>1729</v>
      </c>
      <c r="AB258" s="4">
        <v>10</v>
      </c>
      <c r="AC258" s="4">
        <v>10</v>
      </c>
      <c r="AD258" s="4">
        <v>36</v>
      </c>
      <c r="AE258" s="4">
        <v>37</v>
      </c>
      <c r="AF258" s="4">
        <v>16</v>
      </c>
      <c r="AG258" s="4">
        <v>17</v>
      </c>
      <c r="AH258" s="4">
        <v>7</v>
      </c>
      <c r="AI258" s="4">
        <v>7</v>
      </c>
      <c r="AJ258" s="4">
        <v>19</v>
      </c>
      <c r="AK258" s="4">
        <v>19</v>
      </c>
      <c r="AL258" s="4">
        <v>5</v>
      </c>
      <c r="AM258" s="4">
        <v>5</v>
      </c>
      <c r="AN258" s="4">
        <v>0</v>
      </c>
      <c r="AO258" s="4">
        <v>0</v>
      </c>
      <c r="AP258" s="3" t="s">
        <v>58</v>
      </c>
      <c r="AQ258" s="3" t="s">
        <v>69</v>
      </c>
      <c r="AR258" s="6" t="str">
        <f>HYPERLINK("http://catalog.hathitrust.org/Record/000643645","HathiTrust Record")</f>
        <v>HathiTrust Record</v>
      </c>
      <c r="AS258" s="6" t="str">
        <f>HYPERLINK("https://creighton-primo.hosted.exlibrisgroup.com/primo-explore/search?tab=default_tab&amp;search_scope=EVERYTHING&amp;vid=01CRU&amp;lang=en_US&amp;offset=0&amp;query=any,contains,991001084549702656","Catalog Record")</f>
        <v>Catalog Record</v>
      </c>
      <c r="AT258" s="6" t="str">
        <f>HYPERLINK("http://www.worldcat.org/oclc/179823","WorldCat Record")</f>
        <v>WorldCat Record</v>
      </c>
      <c r="AU258" s="3" t="s">
        <v>3380</v>
      </c>
      <c r="AV258" s="3" t="s">
        <v>3381</v>
      </c>
      <c r="AW258" s="3" t="s">
        <v>3382</v>
      </c>
      <c r="AX258" s="3" t="s">
        <v>3382</v>
      </c>
      <c r="AY258" s="3" t="s">
        <v>3383</v>
      </c>
      <c r="AZ258" s="3" t="s">
        <v>74</v>
      </c>
      <c r="BB258" s="3" t="s">
        <v>3384</v>
      </c>
      <c r="BC258" s="3" t="s">
        <v>3385</v>
      </c>
      <c r="BD258" s="3" t="s">
        <v>3386</v>
      </c>
    </row>
    <row r="259" spans="1:56" ht="34.5" customHeight="1" x14ac:dyDescent="0.25">
      <c r="A259" s="7" t="s">
        <v>58</v>
      </c>
      <c r="B259" s="2" t="s">
        <v>3387</v>
      </c>
      <c r="C259" s="2" t="s">
        <v>3388</v>
      </c>
      <c r="D259" s="2" t="s">
        <v>3389</v>
      </c>
      <c r="F259" s="3" t="s">
        <v>58</v>
      </c>
      <c r="G259" s="3" t="s">
        <v>59</v>
      </c>
      <c r="H259" s="3" t="s">
        <v>58</v>
      </c>
      <c r="I259" s="3" t="s">
        <v>58</v>
      </c>
      <c r="J259" s="3" t="s">
        <v>60</v>
      </c>
      <c r="K259" s="2" t="s">
        <v>3390</v>
      </c>
      <c r="L259" s="2" t="s">
        <v>3391</v>
      </c>
      <c r="M259" s="3" t="s">
        <v>176</v>
      </c>
      <c r="O259" s="3" t="s">
        <v>64</v>
      </c>
      <c r="P259" s="3" t="s">
        <v>65</v>
      </c>
      <c r="Q259" s="2" t="s">
        <v>3392</v>
      </c>
      <c r="R259" s="3" t="s">
        <v>66</v>
      </c>
      <c r="S259" s="4">
        <v>5</v>
      </c>
      <c r="T259" s="4">
        <v>5</v>
      </c>
      <c r="U259" s="5" t="s">
        <v>3393</v>
      </c>
      <c r="V259" s="5" t="s">
        <v>3393</v>
      </c>
      <c r="W259" s="5" t="s">
        <v>3394</v>
      </c>
      <c r="X259" s="5" t="s">
        <v>3394</v>
      </c>
      <c r="Y259" s="4">
        <v>342</v>
      </c>
      <c r="Z259" s="4">
        <v>304</v>
      </c>
      <c r="AA259" s="4">
        <v>309</v>
      </c>
      <c r="AB259" s="4">
        <v>2</v>
      </c>
      <c r="AC259" s="4">
        <v>2</v>
      </c>
      <c r="AD259" s="4">
        <v>5</v>
      </c>
      <c r="AE259" s="4">
        <v>5</v>
      </c>
      <c r="AF259" s="4">
        <v>3</v>
      </c>
      <c r="AG259" s="4">
        <v>3</v>
      </c>
      <c r="AH259" s="4">
        <v>1</v>
      </c>
      <c r="AI259" s="4">
        <v>1</v>
      </c>
      <c r="AJ259" s="4">
        <v>4</v>
      </c>
      <c r="AK259" s="4">
        <v>4</v>
      </c>
      <c r="AL259" s="4">
        <v>0</v>
      </c>
      <c r="AM259" s="4">
        <v>0</v>
      </c>
      <c r="AN259" s="4">
        <v>0</v>
      </c>
      <c r="AO259" s="4">
        <v>0</v>
      </c>
      <c r="AP259" s="3" t="s">
        <v>58</v>
      </c>
      <c r="AQ259" s="3" t="s">
        <v>69</v>
      </c>
      <c r="AR259" s="6" t="str">
        <f>HYPERLINK("http://catalog.hathitrust.org/Record/000877799","HathiTrust Record")</f>
        <v>HathiTrust Record</v>
      </c>
      <c r="AS259" s="6" t="str">
        <f>HYPERLINK("https://creighton-primo.hosted.exlibrisgroup.com/primo-explore/search?tab=default_tab&amp;search_scope=EVERYTHING&amp;vid=01CRU&amp;lang=en_US&amp;offset=0&amp;query=any,contains,991000972199702656","Catalog Record")</f>
        <v>Catalog Record</v>
      </c>
      <c r="AT259" s="6" t="str">
        <f>HYPERLINK("http://www.worldcat.org/oclc/14965475","WorldCat Record")</f>
        <v>WorldCat Record</v>
      </c>
      <c r="AU259" s="3" t="s">
        <v>3395</v>
      </c>
      <c r="AV259" s="3" t="s">
        <v>3396</v>
      </c>
      <c r="AW259" s="3" t="s">
        <v>3397</v>
      </c>
      <c r="AX259" s="3" t="s">
        <v>3397</v>
      </c>
      <c r="AY259" s="3" t="s">
        <v>3398</v>
      </c>
      <c r="AZ259" s="3" t="s">
        <v>74</v>
      </c>
      <c r="BB259" s="3" t="s">
        <v>3399</v>
      </c>
      <c r="BC259" s="3" t="s">
        <v>3400</v>
      </c>
      <c r="BD259" s="3" t="s">
        <v>3401</v>
      </c>
    </row>
    <row r="260" spans="1:56" ht="34.5" customHeight="1" x14ac:dyDescent="0.25">
      <c r="A260" s="7" t="s">
        <v>58</v>
      </c>
      <c r="B260" s="2" t="s">
        <v>3402</v>
      </c>
      <c r="C260" s="2" t="s">
        <v>3403</v>
      </c>
      <c r="D260" s="2" t="s">
        <v>3404</v>
      </c>
      <c r="F260" s="3" t="s">
        <v>58</v>
      </c>
      <c r="G260" s="3" t="s">
        <v>59</v>
      </c>
      <c r="H260" s="3" t="s">
        <v>58</v>
      </c>
      <c r="I260" s="3" t="s">
        <v>58</v>
      </c>
      <c r="J260" s="3" t="s">
        <v>60</v>
      </c>
      <c r="K260" s="2" t="s">
        <v>3405</v>
      </c>
      <c r="L260" s="2" t="s">
        <v>3406</v>
      </c>
      <c r="M260" s="3" t="s">
        <v>3407</v>
      </c>
      <c r="O260" s="3" t="s">
        <v>64</v>
      </c>
      <c r="P260" s="3" t="s">
        <v>670</v>
      </c>
      <c r="R260" s="3" t="s">
        <v>66</v>
      </c>
      <c r="S260" s="4">
        <v>1</v>
      </c>
      <c r="T260" s="4">
        <v>1</v>
      </c>
      <c r="U260" s="5" t="s">
        <v>3408</v>
      </c>
      <c r="V260" s="5" t="s">
        <v>3408</v>
      </c>
      <c r="W260" s="5" t="s">
        <v>3409</v>
      </c>
      <c r="X260" s="5" t="s">
        <v>3409</v>
      </c>
      <c r="Y260" s="4">
        <v>120</v>
      </c>
      <c r="Z260" s="4">
        <v>118</v>
      </c>
      <c r="AA260" s="4">
        <v>264</v>
      </c>
      <c r="AB260" s="4">
        <v>1</v>
      </c>
      <c r="AC260" s="4">
        <v>3</v>
      </c>
      <c r="AD260" s="4">
        <v>4</v>
      </c>
      <c r="AE260" s="4">
        <v>11</v>
      </c>
      <c r="AF260" s="4">
        <v>1</v>
      </c>
      <c r="AG260" s="4">
        <v>3</v>
      </c>
      <c r="AH260" s="4">
        <v>1</v>
      </c>
      <c r="AI260" s="4">
        <v>3</v>
      </c>
      <c r="AJ260" s="4">
        <v>2</v>
      </c>
      <c r="AK260" s="4">
        <v>3</v>
      </c>
      <c r="AL260" s="4">
        <v>0</v>
      </c>
      <c r="AM260" s="4">
        <v>2</v>
      </c>
      <c r="AN260" s="4">
        <v>0</v>
      </c>
      <c r="AO260" s="4">
        <v>0</v>
      </c>
      <c r="AP260" s="3" t="s">
        <v>69</v>
      </c>
      <c r="AQ260" s="3" t="s">
        <v>58</v>
      </c>
      <c r="AR260" s="6" t="str">
        <f>HYPERLINK("http://catalog.hathitrust.org/Record/000644148","HathiTrust Record")</f>
        <v>HathiTrust Record</v>
      </c>
      <c r="AS260" s="6" t="str">
        <f>HYPERLINK("https://creighton-primo.hosted.exlibrisgroup.com/primo-explore/search?tab=default_tab&amp;search_scope=EVERYTHING&amp;vid=01CRU&amp;lang=en_US&amp;offset=0&amp;query=any,contains,991002924289702656","Catalog Record")</f>
        <v>Catalog Record</v>
      </c>
      <c r="AT260" s="6" t="str">
        <f>HYPERLINK("http://www.worldcat.org/oclc/528330","WorldCat Record")</f>
        <v>WorldCat Record</v>
      </c>
      <c r="AU260" s="3" t="s">
        <v>3410</v>
      </c>
      <c r="AV260" s="3" t="s">
        <v>3411</v>
      </c>
      <c r="AW260" s="3" t="s">
        <v>3412</v>
      </c>
      <c r="AX260" s="3" t="s">
        <v>3412</v>
      </c>
      <c r="AY260" s="3" t="s">
        <v>3413</v>
      </c>
      <c r="AZ260" s="3" t="s">
        <v>74</v>
      </c>
      <c r="BC260" s="3" t="s">
        <v>3414</v>
      </c>
      <c r="BD260" s="3" t="s">
        <v>3415</v>
      </c>
    </row>
    <row r="261" spans="1:56" ht="34.5" customHeight="1" x14ac:dyDescent="0.25">
      <c r="A261" s="7" t="s">
        <v>58</v>
      </c>
      <c r="B261" s="2" t="s">
        <v>3416</v>
      </c>
      <c r="C261" s="2" t="s">
        <v>3417</v>
      </c>
      <c r="D261" s="2" t="s">
        <v>3418</v>
      </c>
      <c r="F261" s="3" t="s">
        <v>58</v>
      </c>
      <c r="G261" s="3" t="s">
        <v>59</v>
      </c>
      <c r="H261" s="3" t="s">
        <v>58</v>
      </c>
      <c r="I261" s="3" t="s">
        <v>58</v>
      </c>
      <c r="J261" s="3" t="s">
        <v>60</v>
      </c>
      <c r="K261" s="2" t="s">
        <v>3419</v>
      </c>
      <c r="L261" s="2" t="s">
        <v>3420</v>
      </c>
      <c r="M261" s="3" t="s">
        <v>886</v>
      </c>
      <c r="O261" s="3" t="s">
        <v>64</v>
      </c>
      <c r="P261" s="3" t="s">
        <v>65</v>
      </c>
      <c r="R261" s="3" t="s">
        <v>66</v>
      </c>
      <c r="S261" s="4">
        <v>3</v>
      </c>
      <c r="T261" s="4">
        <v>3</v>
      </c>
      <c r="U261" s="5" t="s">
        <v>3246</v>
      </c>
      <c r="V261" s="5" t="s">
        <v>3246</v>
      </c>
      <c r="W261" s="5" t="s">
        <v>3379</v>
      </c>
      <c r="X261" s="5" t="s">
        <v>3379</v>
      </c>
      <c r="Y261" s="4">
        <v>114</v>
      </c>
      <c r="Z261" s="4">
        <v>107</v>
      </c>
      <c r="AA261" s="4">
        <v>161</v>
      </c>
      <c r="AB261" s="4">
        <v>3</v>
      </c>
      <c r="AC261" s="4">
        <v>3</v>
      </c>
      <c r="AD261" s="4">
        <v>0</v>
      </c>
      <c r="AE261" s="4">
        <v>2</v>
      </c>
      <c r="AF261" s="4">
        <v>0</v>
      </c>
      <c r="AG261" s="4">
        <v>0</v>
      </c>
      <c r="AH261" s="4">
        <v>0</v>
      </c>
      <c r="AI261" s="4">
        <v>0</v>
      </c>
      <c r="AJ261" s="4">
        <v>0</v>
      </c>
      <c r="AK261" s="4">
        <v>2</v>
      </c>
      <c r="AL261" s="4">
        <v>0</v>
      </c>
      <c r="AM261" s="4">
        <v>0</v>
      </c>
      <c r="AN261" s="4">
        <v>0</v>
      </c>
      <c r="AO261" s="4">
        <v>0</v>
      </c>
      <c r="AP261" s="3" t="s">
        <v>58</v>
      </c>
      <c r="AQ261" s="3" t="s">
        <v>58</v>
      </c>
      <c r="AS261" s="6" t="str">
        <f>HYPERLINK("https://creighton-primo.hosted.exlibrisgroup.com/primo-explore/search?tab=default_tab&amp;search_scope=EVERYTHING&amp;vid=01CRU&amp;lang=en_US&amp;offset=0&amp;query=any,contains,991005175649702656","Catalog Record")</f>
        <v>Catalog Record</v>
      </c>
      <c r="AT261" s="6" t="str">
        <f>HYPERLINK("http://www.worldcat.org/oclc/7922269","WorldCat Record")</f>
        <v>WorldCat Record</v>
      </c>
      <c r="AU261" s="3" t="s">
        <v>3421</v>
      </c>
      <c r="AV261" s="3" t="s">
        <v>3422</v>
      </c>
      <c r="AW261" s="3" t="s">
        <v>3423</v>
      </c>
      <c r="AX261" s="3" t="s">
        <v>3423</v>
      </c>
      <c r="AY261" s="3" t="s">
        <v>3424</v>
      </c>
      <c r="AZ261" s="3" t="s">
        <v>74</v>
      </c>
      <c r="BC261" s="3" t="s">
        <v>3425</v>
      </c>
      <c r="BD261" s="3" t="s">
        <v>3426</v>
      </c>
    </row>
    <row r="262" spans="1:56" ht="34.5" customHeight="1" x14ac:dyDescent="0.25">
      <c r="A262" s="7" t="s">
        <v>58</v>
      </c>
      <c r="B262" s="2" t="s">
        <v>3427</v>
      </c>
      <c r="C262" s="2" t="s">
        <v>3428</v>
      </c>
      <c r="D262" s="2" t="s">
        <v>3429</v>
      </c>
      <c r="F262" s="3" t="s">
        <v>58</v>
      </c>
      <c r="G262" s="3" t="s">
        <v>59</v>
      </c>
      <c r="H262" s="3" t="s">
        <v>58</v>
      </c>
      <c r="I262" s="3" t="s">
        <v>58</v>
      </c>
      <c r="J262" s="3" t="s">
        <v>60</v>
      </c>
      <c r="K262" s="2" t="s">
        <v>3430</v>
      </c>
      <c r="L262" s="2" t="s">
        <v>3431</v>
      </c>
      <c r="M262" s="3" t="s">
        <v>2804</v>
      </c>
      <c r="O262" s="3" t="s">
        <v>64</v>
      </c>
      <c r="P262" s="3" t="s">
        <v>65</v>
      </c>
      <c r="R262" s="3" t="s">
        <v>66</v>
      </c>
      <c r="S262" s="4">
        <v>2</v>
      </c>
      <c r="T262" s="4">
        <v>2</v>
      </c>
      <c r="U262" s="5" t="s">
        <v>3432</v>
      </c>
      <c r="V262" s="5" t="s">
        <v>3432</v>
      </c>
      <c r="W262" s="5" t="s">
        <v>2661</v>
      </c>
      <c r="X262" s="5" t="s">
        <v>2661</v>
      </c>
      <c r="Y262" s="4">
        <v>893</v>
      </c>
      <c r="Z262" s="4">
        <v>860</v>
      </c>
      <c r="AA262" s="4">
        <v>1241</v>
      </c>
      <c r="AB262" s="4">
        <v>7</v>
      </c>
      <c r="AC262" s="4">
        <v>11</v>
      </c>
      <c r="AD262" s="4">
        <v>24</v>
      </c>
      <c r="AE262" s="4">
        <v>29</v>
      </c>
      <c r="AF262" s="4">
        <v>10</v>
      </c>
      <c r="AG262" s="4">
        <v>13</v>
      </c>
      <c r="AH262" s="4">
        <v>4</v>
      </c>
      <c r="AI262" s="4">
        <v>5</v>
      </c>
      <c r="AJ262" s="4">
        <v>9</v>
      </c>
      <c r="AK262" s="4">
        <v>11</v>
      </c>
      <c r="AL262" s="4">
        <v>5</v>
      </c>
      <c r="AM262" s="4">
        <v>5</v>
      </c>
      <c r="AN262" s="4">
        <v>0</v>
      </c>
      <c r="AO262" s="4">
        <v>0</v>
      </c>
      <c r="AP262" s="3" t="s">
        <v>58</v>
      </c>
      <c r="AQ262" s="3" t="s">
        <v>58</v>
      </c>
      <c r="AS262" s="6" t="str">
        <f>HYPERLINK("https://creighton-primo.hosted.exlibrisgroup.com/primo-explore/search?tab=default_tab&amp;search_scope=EVERYTHING&amp;vid=01CRU&amp;lang=en_US&amp;offset=0&amp;query=any,contains,991002386139702656","Catalog Record")</f>
        <v>Catalog Record</v>
      </c>
      <c r="AT262" s="6" t="str">
        <f>HYPERLINK("http://www.worldcat.org/oclc/330133","WorldCat Record")</f>
        <v>WorldCat Record</v>
      </c>
      <c r="AU262" s="3" t="s">
        <v>3433</v>
      </c>
      <c r="AV262" s="3" t="s">
        <v>3434</v>
      </c>
      <c r="AW262" s="3" t="s">
        <v>3435</v>
      </c>
      <c r="AX262" s="3" t="s">
        <v>3435</v>
      </c>
      <c r="AY262" s="3" t="s">
        <v>3436</v>
      </c>
      <c r="AZ262" s="3" t="s">
        <v>74</v>
      </c>
      <c r="BC262" s="3" t="s">
        <v>3437</v>
      </c>
      <c r="BD262" s="3" t="s">
        <v>3438</v>
      </c>
    </row>
    <row r="263" spans="1:56" ht="34.5" customHeight="1" x14ac:dyDescent="0.25">
      <c r="A263" s="7" t="s">
        <v>58</v>
      </c>
      <c r="B263" s="2" t="s">
        <v>3439</v>
      </c>
      <c r="C263" s="2" t="s">
        <v>3440</v>
      </c>
      <c r="D263" s="2" t="s">
        <v>3441</v>
      </c>
      <c r="F263" s="3" t="s">
        <v>58</v>
      </c>
      <c r="G263" s="3" t="s">
        <v>59</v>
      </c>
      <c r="H263" s="3" t="s">
        <v>58</v>
      </c>
      <c r="I263" s="3" t="s">
        <v>58</v>
      </c>
      <c r="J263" s="3" t="s">
        <v>60</v>
      </c>
      <c r="L263" s="2" t="s">
        <v>3442</v>
      </c>
      <c r="M263" s="3" t="s">
        <v>176</v>
      </c>
      <c r="O263" s="3" t="s">
        <v>64</v>
      </c>
      <c r="P263" s="3" t="s">
        <v>65</v>
      </c>
      <c r="R263" s="3" t="s">
        <v>66</v>
      </c>
      <c r="S263" s="4">
        <v>3</v>
      </c>
      <c r="T263" s="4">
        <v>3</v>
      </c>
      <c r="U263" s="5" t="s">
        <v>3443</v>
      </c>
      <c r="V263" s="5" t="s">
        <v>3443</v>
      </c>
      <c r="W263" s="5" t="s">
        <v>3444</v>
      </c>
      <c r="X263" s="5" t="s">
        <v>3444</v>
      </c>
      <c r="Y263" s="4">
        <v>374</v>
      </c>
      <c r="Z263" s="4">
        <v>339</v>
      </c>
      <c r="AA263" s="4">
        <v>414</v>
      </c>
      <c r="AB263" s="4">
        <v>1</v>
      </c>
      <c r="AC263" s="4">
        <v>2</v>
      </c>
      <c r="AD263" s="4">
        <v>11</v>
      </c>
      <c r="AE263" s="4">
        <v>13</v>
      </c>
      <c r="AF263" s="4">
        <v>6</v>
      </c>
      <c r="AG263" s="4">
        <v>7</v>
      </c>
      <c r="AH263" s="4">
        <v>3</v>
      </c>
      <c r="AI263" s="4">
        <v>4</v>
      </c>
      <c r="AJ263" s="4">
        <v>6</v>
      </c>
      <c r="AK263" s="4">
        <v>6</v>
      </c>
      <c r="AL263" s="4">
        <v>0</v>
      </c>
      <c r="AM263" s="4">
        <v>1</v>
      </c>
      <c r="AN263" s="4">
        <v>0</v>
      </c>
      <c r="AO263" s="4">
        <v>0</v>
      </c>
      <c r="AP263" s="3" t="s">
        <v>58</v>
      </c>
      <c r="AQ263" s="3" t="s">
        <v>69</v>
      </c>
      <c r="AR263" s="6" t="str">
        <f>HYPERLINK("http://catalog.hathitrust.org/Record/007559704","HathiTrust Record")</f>
        <v>HathiTrust Record</v>
      </c>
      <c r="AS263" s="6" t="str">
        <f>HYPERLINK("https://creighton-primo.hosted.exlibrisgroup.com/primo-explore/search?tab=default_tab&amp;search_scope=EVERYTHING&amp;vid=01CRU&amp;lang=en_US&amp;offset=0&amp;query=any,contains,991000915059702656","Catalog Record")</f>
        <v>Catalog Record</v>
      </c>
      <c r="AT263" s="6" t="str">
        <f>HYPERLINK("http://www.worldcat.org/oclc/14167164","WorldCat Record")</f>
        <v>WorldCat Record</v>
      </c>
      <c r="AU263" s="3" t="s">
        <v>3445</v>
      </c>
      <c r="AV263" s="3" t="s">
        <v>3446</v>
      </c>
      <c r="AW263" s="3" t="s">
        <v>3447</v>
      </c>
      <c r="AX263" s="3" t="s">
        <v>3447</v>
      </c>
      <c r="AY263" s="3" t="s">
        <v>3448</v>
      </c>
      <c r="AZ263" s="3" t="s">
        <v>74</v>
      </c>
      <c r="BB263" s="3" t="s">
        <v>3449</v>
      </c>
      <c r="BC263" s="3" t="s">
        <v>3450</v>
      </c>
      <c r="BD263" s="3" t="s">
        <v>3451</v>
      </c>
    </row>
    <row r="264" spans="1:56" ht="34.5" customHeight="1" x14ac:dyDescent="0.25">
      <c r="A264" s="7" t="s">
        <v>58</v>
      </c>
      <c r="B264" s="2" t="s">
        <v>3452</v>
      </c>
      <c r="C264" s="2" t="s">
        <v>3453</v>
      </c>
      <c r="D264" s="2" t="s">
        <v>3454</v>
      </c>
      <c r="F264" s="3" t="s">
        <v>58</v>
      </c>
      <c r="G264" s="3" t="s">
        <v>59</v>
      </c>
      <c r="H264" s="3" t="s">
        <v>58</v>
      </c>
      <c r="I264" s="3" t="s">
        <v>58</v>
      </c>
      <c r="J264" s="3" t="s">
        <v>60</v>
      </c>
      <c r="K264" s="2" t="s">
        <v>1010</v>
      </c>
      <c r="L264" s="2" t="s">
        <v>3455</v>
      </c>
      <c r="M264" s="3" t="s">
        <v>3456</v>
      </c>
      <c r="O264" s="3" t="s">
        <v>64</v>
      </c>
      <c r="P264" s="3" t="s">
        <v>147</v>
      </c>
      <c r="Q264" s="2" t="s">
        <v>3457</v>
      </c>
      <c r="R264" s="3" t="s">
        <v>66</v>
      </c>
      <c r="S264" s="4">
        <v>3</v>
      </c>
      <c r="T264" s="4">
        <v>3</v>
      </c>
      <c r="U264" s="5" t="s">
        <v>3458</v>
      </c>
      <c r="V264" s="5" t="s">
        <v>3458</v>
      </c>
      <c r="W264" s="5" t="s">
        <v>3232</v>
      </c>
      <c r="X264" s="5" t="s">
        <v>3232</v>
      </c>
      <c r="Y264" s="4">
        <v>523</v>
      </c>
      <c r="Z264" s="4">
        <v>470</v>
      </c>
      <c r="AA264" s="4">
        <v>478</v>
      </c>
      <c r="AB264" s="4">
        <v>3</v>
      </c>
      <c r="AC264" s="4">
        <v>3</v>
      </c>
      <c r="AD264" s="4">
        <v>14</v>
      </c>
      <c r="AE264" s="4">
        <v>14</v>
      </c>
      <c r="AF264" s="4">
        <v>4</v>
      </c>
      <c r="AG264" s="4">
        <v>4</v>
      </c>
      <c r="AH264" s="4">
        <v>4</v>
      </c>
      <c r="AI264" s="4">
        <v>4</v>
      </c>
      <c r="AJ264" s="4">
        <v>6</v>
      </c>
      <c r="AK264" s="4">
        <v>6</v>
      </c>
      <c r="AL264" s="4">
        <v>1</v>
      </c>
      <c r="AM264" s="4">
        <v>1</v>
      </c>
      <c r="AN264" s="4">
        <v>0</v>
      </c>
      <c r="AO264" s="4">
        <v>0</v>
      </c>
      <c r="AP264" s="3" t="s">
        <v>58</v>
      </c>
      <c r="AQ264" s="3" t="s">
        <v>69</v>
      </c>
      <c r="AR264" s="6" t="str">
        <f>HYPERLINK("http://catalog.hathitrust.org/Record/000643431","HathiTrust Record")</f>
        <v>HathiTrust Record</v>
      </c>
      <c r="AS264" s="6" t="str">
        <f>HYPERLINK("https://creighton-primo.hosted.exlibrisgroup.com/primo-explore/search?tab=default_tab&amp;search_scope=EVERYTHING&amp;vid=01CRU&amp;lang=en_US&amp;offset=0&amp;query=any,contains,991002905819702656","Catalog Record")</f>
        <v>Catalog Record</v>
      </c>
      <c r="AT264" s="6" t="str">
        <f>HYPERLINK("http://www.worldcat.org/oclc/519360","WorldCat Record")</f>
        <v>WorldCat Record</v>
      </c>
      <c r="AU264" s="3" t="s">
        <v>3459</v>
      </c>
      <c r="AV264" s="3" t="s">
        <v>3460</v>
      </c>
      <c r="AW264" s="3" t="s">
        <v>3461</v>
      </c>
      <c r="AX264" s="3" t="s">
        <v>3461</v>
      </c>
      <c r="AY264" s="3" t="s">
        <v>3462</v>
      </c>
      <c r="AZ264" s="3" t="s">
        <v>74</v>
      </c>
      <c r="BC264" s="3" t="s">
        <v>3463</v>
      </c>
      <c r="BD264" s="3" t="s">
        <v>3464</v>
      </c>
    </row>
    <row r="265" spans="1:56" ht="34.5" customHeight="1" x14ac:dyDescent="0.25">
      <c r="A265" s="7" t="s">
        <v>58</v>
      </c>
      <c r="B265" s="2" t="s">
        <v>3465</v>
      </c>
      <c r="C265" s="2" t="s">
        <v>3466</v>
      </c>
      <c r="D265" s="2" t="s">
        <v>3467</v>
      </c>
      <c r="F265" s="3" t="s">
        <v>58</v>
      </c>
      <c r="G265" s="3" t="s">
        <v>59</v>
      </c>
      <c r="H265" s="3" t="s">
        <v>58</v>
      </c>
      <c r="I265" s="3" t="s">
        <v>58</v>
      </c>
      <c r="J265" s="3" t="s">
        <v>60</v>
      </c>
      <c r="K265" s="2" t="s">
        <v>3468</v>
      </c>
      <c r="L265" s="2" t="s">
        <v>3469</v>
      </c>
      <c r="M265" s="3" t="s">
        <v>3470</v>
      </c>
      <c r="O265" s="3" t="s">
        <v>64</v>
      </c>
      <c r="P265" s="3" t="s">
        <v>65</v>
      </c>
      <c r="R265" s="3" t="s">
        <v>66</v>
      </c>
      <c r="S265" s="4">
        <v>2</v>
      </c>
      <c r="T265" s="4">
        <v>2</v>
      </c>
      <c r="U265" s="5" t="s">
        <v>1627</v>
      </c>
      <c r="V265" s="5" t="s">
        <v>1627</v>
      </c>
      <c r="W265" s="5" t="s">
        <v>2661</v>
      </c>
      <c r="X265" s="5" t="s">
        <v>2661</v>
      </c>
      <c r="Y265" s="4">
        <v>1403</v>
      </c>
      <c r="Z265" s="4">
        <v>1302</v>
      </c>
      <c r="AA265" s="4">
        <v>1584</v>
      </c>
      <c r="AB265" s="4">
        <v>11</v>
      </c>
      <c r="AC265" s="4">
        <v>15</v>
      </c>
      <c r="AD265" s="4">
        <v>30</v>
      </c>
      <c r="AE265" s="4">
        <v>33</v>
      </c>
      <c r="AF265" s="4">
        <v>9</v>
      </c>
      <c r="AG265" s="4">
        <v>10</v>
      </c>
      <c r="AH265" s="4">
        <v>6</v>
      </c>
      <c r="AI265" s="4">
        <v>6</v>
      </c>
      <c r="AJ265" s="4">
        <v>16</v>
      </c>
      <c r="AK265" s="4">
        <v>17</v>
      </c>
      <c r="AL265" s="4">
        <v>6</v>
      </c>
      <c r="AM265" s="4">
        <v>7</v>
      </c>
      <c r="AN265" s="4">
        <v>0</v>
      </c>
      <c r="AO265" s="4">
        <v>0</v>
      </c>
      <c r="AP265" s="3" t="s">
        <v>58</v>
      </c>
      <c r="AQ265" s="3" t="s">
        <v>58</v>
      </c>
      <c r="AR265" s="6" t="str">
        <f>HYPERLINK("http://catalog.hathitrust.org/Record/000643309","HathiTrust Record")</f>
        <v>HathiTrust Record</v>
      </c>
      <c r="AS265" s="6" t="str">
        <f>HYPERLINK("https://creighton-primo.hosted.exlibrisgroup.com/primo-explore/search?tab=default_tab&amp;search_scope=EVERYTHING&amp;vid=01CRU&amp;lang=en_US&amp;offset=0&amp;query=any,contains,991002163369702656","Catalog Record")</f>
        <v>Catalog Record</v>
      </c>
      <c r="AT265" s="6" t="str">
        <f>HYPERLINK("http://www.worldcat.org/oclc/274424","WorldCat Record")</f>
        <v>WorldCat Record</v>
      </c>
      <c r="AU265" s="3" t="s">
        <v>3471</v>
      </c>
      <c r="AV265" s="3" t="s">
        <v>3472</v>
      </c>
      <c r="AW265" s="3" t="s">
        <v>3473</v>
      </c>
      <c r="AX265" s="3" t="s">
        <v>3473</v>
      </c>
      <c r="AY265" s="3" t="s">
        <v>3474</v>
      </c>
      <c r="AZ265" s="3" t="s">
        <v>74</v>
      </c>
      <c r="BB265" s="3" t="s">
        <v>3475</v>
      </c>
      <c r="BC265" s="3" t="s">
        <v>3476</v>
      </c>
      <c r="BD265" s="3" t="s">
        <v>3477</v>
      </c>
    </row>
    <row r="266" spans="1:56" ht="34.5" customHeight="1" x14ac:dyDescent="0.25">
      <c r="A266" s="7" t="s">
        <v>58</v>
      </c>
      <c r="B266" s="2" t="s">
        <v>3478</v>
      </c>
      <c r="C266" s="2" t="s">
        <v>3479</v>
      </c>
      <c r="D266" s="2" t="s">
        <v>3480</v>
      </c>
      <c r="F266" s="3" t="s">
        <v>58</v>
      </c>
      <c r="G266" s="3" t="s">
        <v>59</v>
      </c>
      <c r="H266" s="3" t="s">
        <v>58</v>
      </c>
      <c r="I266" s="3" t="s">
        <v>58</v>
      </c>
      <c r="J266" s="3" t="s">
        <v>60</v>
      </c>
      <c r="L266" s="2" t="s">
        <v>3481</v>
      </c>
      <c r="M266" s="3" t="s">
        <v>450</v>
      </c>
      <c r="O266" s="3" t="s">
        <v>64</v>
      </c>
      <c r="P266" s="3" t="s">
        <v>65</v>
      </c>
      <c r="Q266" s="2" t="s">
        <v>3363</v>
      </c>
      <c r="R266" s="3" t="s">
        <v>66</v>
      </c>
      <c r="S266" s="4">
        <v>4</v>
      </c>
      <c r="T266" s="4">
        <v>4</v>
      </c>
      <c r="U266" s="5" t="s">
        <v>3364</v>
      </c>
      <c r="V266" s="5" t="s">
        <v>3364</v>
      </c>
      <c r="W266" s="5" t="s">
        <v>3482</v>
      </c>
      <c r="X266" s="5" t="s">
        <v>3482</v>
      </c>
      <c r="Y266" s="4">
        <v>483</v>
      </c>
      <c r="Z266" s="4">
        <v>466</v>
      </c>
      <c r="AA266" s="4">
        <v>470</v>
      </c>
      <c r="AB266" s="4">
        <v>2</v>
      </c>
      <c r="AC266" s="4">
        <v>2</v>
      </c>
      <c r="AD266" s="4">
        <v>12</v>
      </c>
      <c r="AE266" s="4">
        <v>12</v>
      </c>
      <c r="AF266" s="4">
        <v>5</v>
      </c>
      <c r="AG266" s="4">
        <v>5</v>
      </c>
      <c r="AH266" s="4">
        <v>3</v>
      </c>
      <c r="AI266" s="4">
        <v>3</v>
      </c>
      <c r="AJ266" s="4">
        <v>5</v>
      </c>
      <c r="AK266" s="4">
        <v>5</v>
      </c>
      <c r="AL266" s="4">
        <v>1</v>
      </c>
      <c r="AM266" s="4">
        <v>1</v>
      </c>
      <c r="AN266" s="4">
        <v>0</v>
      </c>
      <c r="AO266" s="4">
        <v>0</v>
      </c>
      <c r="AP266" s="3" t="s">
        <v>58</v>
      </c>
      <c r="AQ266" s="3" t="s">
        <v>69</v>
      </c>
      <c r="AR266" s="6" t="str">
        <f>HYPERLINK("http://catalog.hathitrust.org/Record/003559596","HathiTrust Record")</f>
        <v>HathiTrust Record</v>
      </c>
      <c r="AS266" s="6" t="str">
        <f>HYPERLINK("https://creighton-primo.hosted.exlibrisgroup.com/primo-explore/search?tab=default_tab&amp;search_scope=EVERYTHING&amp;vid=01CRU&amp;lang=en_US&amp;offset=0&amp;query=any,contains,991004393619702656","Catalog Record")</f>
        <v>Catalog Record</v>
      </c>
      <c r="AT266" s="6" t="str">
        <f>HYPERLINK("http://www.worldcat.org/oclc/3273935","WorldCat Record")</f>
        <v>WorldCat Record</v>
      </c>
      <c r="AU266" s="3" t="s">
        <v>3483</v>
      </c>
      <c r="AV266" s="3" t="s">
        <v>3484</v>
      </c>
      <c r="AW266" s="3" t="s">
        <v>3485</v>
      </c>
      <c r="AX266" s="3" t="s">
        <v>3485</v>
      </c>
      <c r="AY266" s="3" t="s">
        <v>3486</v>
      </c>
      <c r="AZ266" s="3" t="s">
        <v>74</v>
      </c>
      <c r="BB266" s="3" t="s">
        <v>3487</v>
      </c>
      <c r="BC266" s="3" t="s">
        <v>3488</v>
      </c>
      <c r="BD266" s="3" t="s">
        <v>3489</v>
      </c>
    </row>
    <row r="267" spans="1:56" ht="34.5" customHeight="1" x14ac:dyDescent="0.25">
      <c r="A267" s="7" t="s">
        <v>58</v>
      </c>
      <c r="B267" s="2" t="s">
        <v>3490</v>
      </c>
      <c r="C267" s="2" t="s">
        <v>3491</v>
      </c>
      <c r="D267" s="2" t="s">
        <v>3492</v>
      </c>
      <c r="F267" s="3" t="s">
        <v>58</v>
      </c>
      <c r="G267" s="3" t="s">
        <v>59</v>
      </c>
      <c r="H267" s="3" t="s">
        <v>58</v>
      </c>
      <c r="I267" s="3" t="s">
        <v>58</v>
      </c>
      <c r="J267" s="3" t="s">
        <v>60</v>
      </c>
      <c r="L267" s="2" t="s">
        <v>3481</v>
      </c>
      <c r="M267" s="3" t="s">
        <v>450</v>
      </c>
      <c r="O267" s="3" t="s">
        <v>64</v>
      </c>
      <c r="P267" s="3" t="s">
        <v>65</v>
      </c>
      <c r="Q267" s="2" t="s">
        <v>3363</v>
      </c>
      <c r="R267" s="3" t="s">
        <v>66</v>
      </c>
      <c r="S267" s="4">
        <v>6</v>
      </c>
      <c r="T267" s="4">
        <v>6</v>
      </c>
      <c r="U267" s="5" t="s">
        <v>3493</v>
      </c>
      <c r="V267" s="5" t="s">
        <v>3493</v>
      </c>
      <c r="W267" s="5" t="s">
        <v>2907</v>
      </c>
      <c r="X267" s="5" t="s">
        <v>2907</v>
      </c>
      <c r="Y267" s="4">
        <v>474</v>
      </c>
      <c r="Z267" s="4">
        <v>456</v>
      </c>
      <c r="AA267" s="4">
        <v>477</v>
      </c>
      <c r="AB267" s="4">
        <v>2</v>
      </c>
      <c r="AC267" s="4">
        <v>2</v>
      </c>
      <c r="AD267" s="4">
        <v>13</v>
      </c>
      <c r="AE267" s="4">
        <v>15</v>
      </c>
      <c r="AF267" s="4">
        <v>6</v>
      </c>
      <c r="AG267" s="4">
        <v>7</v>
      </c>
      <c r="AH267" s="4">
        <v>4</v>
      </c>
      <c r="AI267" s="4">
        <v>5</v>
      </c>
      <c r="AJ267" s="4">
        <v>5</v>
      </c>
      <c r="AK267" s="4">
        <v>5</v>
      </c>
      <c r="AL267" s="4">
        <v>1</v>
      </c>
      <c r="AM267" s="4">
        <v>1</v>
      </c>
      <c r="AN267" s="4">
        <v>0</v>
      </c>
      <c r="AO267" s="4">
        <v>0</v>
      </c>
      <c r="AP267" s="3" t="s">
        <v>58</v>
      </c>
      <c r="AQ267" s="3" t="s">
        <v>69</v>
      </c>
      <c r="AR267" s="6" t="str">
        <f>HYPERLINK("http://catalog.hathitrust.org/Record/002569779","HathiTrust Record")</f>
        <v>HathiTrust Record</v>
      </c>
      <c r="AS267" s="6" t="str">
        <f>HYPERLINK("https://creighton-primo.hosted.exlibrisgroup.com/primo-explore/search?tab=default_tab&amp;search_scope=EVERYTHING&amp;vid=01CRU&amp;lang=en_US&amp;offset=0&amp;query=any,contains,991004393749702656","Catalog Record")</f>
        <v>Catalog Record</v>
      </c>
      <c r="AT267" s="6" t="str">
        <f>HYPERLINK("http://www.worldcat.org/oclc/3273944","WorldCat Record")</f>
        <v>WorldCat Record</v>
      </c>
      <c r="AU267" s="3" t="s">
        <v>3494</v>
      </c>
      <c r="AV267" s="3" t="s">
        <v>3495</v>
      </c>
      <c r="AW267" s="3" t="s">
        <v>3496</v>
      </c>
      <c r="AX267" s="3" t="s">
        <v>3496</v>
      </c>
      <c r="AY267" s="3" t="s">
        <v>3497</v>
      </c>
      <c r="AZ267" s="3" t="s">
        <v>74</v>
      </c>
      <c r="BB267" s="3" t="s">
        <v>3498</v>
      </c>
      <c r="BC267" s="3" t="s">
        <v>3499</v>
      </c>
      <c r="BD267" s="3" t="s">
        <v>3500</v>
      </c>
    </row>
    <row r="268" spans="1:56" ht="34.5" customHeight="1" x14ac:dyDescent="0.25">
      <c r="A268" s="7" t="s">
        <v>58</v>
      </c>
      <c r="B268" s="2" t="s">
        <v>3501</v>
      </c>
      <c r="C268" s="2" t="s">
        <v>3502</v>
      </c>
      <c r="D268" s="2" t="s">
        <v>3503</v>
      </c>
      <c r="F268" s="3" t="s">
        <v>58</v>
      </c>
      <c r="G268" s="3" t="s">
        <v>59</v>
      </c>
      <c r="H268" s="3" t="s">
        <v>58</v>
      </c>
      <c r="I268" s="3" t="s">
        <v>58</v>
      </c>
      <c r="J268" s="3" t="s">
        <v>60</v>
      </c>
      <c r="L268" s="2" t="s">
        <v>3504</v>
      </c>
      <c r="M268" s="3" t="s">
        <v>819</v>
      </c>
      <c r="O268" s="3" t="s">
        <v>64</v>
      </c>
      <c r="P268" s="3" t="s">
        <v>3505</v>
      </c>
      <c r="R268" s="3" t="s">
        <v>66</v>
      </c>
      <c r="S268" s="4">
        <v>6</v>
      </c>
      <c r="T268" s="4">
        <v>6</v>
      </c>
      <c r="U268" s="5" t="s">
        <v>3506</v>
      </c>
      <c r="V268" s="5" t="s">
        <v>3506</v>
      </c>
      <c r="W268" s="5" t="s">
        <v>497</v>
      </c>
      <c r="X268" s="5" t="s">
        <v>497</v>
      </c>
      <c r="Y268" s="4">
        <v>415</v>
      </c>
      <c r="Z268" s="4">
        <v>336</v>
      </c>
      <c r="AA268" s="4">
        <v>401</v>
      </c>
      <c r="AB268" s="4">
        <v>2</v>
      </c>
      <c r="AC268" s="4">
        <v>2</v>
      </c>
      <c r="AD268" s="4">
        <v>11</v>
      </c>
      <c r="AE268" s="4">
        <v>12</v>
      </c>
      <c r="AF268" s="4">
        <v>3</v>
      </c>
      <c r="AG268" s="4">
        <v>4</v>
      </c>
      <c r="AH268" s="4">
        <v>4</v>
      </c>
      <c r="AI268" s="4">
        <v>4</v>
      </c>
      <c r="AJ268" s="4">
        <v>5</v>
      </c>
      <c r="AK268" s="4">
        <v>5</v>
      </c>
      <c r="AL268" s="4">
        <v>1</v>
      </c>
      <c r="AM268" s="4">
        <v>1</v>
      </c>
      <c r="AN268" s="4">
        <v>0</v>
      </c>
      <c r="AO268" s="4">
        <v>0</v>
      </c>
      <c r="AP268" s="3" t="s">
        <v>58</v>
      </c>
      <c r="AQ268" s="3" t="s">
        <v>69</v>
      </c>
      <c r="AR268" s="6" t="str">
        <f>HYPERLINK("http://catalog.hathitrust.org/Record/000018107","HathiTrust Record")</f>
        <v>HathiTrust Record</v>
      </c>
      <c r="AS268" s="6" t="str">
        <f>HYPERLINK("https://creighton-primo.hosted.exlibrisgroup.com/primo-explore/search?tab=default_tab&amp;search_scope=EVERYTHING&amp;vid=01CRU&amp;lang=en_US&amp;offset=0&amp;query=any,contains,991003804849702656","Catalog Record")</f>
        <v>Catalog Record</v>
      </c>
      <c r="AT268" s="6" t="str">
        <f>HYPERLINK("http://www.worldcat.org/oclc/1530383","WorldCat Record")</f>
        <v>WorldCat Record</v>
      </c>
      <c r="AU268" s="3" t="s">
        <v>3507</v>
      </c>
      <c r="AV268" s="3" t="s">
        <v>3508</v>
      </c>
      <c r="AW268" s="3" t="s">
        <v>3509</v>
      </c>
      <c r="AX268" s="3" t="s">
        <v>3509</v>
      </c>
      <c r="AY268" s="3" t="s">
        <v>3510</v>
      </c>
      <c r="AZ268" s="3" t="s">
        <v>74</v>
      </c>
      <c r="BB268" s="3" t="s">
        <v>3511</v>
      </c>
      <c r="BC268" s="3" t="s">
        <v>3512</v>
      </c>
      <c r="BD268" s="3" t="s">
        <v>3513</v>
      </c>
    </row>
    <row r="269" spans="1:56" ht="34.5" customHeight="1" x14ac:dyDescent="0.25">
      <c r="A269" s="7" t="s">
        <v>58</v>
      </c>
      <c r="B269" s="2" t="s">
        <v>3514</v>
      </c>
      <c r="C269" s="2" t="s">
        <v>3515</v>
      </c>
      <c r="D269" s="2" t="s">
        <v>3516</v>
      </c>
      <c r="F269" s="3" t="s">
        <v>58</v>
      </c>
      <c r="G269" s="3" t="s">
        <v>59</v>
      </c>
      <c r="H269" s="3" t="s">
        <v>58</v>
      </c>
      <c r="I269" s="3" t="s">
        <v>58</v>
      </c>
      <c r="J269" s="3" t="s">
        <v>60</v>
      </c>
      <c r="L269" s="2" t="s">
        <v>3481</v>
      </c>
      <c r="M269" s="3" t="s">
        <v>450</v>
      </c>
      <c r="O269" s="3" t="s">
        <v>64</v>
      </c>
      <c r="P269" s="3" t="s">
        <v>65</v>
      </c>
      <c r="Q269" s="2" t="s">
        <v>3363</v>
      </c>
      <c r="R269" s="3" t="s">
        <v>66</v>
      </c>
      <c r="S269" s="4">
        <v>3</v>
      </c>
      <c r="T269" s="4">
        <v>3</v>
      </c>
      <c r="U269" s="5" t="s">
        <v>3364</v>
      </c>
      <c r="V269" s="5" t="s">
        <v>3364</v>
      </c>
      <c r="W269" s="5" t="s">
        <v>2907</v>
      </c>
      <c r="X269" s="5" t="s">
        <v>2907</v>
      </c>
      <c r="Y269" s="4">
        <v>525</v>
      </c>
      <c r="Z269" s="4">
        <v>511</v>
      </c>
      <c r="AA269" s="4">
        <v>523</v>
      </c>
      <c r="AB269" s="4">
        <v>2</v>
      </c>
      <c r="AC269" s="4">
        <v>2</v>
      </c>
      <c r="AD269" s="4">
        <v>12</v>
      </c>
      <c r="AE269" s="4">
        <v>12</v>
      </c>
      <c r="AF269" s="4">
        <v>4</v>
      </c>
      <c r="AG269" s="4">
        <v>4</v>
      </c>
      <c r="AH269" s="4">
        <v>3</v>
      </c>
      <c r="AI269" s="4">
        <v>3</v>
      </c>
      <c r="AJ269" s="4">
        <v>6</v>
      </c>
      <c r="AK269" s="4">
        <v>6</v>
      </c>
      <c r="AL269" s="4">
        <v>1</v>
      </c>
      <c r="AM269" s="4">
        <v>1</v>
      </c>
      <c r="AN269" s="4">
        <v>0</v>
      </c>
      <c r="AO269" s="4">
        <v>0</v>
      </c>
      <c r="AP269" s="3" t="s">
        <v>58</v>
      </c>
      <c r="AQ269" s="3" t="s">
        <v>69</v>
      </c>
      <c r="AR269" s="6" t="str">
        <f>HYPERLINK("http://catalog.hathitrust.org/Record/003559600","HathiTrust Record")</f>
        <v>HathiTrust Record</v>
      </c>
      <c r="AS269" s="6" t="str">
        <f>HYPERLINK("https://creighton-primo.hosted.exlibrisgroup.com/primo-explore/search?tab=default_tab&amp;search_scope=EVERYTHING&amp;vid=01CRU&amp;lang=en_US&amp;offset=0&amp;query=any,contains,991004395379702656","Catalog Record")</f>
        <v>Catalog Record</v>
      </c>
      <c r="AT269" s="6" t="str">
        <f>HYPERLINK("http://www.worldcat.org/oclc/3275736","WorldCat Record")</f>
        <v>WorldCat Record</v>
      </c>
      <c r="AU269" s="3" t="s">
        <v>3517</v>
      </c>
      <c r="AV269" s="3" t="s">
        <v>3518</v>
      </c>
      <c r="AW269" s="3" t="s">
        <v>3519</v>
      </c>
      <c r="AX269" s="3" t="s">
        <v>3519</v>
      </c>
      <c r="AY269" s="3" t="s">
        <v>3520</v>
      </c>
      <c r="AZ269" s="3" t="s">
        <v>74</v>
      </c>
      <c r="BB269" s="3" t="s">
        <v>3521</v>
      </c>
      <c r="BC269" s="3" t="s">
        <v>3522</v>
      </c>
      <c r="BD269" s="3" t="s">
        <v>3523</v>
      </c>
    </row>
    <row r="270" spans="1:56" ht="34.5" customHeight="1" x14ac:dyDescent="0.25">
      <c r="A270" s="7" t="s">
        <v>58</v>
      </c>
      <c r="B270" s="2" t="s">
        <v>3524</v>
      </c>
      <c r="C270" s="2" t="s">
        <v>3525</v>
      </c>
      <c r="D270" s="2" t="s">
        <v>3526</v>
      </c>
      <c r="F270" s="3" t="s">
        <v>58</v>
      </c>
      <c r="G270" s="3" t="s">
        <v>59</v>
      </c>
      <c r="H270" s="3" t="s">
        <v>58</v>
      </c>
      <c r="I270" s="3" t="s">
        <v>58</v>
      </c>
      <c r="J270" s="3" t="s">
        <v>60</v>
      </c>
      <c r="L270" s="2" t="s">
        <v>3481</v>
      </c>
      <c r="M270" s="3" t="s">
        <v>450</v>
      </c>
      <c r="O270" s="3" t="s">
        <v>64</v>
      </c>
      <c r="P270" s="3" t="s">
        <v>65</v>
      </c>
      <c r="Q270" s="2" t="s">
        <v>3363</v>
      </c>
      <c r="R270" s="3" t="s">
        <v>66</v>
      </c>
      <c r="S270" s="4">
        <v>4</v>
      </c>
      <c r="T270" s="4">
        <v>4</v>
      </c>
      <c r="U270" s="5" t="s">
        <v>3364</v>
      </c>
      <c r="V270" s="5" t="s">
        <v>3364</v>
      </c>
      <c r="W270" s="5" t="s">
        <v>2907</v>
      </c>
      <c r="X270" s="5" t="s">
        <v>2907</v>
      </c>
      <c r="Y270" s="4">
        <v>471</v>
      </c>
      <c r="Z270" s="4">
        <v>457</v>
      </c>
      <c r="AA270" s="4">
        <v>460</v>
      </c>
      <c r="AB270" s="4">
        <v>1</v>
      </c>
      <c r="AC270" s="4">
        <v>1</v>
      </c>
      <c r="AD270" s="4">
        <v>10</v>
      </c>
      <c r="AE270" s="4">
        <v>10</v>
      </c>
      <c r="AF270" s="4">
        <v>3</v>
      </c>
      <c r="AG270" s="4">
        <v>3</v>
      </c>
      <c r="AH270" s="4">
        <v>4</v>
      </c>
      <c r="AI270" s="4">
        <v>4</v>
      </c>
      <c r="AJ270" s="4">
        <v>5</v>
      </c>
      <c r="AK270" s="4">
        <v>5</v>
      </c>
      <c r="AL270" s="4">
        <v>0</v>
      </c>
      <c r="AM270" s="4">
        <v>0</v>
      </c>
      <c r="AN270" s="4">
        <v>0</v>
      </c>
      <c r="AO270" s="4">
        <v>0</v>
      </c>
      <c r="AP270" s="3" t="s">
        <v>58</v>
      </c>
      <c r="AQ270" s="3" t="s">
        <v>69</v>
      </c>
      <c r="AR270" s="6" t="str">
        <f>HYPERLINK("http://catalog.hathitrust.org/Record/003559598","HathiTrust Record")</f>
        <v>HathiTrust Record</v>
      </c>
      <c r="AS270" s="6" t="str">
        <f>HYPERLINK("https://creighton-primo.hosted.exlibrisgroup.com/primo-explore/search?tab=default_tab&amp;search_scope=EVERYTHING&amp;vid=01CRU&amp;lang=en_US&amp;offset=0&amp;query=any,contains,991004393689702656","Catalog Record")</f>
        <v>Catalog Record</v>
      </c>
      <c r="AT270" s="6" t="str">
        <f>HYPERLINK("http://www.worldcat.org/oclc/3273940","WorldCat Record")</f>
        <v>WorldCat Record</v>
      </c>
      <c r="AU270" s="3" t="s">
        <v>3527</v>
      </c>
      <c r="AV270" s="3" t="s">
        <v>3528</v>
      </c>
      <c r="AW270" s="3" t="s">
        <v>3529</v>
      </c>
      <c r="AX270" s="3" t="s">
        <v>3529</v>
      </c>
      <c r="AY270" s="3" t="s">
        <v>3530</v>
      </c>
      <c r="AZ270" s="3" t="s">
        <v>74</v>
      </c>
      <c r="BB270" s="3" t="s">
        <v>3531</v>
      </c>
      <c r="BC270" s="3" t="s">
        <v>3532</v>
      </c>
      <c r="BD270" s="3" t="s">
        <v>3533</v>
      </c>
    </row>
    <row r="271" spans="1:56" ht="34.5" customHeight="1" x14ac:dyDescent="0.25">
      <c r="A271" s="7" t="s">
        <v>58</v>
      </c>
      <c r="B271" s="2" t="s">
        <v>3534</v>
      </c>
      <c r="C271" s="2" t="s">
        <v>3535</v>
      </c>
      <c r="D271" s="2" t="s">
        <v>3536</v>
      </c>
      <c r="F271" s="3" t="s">
        <v>58</v>
      </c>
      <c r="G271" s="3" t="s">
        <v>59</v>
      </c>
      <c r="H271" s="3" t="s">
        <v>58</v>
      </c>
      <c r="I271" s="3" t="s">
        <v>58</v>
      </c>
      <c r="J271" s="3" t="s">
        <v>60</v>
      </c>
      <c r="L271" s="2" t="s">
        <v>3481</v>
      </c>
      <c r="M271" s="3" t="s">
        <v>450</v>
      </c>
      <c r="O271" s="3" t="s">
        <v>64</v>
      </c>
      <c r="P271" s="3" t="s">
        <v>65</v>
      </c>
      <c r="Q271" s="2" t="s">
        <v>3363</v>
      </c>
      <c r="R271" s="3" t="s">
        <v>66</v>
      </c>
      <c r="S271" s="4">
        <v>3</v>
      </c>
      <c r="T271" s="4">
        <v>3</v>
      </c>
      <c r="U271" s="5" t="s">
        <v>3364</v>
      </c>
      <c r="V271" s="5" t="s">
        <v>3364</v>
      </c>
      <c r="W271" s="5" t="s">
        <v>552</v>
      </c>
      <c r="X271" s="5" t="s">
        <v>552</v>
      </c>
      <c r="Y271" s="4">
        <v>445</v>
      </c>
      <c r="Z271" s="4">
        <v>430</v>
      </c>
      <c r="AA271" s="4">
        <v>437</v>
      </c>
      <c r="AB271" s="4">
        <v>2</v>
      </c>
      <c r="AC271" s="4">
        <v>2</v>
      </c>
      <c r="AD271" s="4">
        <v>13</v>
      </c>
      <c r="AE271" s="4">
        <v>13</v>
      </c>
      <c r="AF271" s="4">
        <v>7</v>
      </c>
      <c r="AG271" s="4">
        <v>7</v>
      </c>
      <c r="AH271" s="4">
        <v>4</v>
      </c>
      <c r="AI271" s="4">
        <v>4</v>
      </c>
      <c r="AJ271" s="4">
        <v>4</v>
      </c>
      <c r="AK271" s="4">
        <v>4</v>
      </c>
      <c r="AL271" s="4">
        <v>1</v>
      </c>
      <c r="AM271" s="4">
        <v>1</v>
      </c>
      <c r="AN271" s="4">
        <v>0</v>
      </c>
      <c r="AO271" s="4">
        <v>0</v>
      </c>
      <c r="AP271" s="3" t="s">
        <v>58</v>
      </c>
      <c r="AQ271" s="3" t="s">
        <v>69</v>
      </c>
      <c r="AR271" s="6" t="str">
        <f>HYPERLINK("http://catalog.hathitrust.org/Record/003559595","HathiTrust Record")</f>
        <v>HathiTrust Record</v>
      </c>
      <c r="AS271" s="6" t="str">
        <f>HYPERLINK("https://creighton-primo.hosted.exlibrisgroup.com/primo-explore/search?tab=default_tab&amp;search_scope=EVERYTHING&amp;vid=01CRU&amp;lang=en_US&amp;offset=0&amp;query=any,contains,991004393589702656","Catalog Record")</f>
        <v>Catalog Record</v>
      </c>
      <c r="AT271" s="6" t="str">
        <f>HYPERLINK("http://www.worldcat.org/oclc/3273932","WorldCat Record")</f>
        <v>WorldCat Record</v>
      </c>
      <c r="AU271" s="3" t="s">
        <v>3537</v>
      </c>
      <c r="AV271" s="3" t="s">
        <v>3538</v>
      </c>
      <c r="AW271" s="3" t="s">
        <v>3539</v>
      </c>
      <c r="AX271" s="3" t="s">
        <v>3539</v>
      </c>
      <c r="AY271" s="3" t="s">
        <v>3540</v>
      </c>
      <c r="AZ271" s="3" t="s">
        <v>74</v>
      </c>
      <c r="BB271" s="3" t="s">
        <v>3541</v>
      </c>
      <c r="BC271" s="3" t="s">
        <v>3542</v>
      </c>
      <c r="BD271" s="3" t="s">
        <v>3543</v>
      </c>
    </row>
    <row r="272" spans="1:56" ht="34.5" customHeight="1" x14ac:dyDescent="0.25">
      <c r="A272" s="7" t="s">
        <v>58</v>
      </c>
      <c r="B272" s="2" t="s">
        <v>3544</v>
      </c>
      <c r="C272" s="2" t="s">
        <v>3545</v>
      </c>
      <c r="D272" s="2" t="s">
        <v>3546</v>
      </c>
      <c r="F272" s="3" t="s">
        <v>58</v>
      </c>
      <c r="G272" s="3" t="s">
        <v>59</v>
      </c>
      <c r="H272" s="3" t="s">
        <v>58</v>
      </c>
      <c r="I272" s="3" t="s">
        <v>58</v>
      </c>
      <c r="J272" s="3" t="s">
        <v>60</v>
      </c>
      <c r="K272" s="2" t="s">
        <v>3547</v>
      </c>
      <c r="L272" s="2" t="s">
        <v>3548</v>
      </c>
      <c r="M272" s="3" t="s">
        <v>99</v>
      </c>
      <c r="O272" s="3" t="s">
        <v>64</v>
      </c>
      <c r="P272" s="3" t="s">
        <v>177</v>
      </c>
      <c r="R272" s="3" t="s">
        <v>66</v>
      </c>
      <c r="S272" s="4">
        <v>3</v>
      </c>
      <c r="T272" s="4">
        <v>3</v>
      </c>
      <c r="U272" s="5" t="s">
        <v>3549</v>
      </c>
      <c r="V272" s="5" t="s">
        <v>3549</v>
      </c>
      <c r="W272" s="5" t="s">
        <v>3550</v>
      </c>
      <c r="X272" s="5" t="s">
        <v>3550</v>
      </c>
      <c r="Y272" s="4">
        <v>664</v>
      </c>
      <c r="Z272" s="4">
        <v>541</v>
      </c>
      <c r="AA272" s="4">
        <v>566</v>
      </c>
      <c r="AB272" s="4">
        <v>3</v>
      </c>
      <c r="AC272" s="4">
        <v>3</v>
      </c>
      <c r="AD272" s="4">
        <v>21</v>
      </c>
      <c r="AE272" s="4">
        <v>23</v>
      </c>
      <c r="AF272" s="4">
        <v>8</v>
      </c>
      <c r="AG272" s="4">
        <v>9</v>
      </c>
      <c r="AH272" s="4">
        <v>4</v>
      </c>
      <c r="AI272" s="4">
        <v>4</v>
      </c>
      <c r="AJ272" s="4">
        <v>13</v>
      </c>
      <c r="AK272" s="4">
        <v>14</v>
      </c>
      <c r="AL272" s="4">
        <v>2</v>
      </c>
      <c r="AM272" s="4">
        <v>2</v>
      </c>
      <c r="AN272" s="4">
        <v>0</v>
      </c>
      <c r="AO272" s="4">
        <v>0</v>
      </c>
      <c r="AP272" s="3" t="s">
        <v>58</v>
      </c>
      <c r="AQ272" s="3" t="s">
        <v>58</v>
      </c>
      <c r="AS272" s="6" t="str">
        <f>HYPERLINK("https://creighton-primo.hosted.exlibrisgroup.com/primo-explore/search?tab=default_tab&amp;search_scope=EVERYTHING&amp;vid=01CRU&amp;lang=en_US&amp;offset=0&amp;query=any,contains,991004883699702656","Catalog Record")</f>
        <v>Catalog Record</v>
      </c>
      <c r="AT272" s="6" t="str">
        <f>HYPERLINK("http://www.worldcat.org/oclc/5830516","WorldCat Record")</f>
        <v>WorldCat Record</v>
      </c>
      <c r="AU272" s="3" t="s">
        <v>3551</v>
      </c>
      <c r="AV272" s="3" t="s">
        <v>3552</v>
      </c>
      <c r="AW272" s="3" t="s">
        <v>3553</v>
      </c>
      <c r="AX272" s="3" t="s">
        <v>3553</v>
      </c>
      <c r="AY272" s="3" t="s">
        <v>3554</v>
      </c>
      <c r="AZ272" s="3" t="s">
        <v>74</v>
      </c>
      <c r="BB272" s="3" t="s">
        <v>3555</v>
      </c>
      <c r="BC272" s="3" t="s">
        <v>3556</v>
      </c>
      <c r="BD272" s="3" t="s">
        <v>3557</v>
      </c>
    </row>
    <row r="273" spans="1:56" ht="34.5" customHeight="1" x14ac:dyDescent="0.25">
      <c r="A273" s="7" t="s">
        <v>58</v>
      </c>
      <c r="B273" s="2" t="s">
        <v>3558</v>
      </c>
      <c r="C273" s="2" t="s">
        <v>3559</v>
      </c>
      <c r="D273" s="2" t="s">
        <v>3560</v>
      </c>
      <c r="F273" s="3" t="s">
        <v>58</v>
      </c>
      <c r="G273" s="3" t="s">
        <v>59</v>
      </c>
      <c r="H273" s="3" t="s">
        <v>58</v>
      </c>
      <c r="I273" s="3" t="s">
        <v>58</v>
      </c>
      <c r="J273" s="3" t="s">
        <v>60</v>
      </c>
      <c r="K273" s="2" t="s">
        <v>2729</v>
      </c>
      <c r="L273" s="2" t="s">
        <v>3561</v>
      </c>
      <c r="M273" s="3" t="s">
        <v>1506</v>
      </c>
      <c r="O273" s="3" t="s">
        <v>64</v>
      </c>
      <c r="P273" s="3" t="s">
        <v>100</v>
      </c>
      <c r="R273" s="3" t="s">
        <v>66</v>
      </c>
      <c r="S273" s="4">
        <v>4</v>
      </c>
      <c r="T273" s="4">
        <v>4</v>
      </c>
      <c r="U273" s="5" t="s">
        <v>3562</v>
      </c>
      <c r="V273" s="5" t="s">
        <v>3562</v>
      </c>
      <c r="W273" s="5" t="s">
        <v>3232</v>
      </c>
      <c r="X273" s="5" t="s">
        <v>3232</v>
      </c>
      <c r="Y273" s="4">
        <v>307</v>
      </c>
      <c r="Z273" s="4">
        <v>277</v>
      </c>
      <c r="AA273" s="4">
        <v>297</v>
      </c>
      <c r="AB273" s="4">
        <v>2</v>
      </c>
      <c r="AC273" s="4">
        <v>2</v>
      </c>
      <c r="AD273" s="4">
        <v>6</v>
      </c>
      <c r="AE273" s="4">
        <v>6</v>
      </c>
      <c r="AF273" s="4">
        <v>3</v>
      </c>
      <c r="AG273" s="4">
        <v>3</v>
      </c>
      <c r="AH273" s="4">
        <v>1</v>
      </c>
      <c r="AI273" s="4">
        <v>1</v>
      </c>
      <c r="AJ273" s="4">
        <v>2</v>
      </c>
      <c r="AK273" s="4">
        <v>2</v>
      </c>
      <c r="AL273" s="4">
        <v>1</v>
      </c>
      <c r="AM273" s="4">
        <v>1</v>
      </c>
      <c r="AN273" s="4">
        <v>0</v>
      </c>
      <c r="AO273" s="4">
        <v>0</v>
      </c>
      <c r="AP273" s="3" t="s">
        <v>58</v>
      </c>
      <c r="AQ273" s="3" t="s">
        <v>69</v>
      </c>
      <c r="AR273" s="6" t="str">
        <f>HYPERLINK("http://catalog.hathitrust.org/Record/000258495","HathiTrust Record")</f>
        <v>HathiTrust Record</v>
      </c>
      <c r="AS273" s="6" t="str">
        <f>HYPERLINK("https://creighton-primo.hosted.exlibrisgroup.com/primo-explore/search?tab=default_tab&amp;search_scope=EVERYTHING&amp;vid=01CRU&amp;lang=en_US&amp;offset=0&amp;query=any,contains,991004680059702656","Catalog Record")</f>
        <v>Catalog Record</v>
      </c>
      <c r="AT273" s="6" t="str">
        <f>HYPERLINK("http://www.worldcat.org/oclc/4560059","WorldCat Record")</f>
        <v>WorldCat Record</v>
      </c>
      <c r="AU273" s="3" t="s">
        <v>3563</v>
      </c>
      <c r="AV273" s="3" t="s">
        <v>3564</v>
      </c>
      <c r="AW273" s="3" t="s">
        <v>3565</v>
      </c>
      <c r="AX273" s="3" t="s">
        <v>3565</v>
      </c>
      <c r="AY273" s="3" t="s">
        <v>3566</v>
      </c>
      <c r="AZ273" s="3" t="s">
        <v>74</v>
      </c>
      <c r="BB273" s="3" t="s">
        <v>3567</v>
      </c>
      <c r="BC273" s="3" t="s">
        <v>3568</v>
      </c>
      <c r="BD273" s="3" t="s">
        <v>3569</v>
      </c>
    </row>
    <row r="274" spans="1:56" ht="34.5" customHeight="1" x14ac:dyDescent="0.25">
      <c r="A274" s="7" t="s">
        <v>58</v>
      </c>
      <c r="B274" s="2" t="s">
        <v>3570</v>
      </c>
      <c r="C274" s="2" t="s">
        <v>3571</v>
      </c>
      <c r="D274" s="2" t="s">
        <v>3572</v>
      </c>
      <c r="F274" s="3" t="s">
        <v>58</v>
      </c>
      <c r="G274" s="3" t="s">
        <v>59</v>
      </c>
      <c r="H274" s="3" t="s">
        <v>58</v>
      </c>
      <c r="I274" s="3" t="s">
        <v>58</v>
      </c>
      <c r="J274" s="3" t="s">
        <v>60</v>
      </c>
      <c r="L274" s="2" t="s">
        <v>3573</v>
      </c>
      <c r="M274" s="3" t="s">
        <v>983</v>
      </c>
      <c r="O274" s="3" t="s">
        <v>64</v>
      </c>
      <c r="P274" s="3" t="s">
        <v>252</v>
      </c>
      <c r="Q274" s="2" t="s">
        <v>3574</v>
      </c>
      <c r="R274" s="3" t="s">
        <v>66</v>
      </c>
      <c r="S274" s="4">
        <v>2</v>
      </c>
      <c r="T274" s="4">
        <v>2</v>
      </c>
      <c r="U274" s="5" t="s">
        <v>3364</v>
      </c>
      <c r="V274" s="5" t="s">
        <v>3364</v>
      </c>
      <c r="W274" s="5" t="s">
        <v>102</v>
      </c>
      <c r="X274" s="5" t="s">
        <v>102</v>
      </c>
      <c r="Y274" s="4">
        <v>370</v>
      </c>
      <c r="Z274" s="4">
        <v>343</v>
      </c>
      <c r="AA274" s="4">
        <v>347</v>
      </c>
      <c r="AB274" s="4">
        <v>2</v>
      </c>
      <c r="AC274" s="4">
        <v>2</v>
      </c>
      <c r="AD274" s="4">
        <v>13</v>
      </c>
      <c r="AE274" s="4">
        <v>13</v>
      </c>
      <c r="AF274" s="4">
        <v>2</v>
      </c>
      <c r="AG274" s="4">
        <v>2</v>
      </c>
      <c r="AH274" s="4">
        <v>4</v>
      </c>
      <c r="AI274" s="4">
        <v>4</v>
      </c>
      <c r="AJ274" s="4">
        <v>6</v>
      </c>
      <c r="AK274" s="4">
        <v>6</v>
      </c>
      <c r="AL274" s="4">
        <v>1</v>
      </c>
      <c r="AM274" s="4">
        <v>1</v>
      </c>
      <c r="AN274" s="4">
        <v>1</v>
      </c>
      <c r="AO274" s="4">
        <v>1</v>
      </c>
      <c r="AP274" s="3" t="s">
        <v>58</v>
      </c>
      <c r="AQ274" s="3" t="s">
        <v>69</v>
      </c>
      <c r="AR274" s="6" t="str">
        <f>HYPERLINK("http://catalog.hathitrust.org/Record/000147502","HathiTrust Record")</f>
        <v>HathiTrust Record</v>
      </c>
      <c r="AS274" s="6" t="str">
        <f>HYPERLINK("https://creighton-primo.hosted.exlibrisgroup.com/primo-explore/search?tab=default_tab&amp;search_scope=EVERYTHING&amp;vid=01CRU&amp;lang=en_US&amp;offset=0&amp;query=any,contains,991004823889702656","Catalog Record")</f>
        <v>Catalog Record</v>
      </c>
      <c r="AT274" s="6" t="str">
        <f>HYPERLINK("http://www.worldcat.org/oclc/5348616","WorldCat Record")</f>
        <v>WorldCat Record</v>
      </c>
      <c r="AU274" s="3" t="s">
        <v>3575</v>
      </c>
      <c r="AV274" s="3" t="s">
        <v>3576</v>
      </c>
      <c r="AW274" s="3" t="s">
        <v>3577</v>
      </c>
      <c r="AX274" s="3" t="s">
        <v>3577</v>
      </c>
      <c r="AY274" s="3" t="s">
        <v>3578</v>
      </c>
      <c r="AZ274" s="3" t="s">
        <v>74</v>
      </c>
      <c r="BC274" s="3" t="s">
        <v>3579</v>
      </c>
      <c r="BD274" s="3" t="s">
        <v>3580</v>
      </c>
    </row>
    <row r="275" spans="1:56" ht="34.5" customHeight="1" x14ac:dyDescent="0.25">
      <c r="A275" s="7" t="s">
        <v>58</v>
      </c>
      <c r="B275" s="2" t="s">
        <v>3581</v>
      </c>
      <c r="C275" s="2" t="s">
        <v>3582</v>
      </c>
      <c r="D275" s="2" t="s">
        <v>3583</v>
      </c>
      <c r="F275" s="3" t="s">
        <v>58</v>
      </c>
      <c r="G275" s="3" t="s">
        <v>59</v>
      </c>
      <c r="H275" s="3" t="s">
        <v>58</v>
      </c>
      <c r="I275" s="3" t="s">
        <v>58</v>
      </c>
      <c r="J275" s="3" t="s">
        <v>60</v>
      </c>
      <c r="L275" s="2" t="s">
        <v>3481</v>
      </c>
      <c r="M275" s="3" t="s">
        <v>450</v>
      </c>
      <c r="O275" s="3" t="s">
        <v>64</v>
      </c>
      <c r="P275" s="3" t="s">
        <v>65</v>
      </c>
      <c r="Q275" s="2" t="s">
        <v>3363</v>
      </c>
      <c r="R275" s="3" t="s">
        <v>66</v>
      </c>
      <c r="S275" s="4">
        <v>5</v>
      </c>
      <c r="T275" s="4">
        <v>5</v>
      </c>
      <c r="U275" s="5" t="s">
        <v>3364</v>
      </c>
      <c r="V275" s="5" t="s">
        <v>3364</v>
      </c>
      <c r="W275" s="5" t="s">
        <v>2907</v>
      </c>
      <c r="X275" s="5" t="s">
        <v>2907</v>
      </c>
      <c r="Y275" s="4">
        <v>509</v>
      </c>
      <c r="Z275" s="4">
        <v>491</v>
      </c>
      <c r="AA275" s="4">
        <v>498</v>
      </c>
      <c r="AB275" s="4">
        <v>2</v>
      </c>
      <c r="AC275" s="4">
        <v>2</v>
      </c>
      <c r="AD275" s="4">
        <v>14</v>
      </c>
      <c r="AE275" s="4">
        <v>14</v>
      </c>
      <c r="AF275" s="4">
        <v>5</v>
      </c>
      <c r="AG275" s="4">
        <v>5</v>
      </c>
      <c r="AH275" s="4">
        <v>4</v>
      </c>
      <c r="AI275" s="4">
        <v>4</v>
      </c>
      <c r="AJ275" s="4">
        <v>7</v>
      </c>
      <c r="AK275" s="4">
        <v>7</v>
      </c>
      <c r="AL275" s="4">
        <v>1</v>
      </c>
      <c r="AM275" s="4">
        <v>1</v>
      </c>
      <c r="AN275" s="4">
        <v>0</v>
      </c>
      <c r="AO275" s="4">
        <v>0</v>
      </c>
      <c r="AP275" s="3" t="s">
        <v>58</v>
      </c>
      <c r="AQ275" s="3" t="s">
        <v>69</v>
      </c>
      <c r="AR275" s="6" t="str">
        <f>HYPERLINK("http://catalog.hathitrust.org/Record/003559594","HathiTrust Record")</f>
        <v>HathiTrust Record</v>
      </c>
      <c r="AS275" s="6" t="str">
        <f>HYPERLINK("https://creighton-primo.hosted.exlibrisgroup.com/primo-explore/search?tab=default_tab&amp;search_scope=EVERYTHING&amp;vid=01CRU&amp;lang=en_US&amp;offset=0&amp;query=any,contains,991004393569702656","Catalog Record")</f>
        <v>Catalog Record</v>
      </c>
      <c r="AT275" s="6" t="str">
        <f>HYPERLINK("http://www.worldcat.org/oclc/3273931","WorldCat Record")</f>
        <v>WorldCat Record</v>
      </c>
      <c r="AU275" s="3" t="s">
        <v>3584</v>
      </c>
      <c r="AV275" s="3" t="s">
        <v>3585</v>
      </c>
      <c r="AW275" s="3" t="s">
        <v>3586</v>
      </c>
      <c r="AX275" s="3" t="s">
        <v>3586</v>
      </c>
      <c r="AY275" s="3" t="s">
        <v>3587</v>
      </c>
      <c r="AZ275" s="3" t="s">
        <v>74</v>
      </c>
      <c r="BB275" s="3" t="s">
        <v>3588</v>
      </c>
      <c r="BC275" s="3" t="s">
        <v>3589</v>
      </c>
      <c r="BD275" s="3" t="s">
        <v>3590</v>
      </c>
    </row>
    <row r="276" spans="1:56" ht="34.5" customHeight="1" x14ac:dyDescent="0.25">
      <c r="A276" s="7" t="s">
        <v>58</v>
      </c>
      <c r="B276" s="2" t="s">
        <v>3591</v>
      </c>
      <c r="C276" s="2" t="s">
        <v>3592</v>
      </c>
      <c r="D276" s="2" t="s">
        <v>3593</v>
      </c>
      <c r="F276" s="3" t="s">
        <v>58</v>
      </c>
      <c r="G276" s="3" t="s">
        <v>59</v>
      </c>
      <c r="H276" s="3" t="s">
        <v>58</v>
      </c>
      <c r="I276" s="3" t="s">
        <v>58</v>
      </c>
      <c r="J276" s="3" t="s">
        <v>60</v>
      </c>
      <c r="K276" s="2" t="s">
        <v>3594</v>
      </c>
      <c r="L276" s="2" t="s">
        <v>3595</v>
      </c>
      <c r="M276" s="3" t="s">
        <v>99</v>
      </c>
      <c r="O276" s="3" t="s">
        <v>64</v>
      </c>
      <c r="P276" s="3" t="s">
        <v>65</v>
      </c>
      <c r="R276" s="3" t="s">
        <v>66</v>
      </c>
      <c r="S276" s="4">
        <v>10</v>
      </c>
      <c r="T276" s="4">
        <v>10</v>
      </c>
      <c r="U276" s="5" t="s">
        <v>1107</v>
      </c>
      <c r="V276" s="5" t="s">
        <v>1107</v>
      </c>
      <c r="W276" s="5" t="s">
        <v>2044</v>
      </c>
      <c r="X276" s="5" t="s">
        <v>2044</v>
      </c>
      <c r="Y276" s="4">
        <v>258</v>
      </c>
      <c r="Z276" s="4">
        <v>240</v>
      </c>
      <c r="AA276" s="4">
        <v>254</v>
      </c>
      <c r="AB276" s="4">
        <v>2</v>
      </c>
      <c r="AC276" s="4">
        <v>2</v>
      </c>
      <c r="AD276" s="4">
        <v>6</v>
      </c>
      <c r="AE276" s="4">
        <v>6</v>
      </c>
      <c r="AF276" s="4">
        <v>1</v>
      </c>
      <c r="AG276" s="4">
        <v>1</v>
      </c>
      <c r="AH276" s="4">
        <v>2</v>
      </c>
      <c r="AI276" s="4">
        <v>2</v>
      </c>
      <c r="AJ276" s="4">
        <v>2</v>
      </c>
      <c r="AK276" s="4">
        <v>2</v>
      </c>
      <c r="AL276" s="4">
        <v>1</v>
      </c>
      <c r="AM276" s="4">
        <v>1</v>
      </c>
      <c r="AN276" s="4">
        <v>0</v>
      </c>
      <c r="AO276" s="4">
        <v>0</v>
      </c>
      <c r="AP276" s="3" t="s">
        <v>58</v>
      </c>
      <c r="AQ276" s="3" t="s">
        <v>69</v>
      </c>
      <c r="AR276" s="6" t="str">
        <f>HYPERLINK("http://catalog.hathitrust.org/Record/000695692","HathiTrust Record")</f>
        <v>HathiTrust Record</v>
      </c>
      <c r="AS276" s="6" t="str">
        <f>HYPERLINK("https://creighton-primo.hosted.exlibrisgroup.com/primo-explore/search?tab=default_tab&amp;search_scope=EVERYTHING&amp;vid=01CRU&amp;lang=en_US&amp;offset=0&amp;query=any,contains,991004671739702656","Catalog Record")</f>
        <v>Catalog Record</v>
      </c>
      <c r="AT276" s="6" t="str">
        <f>HYPERLINK("http://www.worldcat.org/oclc/4515971","WorldCat Record")</f>
        <v>WorldCat Record</v>
      </c>
      <c r="AU276" s="3" t="s">
        <v>3596</v>
      </c>
      <c r="AV276" s="3" t="s">
        <v>3597</v>
      </c>
      <c r="AW276" s="3" t="s">
        <v>3598</v>
      </c>
      <c r="AX276" s="3" t="s">
        <v>3598</v>
      </c>
      <c r="AY276" s="3" t="s">
        <v>3599</v>
      </c>
      <c r="AZ276" s="3" t="s">
        <v>74</v>
      </c>
      <c r="BB276" s="3" t="s">
        <v>3600</v>
      </c>
      <c r="BC276" s="3" t="s">
        <v>3601</v>
      </c>
      <c r="BD276" s="3" t="s">
        <v>3602</v>
      </c>
    </row>
    <row r="277" spans="1:56" ht="34.5" customHeight="1" x14ac:dyDescent="0.25">
      <c r="A277" s="7" t="s">
        <v>58</v>
      </c>
      <c r="B277" s="2" t="s">
        <v>3603</v>
      </c>
      <c r="C277" s="2" t="s">
        <v>3604</v>
      </c>
      <c r="D277" s="2" t="s">
        <v>3605</v>
      </c>
      <c r="F277" s="3" t="s">
        <v>58</v>
      </c>
      <c r="G277" s="3" t="s">
        <v>59</v>
      </c>
      <c r="H277" s="3" t="s">
        <v>58</v>
      </c>
      <c r="I277" s="3" t="s">
        <v>58</v>
      </c>
      <c r="J277" s="3" t="s">
        <v>60</v>
      </c>
      <c r="K277" s="2" t="s">
        <v>3606</v>
      </c>
      <c r="L277" s="2" t="s">
        <v>3607</v>
      </c>
      <c r="M277" s="3" t="s">
        <v>115</v>
      </c>
      <c r="O277" s="3" t="s">
        <v>64</v>
      </c>
      <c r="P277" s="3" t="s">
        <v>147</v>
      </c>
      <c r="R277" s="3" t="s">
        <v>66</v>
      </c>
      <c r="S277" s="4">
        <v>3</v>
      </c>
      <c r="T277" s="4">
        <v>3</v>
      </c>
      <c r="U277" s="5" t="s">
        <v>3608</v>
      </c>
      <c r="V277" s="5" t="s">
        <v>3608</v>
      </c>
      <c r="W277" s="5" t="s">
        <v>2044</v>
      </c>
      <c r="X277" s="5" t="s">
        <v>2044</v>
      </c>
      <c r="Y277" s="4">
        <v>599</v>
      </c>
      <c r="Z277" s="4">
        <v>360</v>
      </c>
      <c r="AA277" s="4">
        <v>363</v>
      </c>
      <c r="AB277" s="4">
        <v>2</v>
      </c>
      <c r="AC277" s="4">
        <v>2</v>
      </c>
      <c r="AD277" s="4">
        <v>10</v>
      </c>
      <c r="AE277" s="4">
        <v>10</v>
      </c>
      <c r="AF277" s="4">
        <v>3</v>
      </c>
      <c r="AG277" s="4">
        <v>3</v>
      </c>
      <c r="AH277" s="4">
        <v>2</v>
      </c>
      <c r="AI277" s="4">
        <v>2</v>
      </c>
      <c r="AJ277" s="4">
        <v>4</v>
      </c>
      <c r="AK277" s="4">
        <v>4</v>
      </c>
      <c r="AL277" s="4">
        <v>1</v>
      </c>
      <c r="AM277" s="4">
        <v>1</v>
      </c>
      <c r="AN277" s="4">
        <v>0</v>
      </c>
      <c r="AO277" s="4">
        <v>0</v>
      </c>
      <c r="AP277" s="3" t="s">
        <v>58</v>
      </c>
      <c r="AQ277" s="3" t="s">
        <v>58</v>
      </c>
      <c r="AS277" s="6" t="str">
        <f>HYPERLINK("https://creighton-primo.hosted.exlibrisgroup.com/primo-explore/search?tab=default_tab&amp;search_scope=EVERYTHING&amp;vid=01CRU&amp;lang=en_US&amp;offset=0&amp;query=any,contains,991005242269702656","Catalog Record")</f>
        <v>Catalog Record</v>
      </c>
      <c r="AT277" s="6" t="str">
        <f>HYPERLINK("http://www.worldcat.org/oclc/8430498","WorldCat Record")</f>
        <v>WorldCat Record</v>
      </c>
      <c r="AU277" s="3" t="s">
        <v>3609</v>
      </c>
      <c r="AV277" s="3" t="s">
        <v>3610</v>
      </c>
      <c r="AW277" s="3" t="s">
        <v>3611</v>
      </c>
      <c r="AX277" s="3" t="s">
        <v>3611</v>
      </c>
      <c r="AY277" s="3" t="s">
        <v>3612</v>
      </c>
      <c r="AZ277" s="3" t="s">
        <v>74</v>
      </c>
      <c r="BB277" s="3" t="s">
        <v>3613</v>
      </c>
      <c r="BC277" s="3" t="s">
        <v>3614</v>
      </c>
      <c r="BD277" s="3" t="s">
        <v>3615</v>
      </c>
    </row>
    <row r="278" spans="1:56" ht="34.5" customHeight="1" x14ac:dyDescent="0.25">
      <c r="A278" s="7" t="s">
        <v>58</v>
      </c>
      <c r="B278" s="2" t="s">
        <v>3616</v>
      </c>
      <c r="C278" s="2" t="s">
        <v>3617</v>
      </c>
      <c r="D278" s="2" t="s">
        <v>3618</v>
      </c>
      <c r="F278" s="3" t="s">
        <v>58</v>
      </c>
      <c r="G278" s="3" t="s">
        <v>59</v>
      </c>
      <c r="H278" s="3" t="s">
        <v>58</v>
      </c>
      <c r="I278" s="3" t="s">
        <v>58</v>
      </c>
      <c r="J278" s="3" t="s">
        <v>60</v>
      </c>
      <c r="K278" s="2" t="s">
        <v>3619</v>
      </c>
      <c r="L278" s="2" t="s">
        <v>3620</v>
      </c>
      <c r="M278" s="3" t="s">
        <v>237</v>
      </c>
      <c r="O278" s="3" t="s">
        <v>64</v>
      </c>
      <c r="P278" s="3" t="s">
        <v>84</v>
      </c>
      <c r="R278" s="3" t="s">
        <v>66</v>
      </c>
      <c r="S278" s="4">
        <v>2</v>
      </c>
      <c r="T278" s="4">
        <v>2</v>
      </c>
      <c r="U278" s="5" t="s">
        <v>1533</v>
      </c>
      <c r="V278" s="5" t="s">
        <v>1533</v>
      </c>
      <c r="W278" s="5" t="s">
        <v>754</v>
      </c>
      <c r="X278" s="5" t="s">
        <v>754</v>
      </c>
      <c r="Y278" s="4">
        <v>145</v>
      </c>
      <c r="Z278" s="4">
        <v>95</v>
      </c>
      <c r="AA278" s="4">
        <v>699</v>
      </c>
      <c r="AB278" s="4">
        <v>1</v>
      </c>
      <c r="AC278" s="4">
        <v>5</v>
      </c>
      <c r="AD278" s="4">
        <v>3</v>
      </c>
      <c r="AE278" s="4">
        <v>29</v>
      </c>
      <c r="AF278" s="4">
        <v>2</v>
      </c>
      <c r="AG278" s="4">
        <v>9</v>
      </c>
      <c r="AH278" s="4">
        <v>1</v>
      </c>
      <c r="AI278" s="4">
        <v>6</v>
      </c>
      <c r="AJ278" s="4">
        <v>1</v>
      </c>
      <c r="AK278" s="4">
        <v>15</v>
      </c>
      <c r="AL278" s="4">
        <v>0</v>
      </c>
      <c r="AM278" s="4">
        <v>4</v>
      </c>
      <c r="AN278" s="4">
        <v>0</v>
      </c>
      <c r="AO278" s="4">
        <v>0</v>
      </c>
      <c r="AP278" s="3" t="s">
        <v>58</v>
      </c>
      <c r="AQ278" s="3" t="s">
        <v>69</v>
      </c>
      <c r="AR278" s="6" t="str">
        <f>HYPERLINK("http://catalog.hathitrust.org/Record/008509959","HathiTrust Record")</f>
        <v>HathiTrust Record</v>
      </c>
      <c r="AS278" s="6" t="str">
        <f>HYPERLINK("https://creighton-primo.hosted.exlibrisgroup.com/primo-explore/search?tab=default_tab&amp;search_scope=EVERYTHING&amp;vid=01CRU&amp;lang=en_US&amp;offset=0&amp;query=any,contains,991000049789702656","Catalog Record")</f>
        <v>Catalog Record</v>
      </c>
      <c r="AT278" s="6" t="str">
        <f>HYPERLINK("http://www.worldcat.org/oclc/8680812","WorldCat Record")</f>
        <v>WorldCat Record</v>
      </c>
      <c r="AU278" s="3" t="s">
        <v>3621</v>
      </c>
      <c r="AV278" s="3" t="s">
        <v>3622</v>
      </c>
      <c r="AW278" s="3" t="s">
        <v>3623</v>
      </c>
      <c r="AX278" s="3" t="s">
        <v>3623</v>
      </c>
      <c r="AY278" s="3" t="s">
        <v>3624</v>
      </c>
      <c r="AZ278" s="3" t="s">
        <v>74</v>
      </c>
      <c r="BB278" s="3" t="s">
        <v>3625</v>
      </c>
      <c r="BC278" s="3" t="s">
        <v>3626</v>
      </c>
      <c r="BD278" s="3" t="s">
        <v>3627</v>
      </c>
    </row>
    <row r="279" spans="1:56" ht="34.5" customHeight="1" x14ac:dyDescent="0.25">
      <c r="A279" s="7" t="s">
        <v>58</v>
      </c>
      <c r="B279" s="2" t="s">
        <v>3628</v>
      </c>
      <c r="C279" s="2" t="s">
        <v>3629</v>
      </c>
      <c r="D279" s="2" t="s">
        <v>3630</v>
      </c>
      <c r="F279" s="3" t="s">
        <v>58</v>
      </c>
      <c r="G279" s="3" t="s">
        <v>59</v>
      </c>
      <c r="H279" s="3" t="s">
        <v>58</v>
      </c>
      <c r="I279" s="3" t="s">
        <v>58</v>
      </c>
      <c r="J279" s="3" t="s">
        <v>60</v>
      </c>
      <c r="K279" s="2" t="s">
        <v>3631</v>
      </c>
      <c r="L279" s="2" t="s">
        <v>3632</v>
      </c>
      <c r="M279" s="3" t="s">
        <v>237</v>
      </c>
      <c r="O279" s="3" t="s">
        <v>64</v>
      </c>
      <c r="P279" s="3" t="s">
        <v>177</v>
      </c>
      <c r="R279" s="3" t="s">
        <v>66</v>
      </c>
      <c r="S279" s="4">
        <v>17</v>
      </c>
      <c r="T279" s="4">
        <v>17</v>
      </c>
      <c r="U279" s="5" t="s">
        <v>1602</v>
      </c>
      <c r="V279" s="5" t="s">
        <v>1602</v>
      </c>
      <c r="W279" s="5" t="s">
        <v>3633</v>
      </c>
      <c r="X279" s="5" t="s">
        <v>3633</v>
      </c>
      <c r="Y279" s="4">
        <v>296</v>
      </c>
      <c r="Z279" s="4">
        <v>281</v>
      </c>
      <c r="AA279" s="4">
        <v>292</v>
      </c>
      <c r="AB279" s="4">
        <v>2</v>
      </c>
      <c r="AC279" s="4">
        <v>2</v>
      </c>
      <c r="AD279" s="4">
        <v>6</v>
      </c>
      <c r="AE279" s="4">
        <v>6</v>
      </c>
      <c r="AF279" s="4">
        <v>2</v>
      </c>
      <c r="AG279" s="4">
        <v>2</v>
      </c>
      <c r="AH279" s="4">
        <v>2</v>
      </c>
      <c r="AI279" s="4">
        <v>2</v>
      </c>
      <c r="AJ279" s="4">
        <v>1</v>
      </c>
      <c r="AK279" s="4">
        <v>1</v>
      </c>
      <c r="AL279" s="4">
        <v>1</v>
      </c>
      <c r="AM279" s="4">
        <v>1</v>
      </c>
      <c r="AN279" s="4">
        <v>0</v>
      </c>
      <c r="AO279" s="4">
        <v>0</v>
      </c>
      <c r="AP279" s="3" t="s">
        <v>58</v>
      </c>
      <c r="AQ279" s="3" t="s">
        <v>69</v>
      </c>
      <c r="AR279" s="6" t="str">
        <f>HYPERLINK("http://catalog.hathitrust.org/Record/000102179","HathiTrust Record")</f>
        <v>HathiTrust Record</v>
      </c>
      <c r="AS279" s="6" t="str">
        <f>HYPERLINK("https://creighton-primo.hosted.exlibrisgroup.com/primo-explore/search?tab=default_tab&amp;search_scope=EVERYTHING&amp;vid=01CRU&amp;lang=en_US&amp;offset=0&amp;query=any,contains,991005125539702656","Catalog Record")</f>
        <v>Catalog Record</v>
      </c>
      <c r="AT279" s="6" t="str">
        <f>HYPERLINK("http://www.worldcat.org/oclc/7553324","WorldCat Record")</f>
        <v>WorldCat Record</v>
      </c>
      <c r="AU279" s="3" t="s">
        <v>3634</v>
      </c>
      <c r="AV279" s="3" t="s">
        <v>3635</v>
      </c>
      <c r="AW279" s="3" t="s">
        <v>3636</v>
      </c>
      <c r="AX279" s="3" t="s">
        <v>3636</v>
      </c>
      <c r="AY279" s="3" t="s">
        <v>3637</v>
      </c>
      <c r="AZ279" s="3" t="s">
        <v>74</v>
      </c>
      <c r="BB279" s="3" t="s">
        <v>3638</v>
      </c>
      <c r="BC279" s="3" t="s">
        <v>3639</v>
      </c>
      <c r="BD279" s="3" t="s">
        <v>3640</v>
      </c>
    </row>
    <row r="280" spans="1:56" ht="34.5" customHeight="1" x14ac:dyDescent="0.25">
      <c r="A280" s="7" t="s">
        <v>58</v>
      </c>
      <c r="B280" s="2" t="s">
        <v>3641</v>
      </c>
      <c r="C280" s="2" t="s">
        <v>3642</v>
      </c>
      <c r="D280" s="2" t="s">
        <v>3643</v>
      </c>
      <c r="F280" s="3" t="s">
        <v>58</v>
      </c>
      <c r="G280" s="3" t="s">
        <v>59</v>
      </c>
      <c r="H280" s="3" t="s">
        <v>58</v>
      </c>
      <c r="I280" s="3" t="s">
        <v>58</v>
      </c>
      <c r="J280" s="3" t="s">
        <v>60</v>
      </c>
      <c r="L280" s="2" t="s">
        <v>3644</v>
      </c>
      <c r="M280" s="3" t="s">
        <v>99</v>
      </c>
      <c r="N280" s="2" t="s">
        <v>3645</v>
      </c>
      <c r="O280" s="3" t="s">
        <v>64</v>
      </c>
      <c r="P280" s="3" t="s">
        <v>177</v>
      </c>
      <c r="R280" s="3" t="s">
        <v>66</v>
      </c>
      <c r="S280" s="4">
        <v>16</v>
      </c>
      <c r="T280" s="4">
        <v>16</v>
      </c>
      <c r="U280" s="5" t="s">
        <v>3646</v>
      </c>
      <c r="V280" s="5" t="s">
        <v>3646</v>
      </c>
      <c r="W280" s="5" t="s">
        <v>3633</v>
      </c>
      <c r="X280" s="5" t="s">
        <v>3633</v>
      </c>
      <c r="Y280" s="4">
        <v>490</v>
      </c>
      <c r="Z280" s="4">
        <v>422</v>
      </c>
      <c r="AA280" s="4">
        <v>829</v>
      </c>
      <c r="AB280" s="4">
        <v>3</v>
      </c>
      <c r="AC280" s="4">
        <v>6</v>
      </c>
      <c r="AD280" s="4">
        <v>15</v>
      </c>
      <c r="AE280" s="4">
        <v>25</v>
      </c>
      <c r="AF280" s="4">
        <v>4</v>
      </c>
      <c r="AG280" s="4">
        <v>8</v>
      </c>
      <c r="AH280" s="4">
        <v>4</v>
      </c>
      <c r="AI280" s="4">
        <v>6</v>
      </c>
      <c r="AJ280" s="4">
        <v>9</v>
      </c>
      <c r="AK280" s="4">
        <v>13</v>
      </c>
      <c r="AL280" s="4">
        <v>2</v>
      </c>
      <c r="AM280" s="4">
        <v>4</v>
      </c>
      <c r="AN280" s="4">
        <v>0</v>
      </c>
      <c r="AO280" s="4">
        <v>0</v>
      </c>
      <c r="AP280" s="3" t="s">
        <v>58</v>
      </c>
      <c r="AQ280" s="3" t="s">
        <v>58</v>
      </c>
      <c r="AS280" s="6" t="str">
        <f>HYPERLINK("https://creighton-primo.hosted.exlibrisgroup.com/primo-explore/search?tab=default_tab&amp;search_scope=EVERYTHING&amp;vid=01CRU&amp;lang=en_US&amp;offset=0&amp;query=any,contains,991004855959702656","Catalog Record")</f>
        <v>Catalog Record</v>
      </c>
      <c r="AT280" s="6" t="str">
        <f>HYPERLINK("http://www.worldcat.org/oclc/5674964","WorldCat Record")</f>
        <v>WorldCat Record</v>
      </c>
      <c r="AU280" s="3" t="s">
        <v>3647</v>
      </c>
      <c r="AV280" s="3" t="s">
        <v>3648</v>
      </c>
      <c r="AW280" s="3" t="s">
        <v>3649</v>
      </c>
      <c r="AX280" s="3" t="s">
        <v>3649</v>
      </c>
      <c r="AY280" s="3" t="s">
        <v>3650</v>
      </c>
      <c r="AZ280" s="3" t="s">
        <v>74</v>
      </c>
      <c r="BB280" s="3" t="s">
        <v>3651</v>
      </c>
      <c r="BC280" s="3" t="s">
        <v>3652</v>
      </c>
      <c r="BD280" s="3" t="s">
        <v>3653</v>
      </c>
    </row>
    <row r="281" spans="1:56" ht="34.5" customHeight="1" x14ac:dyDescent="0.25">
      <c r="A281" s="7" t="s">
        <v>58</v>
      </c>
      <c r="B281" s="2" t="s">
        <v>3654</v>
      </c>
      <c r="C281" s="2" t="s">
        <v>3655</v>
      </c>
      <c r="D281" s="2" t="s">
        <v>3656</v>
      </c>
      <c r="F281" s="3" t="s">
        <v>58</v>
      </c>
      <c r="G281" s="3" t="s">
        <v>59</v>
      </c>
      <c r="H281" s="3" t="s">
        <v>58</v>
      </c>
      <c r="I281" s="3" t="s">
        <v>58</v>
      </c>
      <c r="J281" s="3" t="s">
        <v>60</v>
      </c>
      <c r="K281" s="2" t="s">
        <v>3657</v>
      </c>
      <c r="L281" s="2" t="s">
        <v>3658</v>
      </c>
      <c r="M281" s="3" t="s">
        <v>146</v>
      </c>
      <c r="O281" s="3" t="s">
        <v>64</v>
      </c>
      <c r="P281" s="3" t="s">
        <v>65</v>
      </c>
      <c r="R281" s="3" t="s">
        <v>66</v>
      </c>
      <c r="S281" s="4">
        <v>22</v>
      </c>
      <c r="T281" s="4">
        <v>22</v>
      </c>
      <c r="U281" s="5" t="s">
        <v>3073</v>
      </c>
      <c r="V281" s="5" t="s">
        <v>3073</v>
      </c>
      <c r="W281" s="5" t="s">
        <v>3659</v>
      </c>
      <c r="X281" s="5" t="s">
        <v>3659</v>
      </c>
      <c r="Y281" s="4">
        <v>600</v>
      </c>
      <c r="Z281" s="4">
        <v>520</v>
      </c>
      <c r="AA281" s="4">
        <v>527</v>
      </c>
      <c r="AB281" s="4">
        <v>3</v>
      </c>
      <c r="AC281" s="4">
        <v>3</v>
      </c>
      <c r="AD281" s="4">
        <v>15</v>
      </c>
      <c r="AE281" s="4">
        <v>15</v>
      </c>
      <c r="AF281" s="4">
        <v>5</v>
      </c>
      <c r="AG281" s="4">
        <v>5</v>
      </c>
      <c r="AH281" s="4">
        <v>3</v>
      </c>
      <c r="AI281" s="4">
        <v>3</v>
      </c>
      <c r="AJ281" s="4">
        <v>7</v>
      </c>
      <c r="AK281" s="4">
        <v>7</v>
      </c>
      <c r="AL281" s="4">
        <v>2</v>
      </c>
      <c r="AM281" s="4">
        <v>2</v>
      </c>
      <c r="AN281" s="4">
        <v>0</v>
      </c>
      <c r="AO281" s="4">
        <v>0</v>
      </c>
      <c r="AP281" s="3" t="s">
        <v>58</v>
      </c>
      <c r="AQ281" s="3" t="s">
        <v>69</v>
      </c>
      <c r="AR281" s="6" t="str">
        <f>HYPERLINK("http://catalog.hathitrust.org/Record/002868673","HathiTrust Record")</f>
        <v>HathiTrust Record</v>
      </c>
      <c r="AS281" s="6" t="str">
        <f>HYPERLINK("https://creighton-primo.hosted.exlibrisgroup.com/primo-explore/search?tab=default_tab&amp;search_scope=EVERYTHING&amp;vid=01CRU&amp;lang=en_US&amp;offset=0&amp;query=any,contains,991002140449702656","Catalog Record")</f>
        <v>Catalog Record</v>
      </c>
      <c r="AT281" s="6" t="str">
        <f>HYPERLINK("http://www.worldcat.org/oclc/27431589","WorldCat Record")</f>
        <v>WorldCat Record</v>
      </c>
      <c r="AU281" s="3" t="s">
        <v>3660</v>
      </c>
      <c r="AV281" s="3" t="s">
        <v>3661</v>
      </c>
      <c r="AW281" s="3" t="s">
        <v>3662</v>
      </c>
      <c r="AX281" s="3" t="s">
        <v>3662</v>
      </c>
      <c r="AY281" s="3" t="s">
        <v>3663</v>
      </c>
      <c r="AZ281" s="3" t="s">
        <v>74</v>
      </c>
      <c r="BB281" s="3" t="s">
        <v>3664</v>
      </c>
      <c r="BC281" s="3" t="s">
        <v>3665</v>
      </c>
      <c r="BD281" s="3" t="s">
        <v>3666</v>
      </c>
    </row>
    <row r="282" spans="1:56" ht="34.5" customHeight="1" x14ac:dyDescent="0.25">
      <c r="A282" s="7" t="s">
        <v>58</v>
      </c>
      <c r="B282" s="2" t="s">
        <v>3667</v>
      </c>
      <c r="C282" s="2" t="s">
        <v>3668</v>
      </c>
      <c r="D282" s="2" t="s">
        <v>3669</v>
      </c>
      <c r="F282" s="3" t="s">
        <v>58</v>
      </c>
      <c r="G282" s="3" t="s">
        <v>59</v>
      </c>
      <c r="H282" s="3" t="s">
        <v>58</v>
      </c>
      <c r="I282" s="3" t="s">
        <v>58</v>
      </c>
      <c r="J282" s="3" t="s">
        <v>60</v>
      </c>
      <c r="K282" s="2" t="s">
        <v>3670</v>
      </c>
      <c r="L282" s="2" t="s">
        <v>3671</v>
      </c>
      <c r="M282" s="3" t="s">
        <v>983</v>
      </c>
      <c r="O282" s="3" t="s">
        <v>64</v>
      </c>
      <c r="P282" s="3" t="s">
        <v>177</v>
      </c>
      <c r="R282" s="3" t="s">
        <v>66</v>
      </c>
      <c r="S282" s="4">
        <v>13</v>
      </c>
      <c r="T282" s="4">
        <v>13</v>
      </c>
      <c r="U282" s="5" t="s">
        <v>3672</v>
      </c>
      <c r="V282" s="5" t="s">
        <v>3672</v>
      </c>
      <c r="W282" s="5" t="s">
        <v>781</v>
      </c>
      <c r="X282" s="5" t="s">
        <v>781</v>
      </c>
      <c r="Y282" s="4">
        <v>373</v>
      </c>
      <c r="Z282" s="4">
        <v>350</v>
      </c>
      <c r="AA282" s="4">
        <v>388</v>
      </c>
      <c r="AB282" s="4">
        <v>2</v>
      </c>
      <c r="AC282" s="4">
        <v>2</v>
      </c>
      <c r="AD282" s="4">
        <v>7</v>
      </c>
      <c r="AE282" s="4">
        <v>7</v>
      </c>
      <c r="AF282" s="4">
        <v>1</v>
      </c>
      <c r="AG282" s="4">
        <v>1</v>
      </c>
      <c r="AH282" s="4">
        <v>3</v>
      </c>
      <c r="AI282" s="4">
        <v>3</v>
      </c>
      <c r="AJ282" s="4">
        <v>2</v>
      </c>
      <c r="AK282" s="4">
        <v>2</v>
      </c>
      <c r="AL282" s="4">
        <v>1</v>
      </c>
      <c r="AM282" s="4">
        <v>1</v>
      </c>
      <c r="AN282" s="4">
        <v>0</v>
      </c>
      <c r="AO282" s="4">
        <v>0</v>
      </c>
      <c r="AP282" s="3" t="s">
        <v>58</v>
      </c>
      <c r="AQ282" s="3" t="s">
        <v>58</v>
      </c>
      <c r="AS282" s="6" t="str">
        <f>HYPERLINK("https://creighton-primo.hosted.exlibrisgroup.com/primo-explore/search?tab=default_tab&amp;search_scope=EVERYTHING&amp;vid=01CRU&amp;lang=en_US&amp;offset=0&amp;query=any,contains,991004836399702656","Catalog Record")</f>
        <v>Catalog Record</v>
      </c>
      <c r="AT282" s="6" t="str">
        <f>HYPERLINK("http://www.worldcat.org/oclc/5451550","WorldCat Record")</f>
        <v>WorldCat Record</v>
      </c>
      <c r="AU282" s="3" t="s">
        <v>3673</v>
      </c>
      <c r="AV282" s="3" t="s">
        <v>3674</v>
      </c>
      <c r="AW282" s="3" t="s">
        <v>3675</v>
      </c>
      <c r="AX282" s="3" t="s">
        <v>3675</v>
      </c>
      <c r="AY282" s="3" t="s">
        <v>3676</v>
      </c>
      <c r="AZ282" s="3" t="s">
        <v>74</v>
      </c>
      <c r="BB282" s="3" t="s">
        <v>3677</v>
      </c>
      <c r="BC282" s="3" t="s">
        <v>3678</v>
      </c>
      <c r="BD282" s="3" t="s">
        <v>3679</v>
      </c>
    </row>
    <row r="283" spans="1:56" ht="34.5" customHeight="1" x14ac:dyDescent="0.25">
      <c r="A283" s="7" t="s">
        <v>58</v>
      </c>
      <c r="B283" s="2" t="s">
        <v>3680</v>
      </c>
      <c r="C283" s="2" t="s">
        <v>3681</v>
      </c>
      <c r="D283" s="2" t="s">
        <v>3682</v>
      </c>
      <c r="F283" s="3" t="s">
        <v>58</v>
      </c>
      <c r="G283" s="3" t="s">
        <v>59</v>
      </c>
      <c r="H283" s="3" t="s">
        <v>58</v>
      </c>
      <c r="I283" s="3" t="s">
        <v>58</v>
      </c>
      <c r="J283" s="3" t="s">
        <v>60</v>
      </c>
      <c r="K283" s="2" t="s">
        <v>3683</v>
      </c>
      <c r="L283" s="2" t="s">
        <v>3684</v>
      </c>
      <c r="M283" s="3" t="s">
        <v>99</v>
      </c>
      <c r="N283" s="2" t="s">
        <v>1317</v>
      </c>
      <c r="O283" s="3" t="s">
        <v>64</v>
      </c>
      <c r="P283" s="3" t="s">
        <v>3685</v>
      </c>
      <c r="R283" s="3" t="s">
        <v>66</v>
      </c>
      <c r="S283" s="4">
        <v>7</v>
      </c>
      <c r="T283" s="4">
        <v>7</v>
      </c>
      <c r="U283" s="5" t="s">
        <v>3686</v>
      </c>
      <c r="V283" s="5" t="s">
        <v>3686</v>
      </c>
      <c r="W283" s="5" t="s">
        <v>102</v>
      </c>
      <c r="X283" s="5" t="s">
        <v>102</v>
      </c>
      <c r="Y283" s="4">
        <v>204</v>
      </c>
      <c r="Z283" s="4">
        <v>189</v>
      </c>
      <c r="AA283" s="4">
        <v>421</v>
      </c>
      <c r="AB283" s="4">
        <v>2</v>
      </c>
      <c r="AC283" s="4">
        <v>3</v>
      </c>
      <c r="AD283" s="4">
        <v>5</v>
      </c>
      <c r="AE283" s="4">
        <v>11</v>
      </c>
      <c r="AF283" s="4">
        <v>0</v>
      </c>
      <c r="AG283" s="4">
        <v>2</v>
      </c>
      <c r="AH283" s="4">
        <v>2</v>
      </c>
      <c r="AI283" s="4">
        <v>2</v>
      </c>
      <c r="AJ283" s="4">
        <v>3</v>
      </c>
      <c r="AK283" s="4">
        <v>6</v>
      </c>
      <c r="AL283" s="4">
        <v>1</v>
      </c>
      <c r="AM283" s="4">
        <v>2</v>
      </c>
      <c r="AN283" s="4">
        <v>0</v>
      </c>
      <c r="AO283" s="4">
        <v>0</v>
      </c>
      <c r="AP283" s="3" t="s">
        <v>58</v>
      </c>
      <c r="AQ283" s="3" t="s">
        <v>69</v>
      </c>
      <c r="AR283" s="6" t="str">
        <f>HYPERLINK("http://catalog.hathitrust.org/Record/000715457","HathiTrust Record")</f>
        <v>HathiTrust Record</v>
      </c>
      <c r="AS283" s="6" t="str">
        <f>HYPERLINK("https://creighton-primo.hosted.exlibrisgroup.com/primo-explore/search?tab=default_tab&amp;search_scope=EVERYTHING&amp;vid=01CRU&amp;lang=en_US&amp;offset=0&amp;query=any,contains,991004965509702656","Catalog Record")</f>
        <v>Catalog Record</v>
      </c>
      <c r="AT283" s="6" t="str">
        <f>HYPERLINK("http://www.worldcat.org/oclc/6331429","WorldCat Record")</f>
        <v>WorldCat Record</v>
      </c>
      <c r="AU283" s="3" t="s">
        <v>3687</v>
      </c>
      <c r="AV283" s="3" t="s">
        <v>3688</v>
      </c>
      <c r="AW283" s="3" t="s">
        <v>3689</v>
      </c>
      <c r="AX283" s="3" t="s">
        <v>3689</v>
      </c>
      <c r="AY283" s="3" t="s">
        <v>3690</v>
      </c>
      <c r="AZ283" s="3" t="s">
        <v>74</v>
      </c>
      <c r="BB283" s="3" t="s">
        <v>3691</v>
      </c>
      <c r="BC283" s="3" t="s">
        <v>3692</v>
      </c>
      <c r="BD283" s="3" t="s">
        <v>3693</v>
      </c>
    </row>
    <row r="284" spans="1:56" ht="34.5" customHeight="1" x14ac:dyDescent="0.25">
      <c r="A284" s="7" t="s">
        <v>58</v>
      </c>
      <c r="B284" s="2" t="s">
        <v>3694</v>
      </c>
      <c r="C284" s="2" t="s">
        <v>3695</v>
      </c>
      <c r="D284" s="2" t="s">
        <v>3696</v>
      </c>
      <c r="F284" s="3" t="s">
        <v>58</v>
      </c>
      <c r="G284" s="3" t="s">
        <v>59</v>
      </c>
      <c r="H284" s="3" t="s">
        <v>58</v>
      </c>
      <c r="I284" s="3" t="s">
        <v>58</v>
      </c>
      <c r="J284" s="3" t="s">
        <v>60</v>
      </c>
      <c r="K284" s="2" t="s">
        <v>3697</v>
      </c>
      <c r="L284" s="2" t="s">
        <v>3698</v>
      </c>
      <c r="M284" s="3" t="s">
        <v>450</v>
      </c>
      <c r="O284" s="3" t="s">
        <v>64</v>
      </c>
      <c r="P284" s="3" t="s">
        <v>252</v>
      </c>
      <c r="R284" s="3" t="s">
        <v>66</v>
      </c>
      <c r="S284" s="4">
        <v>11</v>
      </c>
      <c r="T284" s="4">
        <v>11</v>
      </c>
      <c r="U284" s="5" t="s">
        <v>3699</v>
      </c>
      <c r="V284" s="5" t="s">
        <v>3699</v>
      </c>
      <c r="W284" s="5" t="s">
        <v>2155</v>
      </c>
      <c r="X284" s="5" t="s">
        <v>2155</v>
      </c>
      <c r="Y284" s="4">
        <v>899</v>
      </c>
      <c r="Z284" s="4">
        <v>693</v>
      </c>
      <c r="AA284" s="4">
        <v>766</v>
      </c>
      <c r="AB284" s="4">
        <v>5</v>
      </c>
      <c r="AC284" s="4">
        <v>5</v>
      </c>
      <c r="AD284" s="4">
        <v>36</v>
      </c>
      <c r="AE284" s="4">
        <v>37</v>
      </c>
      <c r="AF284" s="4">
        <v>15</v>
      </c>
      <c r="AG284" s="4">
        <v>15</v>
      </c>
      <c r="AH284" s="4">
        <v>7</v>
      </c>
      <c r="AI284" s="4">
        <v>7</v>
      </c>
      <c r="AJ284" s="4">
        <v>19</v>
      </c>
      <c r="AK284" s="4">
        <v>20</v>
      </c>
      <c r="AL284" s="4">
        <v>4</v>
      </c>
      <c r="AM284" s="4">
        <v>4</v>
      </c>
      <c r="AN284" s="4">
        <v>0</v>
      </c>
      <c r="AO284" s="4">
        <v>0</v>
      </c>
      <c r="AP284" s="3" t="s">
        <v>58</v>
      </c>
      <c r="AQ284" s="3" t="s">
        <v>58</v>
      </c>
      <c r="AS284" s="6" t="str">
        <f>HYPERLINK("https://creighton-primo.hosted.exlibrisgroup.com/primo-explore/search?tab=default_tab&amp;search_scope=EVERYTHING&amp;vid=01CRU&amp;lang=en_US&amp;offset=0&amp;query=any,contains,991004244189702656","Catalog Record")</f>
        <v>Catalog Record</v>
      </c>
      <c r="AT284" s="6" t="str">
        <f>HYPERLINK("http://www.worldcat.org/oclc/2797808","WorldCat Record")</f>
        <v>WorldCat Record</v>
      </c>
      <c r="AU284" s="3" t="s">
        <v>3700</v>
      </c>
      <c r="AV284" s="3" t="s">
        <v>3701</v>
      </c>
      <c r="AW284" s="3" t="s">
        <v>3702</v>
      </c>
      <c r="AX284" s="3" t="s">
        <v>3702</v>
      </c>
      <c r="AY284" s="3" t="s">
        <v>3703</v>
      </c>
      <c r="AZ284" s="3" t="s">
        <v>74</v>
      </c>
      <c r="BB284" s="3" t="s">
        <v>3704</v>
      </c>
      <c r="BC284" s="3" t="s">
        <v>3705</v>
      </c>
      <c r="BD284" s="3" t="s">
        <v>3706</v>
      </c>
    </row>
    <row r="285" spans="1:56" ht="34.5" customHeight="1" x14ac:dyDescent="0.25">
      <c r="A285" s="7" t="s">
        <v>58</v>
      </c>
      <c r="B285" s="2" t="s">
        <v>3707</v>
      </c>
      <c r="C285" s="2" t="s">
        <v>3708</v>
      </c>
      <c r="D285" s="2" t="s">
        <v>3709</v>
      </c>
      <c r="F285" s="3" t="s">
        <v>58</v>
      </c>
      <c r="G285" s="3" t="s">
        <v>59</v>
      </c>
      <c r="H285" s="3" t="s">
        <v>58</v>
      </c>
      <c r="I285" s="3" t="s">
        <v>58</v>
      </c>
      <c r="J285" s="3" t="s">
        <v>60</v>
      </c>
      <c r="K285" s="2" t="s">
        <v>3085</v>
      </c>
      <c r="L285" s="2" t="s">
        <v>3710</v>
      </c>
      <c r="M285" s="3" t="s">
        <v>698</v>
      </c>
      <c r="O285" s="3" t="s">
        <v>64</v>
      </c>
      <c r="P285" s="3" t="s">
        <v>65</v>
      </c>
      <c r="R285" s="3" t="s">
        <v>66</v>
      </c>
      <c r="S285" s="4">
        <v>10</v>
      </c>
      <c r="T285" s="4">
        <v>10</v>
      </c>
      <c r="U285" s="5" t="s">
        <v>3711</v>
      </c>
      <c r="V285" s="5" t="s">
        <v>3711</v>
      </c>
      <c r="W285" s="5" t="s">
        <v>3712</v>
      </c>
      <c r="X285" s="5" t="s">
        <v>3712</v>
      </c>
      <c r="Y285" s="4">
        <v>405</v>
      </c>
      <c r="Z285" s="4">
        <v>320</v>
      </c>
      <c r="AA285" s="4">
        <v>410</v>
      </c>
      <c r="AB285" s="4">
        <v>2</v>
      </c>
      <c r="AC285" s="4">
        <v>3</v>
      </c>
      <c r="AD285" s="4">
        <v>10</v>
      </c>
      <c r="AE285" s="4">
        <v>13</v>
      </c>
      <c r="AF285" s="4">
        <v>2</v>
      </c>
      <c r="AG285" s="4">
        <v>3</v>
      </c>
      <c r="AH285" s="4">
        <v>3</v>
      </c>
      <c r="AI285" s="4">
        <v>3</v>
      </c>
      <c r="AJ285" s="4">
        <v>5</v>
      </c>
      <c r="AK285" s="4">
        <v>7</v>
      </c>
      <c r="AL285" s="4">
        <v>1</v>
      </c>
      <c r="AM285" s="4">
        <v>2</v>
      </c>
      <c r="AN285" s="4">
        <v>0</v>
      </c>
      <c r="AO285" s="4">
        <v>0</v>
      </c>
      <c r="AP285" s="3" t="s">
        <v>58</v>
      </c>
      <c r="AQ285" s="3" t="s">
        <v>69</v>
      </c>
      <c r="AR285" s="6" t="str">
        <f>HYPERLINK("http://catalog.hathitrust.org/Record/003002580","HathiTrust Record")</f>
        <v>HathiTrust Record</v>
      </c>
      <c r="AS285" s="6" t="str">
        <f>HYPERLINK("https://creighton-primo.hosted.exlibrisgroup.com/primo-explore/search?tab=default_tab&amp;search_scope=EVERYTHING&amp;vid=01CRU&amp;lang=en_US&amp;offset=0&amp;query=any,contains,991002468289702656","Catalog Record")</f>
        <v>Catalog Record</v>
      </c>
      <c r="AT285" s="6" t="str">
        <f>HYPERLINK("http://www.worldcat.org/oclc/32159240","WorldCat Record")</f>
        <v>WorldCat Record</v>
      </c>
      <c r="AU285" s="3" t="s">
        <v>3713</v>
      </c>
      <c r="AV285" s="3" t="s">
        <v>3714</v>
      </c>
      <c r="AW285" s="3" t="s">
        <v>3715</v>
      </c>
      <c r="AX285" s="3" t="s">
        <v>3715</v>
      </c>
      <c r="AY285" s="3" t="s">
        <v>3716</v>
      </c>
      <c r="AZ285" s="3" t="s">
        <v>74</v>
      </c>
      <c r="BB285" s="3" t="s">
        <v>3717</v>
      </c>
      <c r="BC285" s="3" t="s">
        <v>3718</v>
      </c>
      <c r="BD285" s="3" t="s">
        <v>3719</v>
      </c>
    </row>
    <row r="286" spans="1:56" ht="34.5" customHeight="1" x14ac:dyDescent="0.25">
      <c r="A286" s="7" t="s">
        <v>58</v>
      </c>
      <c r="B286" s="2" t="s">
        <v>3720</v>
      </c>
      <c r="C286" s="2" t="s">
        <v>3721</v>
      </c>
      <c r="D286" s="2" t="s">
        <v>3722</v>
      </c>
      <c r="F286" s="3" t="s">
        <v>58</v>
      </c>
      <c r="G286" s="3" t="s">
        <v>59</v>
      </c>
      <c r="H286" s="3" t="s">
        <v>58</v>
      </c>
      <c r="I286" s="3" t="s">
        <v>58</v>
      </c>
      <c r="J286" s="3" t="s">
        <v>60</v>
      </c>
      <c r="K286" s="2" t="s">
        <v>3723</v>
      </c>
      <c r="L286" s="2" t="s">
        <v>3724</v>
      </c>
      <c r="M286" s="3" t="s">
        <v>607</v>
      </c>
      <c r="O286" s="3" t="s">
        <v>64</v>
      </c>
      <c r="P286" s="3" t="s">
        <v>65</v>
      </c>
      <c r="R286" s="3" t="s">
        <v>66</v>
      </c>
      <c r="S286" s="4">
        <v>4</v>
      </c>
      <c r="T286" s="4">
        <v>4</v>
      </c>
      <c r="U286" s="5" t="s">
        <v>3725</v>
      </c>
      <c r="V286" s="5" t="s">
        <v>3725</v>
      </c>
      <c r="W286" s="5" t="s">
        <v>68</v>
      </c>
      <c r="X286" s="5" t="s">
        <v>68</v>
      </c>
      <c r="Y286" s="4">
        <v>634</v>
      </c>
      <c r="Z286" s="4">
        <v>592</v>
      </c>
      <c r="AA286" s="4">
        <v>719</v>
      </c>
      <c r="AB286" s="4">
        <v>1</v>
      </c>
      <c r="AC286" s="4">
        <v>3</v>
      </c>
      <c r="AD286" s="4">
        <v>9</v>
      </c>
      <c r="AE286" s="4">
        <v>12</v>
      </c>
      <c r="AF286" s="4">
        <v>3</v>
      </c>
      <c r="AG286" s="4">
        <v>4</v>
      </c>
      <c r="AH286" s="4">
        <v>4</v>
      </c>
      <c r="AI286" s="4">
        <v>4</v>
      </c>
      <c r="AJ286" s="4">
        <v>6</v>
      </c>
      <c r="AK286" s="4">
        <v>7</v>
      </c>
      <c r="AL286" s="4">
        <v>0</v>
      </c>
      <c r="AM286" s="4">
        <v>2</v>
      </c>
      <c r="AN286" s="4">
        <v>0</v>
      </c>
      <c r="AO286" s="4">
        <v>0</v>
      </c>
      <c r="AP286" s="3" t="s">
        <v>58</v>
      </c>
      <c r="AQ286" s="3" t="s">
        <v>69</v>
      </c>
      <c r="AR286" s="6" t="str">
        <f>HYPERLINK("http://catalog.hathitrust.org/Record/000723709","HathiTrust Record")</f>
        <v>HathiTrust Record</v>
      </c>
      <c r="AS286" s="6" t="str">
        <f>HYPERLINK("https://creighton-primo.hosted.exlibrisgroup.com/primo-explore/search?tab=default_tab&amp;search_scope=EVERYTHING&amp;vid=01CRU&amp;lang=en_US&amp;offset=0&amp;query=any,contains,991003625879702656","Catalog Record")</f>
        <v>Catalog Record</v>
      </c>
      <c r="AT286" s="6" t="str">
        <f>HYPERLINK("http://www.worldcat.org/oclc/1217170","WorldCat Record")</f>
        <v>WorldCat Record</v>
      </c>
      <c r="AU286" s="3" t="s">
        <v>3726</v>
      </c>
      <c r="AV286" s="3" t="s">
        <v>3727</v>
      </c>
      <c r="AW286" s="3" t="s">
        <v>3728</v>
      </c>
      <c r="AX286" s="3" t="s">
        <v>3728</v>
      </c>
      <c r="AY286" s="3" t="s">
        <v>3729</v>
      </c>
      <c r="AZ286" s="3" t="s">
        <v>74</v>
      </c>
      <c r="BC286" s="3" t="s">
        <v>3730</v>
      </c>
      <c r="BD286" s="3" t="s">
        <v>3731</v>
      </c>
    </row>
    <row r="287" spans="1:56" ht="34.5" customHeight="1" x14ac:dyDescent="0.25">
      <c r="A287" s="7" t="s">
        <v>58</v>
      </c>
      <c r="B287" s="2" t="s">
        <v>3732</v>
      </c>
      <c r="C287" s="2" t="s">
        <v>3733</v>
      </c>
      <c r="D287" s="2" t="s">
        <v>3734</v>
      </c>
      <c r="F287" s="3" t="s">
        <v>58</v>
      </c>
      <c r="G287" s="3" t="s">
        <v>59</v>
      </c>
      <c r="H287" s="3" t="s">
        <v>58</v>
      </c>
      <c r="I287" s="3" t="s">
        <v>58</v>
      </c>
      <c r="J287" s="3" t="s">
        <v>60</v>
      </c>
      <c r="K287" s="2" t="s">
        <v>3735</v>
      </c>
      <c r="L287" s="2" t="s">
        <v>3736</v>
      </c>
      <c r="M287" s="3" t="s">
        <v>739</v>
      </c>
      <c r="O287" s="3" t="s">
        <v>64</v>
      </c>
      <c r="P287" s="3" t="s">
        <v>65</v>
      </c>
      <c r="R287" s="3" t="s">
        <v>66</v>
      </c>
      <c r="S287" s="4">
        <v>9</v>
      </c>
      <c r="T287" s="4">
        <v>9</v>
      </c>
      <c r="U287" s="5" t="s">
        <v>1067</v>
      </c>
      <c r="V287" s="5" t="s">
        <v>1067</v>
      </c>
      <c r="W287" s="5" t="s">
        <v>2732</v>
      </c>
      <c r="X287" s="5" t="s">
        <v>2732</v>
      </c>
      <c r="Y287" s="4">
        <v>405</v>
      </c>
      <c r="Z287" s="4">
        <v>335</v>
      </c>
      <c r="AA287" s="4">
        <v>350</v>
      </c>
      <c r="AB287" s="4">
        <v>4</v>
      </c>
      <c r="AC287" s="4">
        <v>5</v>
      </c>
      <c r="AD287" s="4">
        <v>10</v>
      </c>
      <c r="AE287" s="4">
        <v>11</v>
      </c>
      <c r="AF287" s="4">
        <v>5</v>
      </c>
      <c r="AG287" s="4">
        <v>5</v>
      </c>
      <c r="AH287" s="4">
        <v>3</v>
      </c>
      <c r="AI287" s="4">
        <v>3</v>
      </c>
      <c r="AJ287" s="4">
        <v>2</v>
      </c>
      <c r="AK287" s="4">
        <v>2</v>
      </c>
      <c r="AL287" s="4">
        <v>2</v>
      </c>
      <c r="AM287" s="4">
        <v>3</v>
      </c>
      <c r="AN287" s="4">
        <v>0</v>
      </c>
      <c r="AO287" s="4">
        <v>0</v>
      </c>
      <c r="AP287" s="3" t="s">
        <v>58</v>
      </c>
      <c r="AQ287" s="3" t="s">
        <v>69</v>
      </c>
      <c r="AR287" s="6" t="str">
        <f>HYPERLINK("http://catalog.hathitrust.org/Record/001833913","HathiTrust Record")</f>
        <v>HathiTrust Record</v>
      </c>
      <c r="AS287" s="6" t="str">
        <f>HYPERLINK("https://creighton-primo.hosted.exlibrisgroup.com/primo-explore/search?tab=default_tab&amp;search_scope=EVERYTHING&amp;vid=01CRU&amp;lang=en_US&amp;offset=0&amp;query=any,contains,991001467629702656","Catalog Record")</f>
        <v>Catalog Record</v>
      </c>
      <c r="AT287" s="6" t="str">
        <f>HYPERLINK("http://www.worldcat.org/oclc/19515287","WorldCat Record")</f>
        <v>WorldCat Record</v>
      </c>
      <c r="AU287" s="3" t="s">
        <v>3737</v>
      </c>
      <c r="AV287" s="3" t="s">
        <v>3738</v>
      </c>
      <c r="AW287" s="3" t="s">
        <v>3739</v>
      </c>
      <c r="AX287" s="3" t="s">
        <v>3739</v>
      </c>
      <c r="AY287" s="3" t="s">
        <v>3740</v>
      </c>
      <c r="AZ287" s="3" t="s">
        <v>74</v>
      </c>
      <c r="BB287" s="3" t="s">
        <v>3741</v>
      </c>
      <c r="BC287" s="3" t="s">
        <v>3742</v>
      </c>
      <c r="BD287" s="3" t="s">
        <v>3743</v>
      </c>
    </row>
    <row r="288" spans="1:56" ht="34.5" customHeight="1" x14ac:dyDescent="0.25">
      <c r="A288" s="7" t="s">
        <v>58</v>
      </c>
      <c r="B288" s="2" t="s">
        <v>3744</v>
      </c>
      <c r="C288" s="2" t="s">
        <v>3745</v>
      </c>
      <c r="D288" s="2" t="s">
        <v>3746</v>
      </c>
      <c r="F288" s="3" t="s">
        <v>58</v>
      </c>
      <c r="G288" s="3" t="s">
        <v>59</v>
      </c>
      <c r="H288" s="3" t="s">
        <v>58</v>
      </c>
      <c r="I288" s="3" t="s">
        <v>58</v>
      </c>
      <c r="J288" s="3" t="s">
        <v>60</v>
      </c>
      <c r="K288" s="2" t="s">
        <v>3747</v>
      </c>
      <c r="L288" s="2" t="s">
        <v>3748</v>
      </c>
      <c r="M288" s="3" t="s">
        <v>550</v>
      </c>
      <c r="O288" s="3" t="s">
        <v>64</v>
      </c>
      <c r="P288" s="3" t="s">
        <v>65</v>
      </c>
      <c r="Q288" s="2" t="s">
        <v>3749</v>
      </c>
      <c r="R288" s="3" t="s">
        <v>66</v>
      </c>
      <c r="S288" s="4">
        <v>13</v>
      </c>
      <c r="T288" s="4">
        <v>13</v>
      </c>
      <c r="U288" s="5" t="s">
        <v>3750</v>
      </c>
      <c r="V288" s="5" t="s">
        <v>3750</v>
      </c>
      <c r="W288" s="5" t="s">
        <v>3482</v>
      </c>
      <c r="X288" s="5" t="s">
        <v>3482</v>
      </c>
      <c r="Y288" s="4">
        <v>416</v>
      </c>
      <c r="Z288" s="4">
        <v>376</v>
      </c>
      <c r="AA288" s="4">
        <v>587</v>
      </c>
      <c r="AB288" s="4">
        <v>2</v>
      </c>
      <c r="AC288" s="4">
        <v>3</v>
      </c>
      <c r="AD288" s="4">
        <v>17</v>
      </c>
      <c r="AE288" s="4">
        <v>20</v>
      </c>
      <c r="AF288" s="4">
        <v>7</v>
      </c>
      <c r="AG288" s="4">
        <v>7</v>
      </c>
      <c r="AH288" s="4">
        <v>3</v>
      </c>
      <c r="AI288" s="4">
        <v>3</v>
      </c>
      <c r="AJ288" s="4">
        <v>9</v>
      </c>
      <c r="AK288" s="4">
        <v>11</v>
      </c>
      <c r="AL288" s="4">
        <v>1</v>
      </c>
      <c r="AM288" s="4">
        <v>2</v>
      </c>
      <c r="AN288" s="4">
        <v>0</v>
      </c>
      <c r="AO288" s="4">
        <v>0</v>
      </c>
      <c r="AP288" s="3" t="s">
        <v>58</v>
      </c>
      <c r="AQ288" s="3" t="s">
        <v>69</v>
      </c>
      <c r="AR288" s="6" t="str">
        <f>HYPERLINK("http://catalog.hathitrust.org/Record/000451301","HathiTrust Record")</f>
        <v>HathiTrust Record</v>
      </c>
      <c r="AS288" s="6" t="str">
        <f>HYPERLINK("https://creighton-primo.hosted.exlibrisgroup.com/primo-explore/search?tab=default_tab&amp;search_scope=EVERYTHING&amp;vid=01CRU&amp;lang=en_US&amp;offset=0&amp;query=any,contains,991002803549702656","Catalog Record")</f>
        <v>Catalog Record</v>
      </c>
      <c r="AT288" s="6" t="str">
        <f>HYPERLINK("http://www.worldcat.org/oclc/448684","WorldCat Record")</f>
        <v>WorldCat Record</v>
      </c>
      <c r="AU288" s="3" t="s">
        <v>3751</v>
      </c>
      <c r="AV288" s="3" t="s">
        <v>3752</v>
      </c>
      <c r="AW288" s="3" t="s">
        <v>3753</v>
      </c>
      <c r="AX288" s="3" t="s">
        <v>3753</v>
      </c>
      <c r="AY288" s="3" t="s">
        <v>3754</v>
      </c>
      <c r="AZ288" s="3" t="s">
        <v>74</v>
      </c>
      <c r="BC288" s="3" t="s">
        <v>3755</v>
      </c>
      <c r="BD288" s="3" t="s">
        <v>3756</v>
      </c>
    </row>
    <row r="289" spans="1:56" ht="34.5" customHeight="1" x14ac:dyDescent="0.25">
      <c r="A289" s="7" t="s">
        <v>58</v>
      </c>
      <c r="B289" s="2" t="s">
        <v>3757</v>
      </c>
      <c r="C289" s="2" t="s">
        <v>3758</v>
      </c>
      <c r="D289" s="2" t="s">
        <v>3759</v>
      </c>
      <c r="F289" s="3" t="s">
        <v>58</v>
      </c>
      <c r="G289" s="3" t="s">
        <v>59</v>
      </c>
      <c r="H289" s="3" t="s">
        <v>58</v>
      </c>
      <c r="I289" s="3" t="s">
        <v>58</v>
      </c>
      <c r="J289" s="3" t="s">
        <v>60</v>
      </c>
      <c r="K289" s="2" t="s">
        <v>3760</v>
      </c>
      <c r="L289" s="2" t="s">
        <v>3761</v>
      </c>
      <c r="M289" s="3" t="s">
        <v>192</v>
      </c>
      <c r="O289" s="3" t="s">
        <v>64</v>
      </c>
      <c r="P289" s="3" t="s">
        <v>65</v>
      </c>
      <c r="Q289" s="2" t="s">
        <v>3762</v>
      </c>
      <c r="R289" s="3" t="s">
        <v>66</v>
      </c>
      <c r="S289" s="4">
        <v>2</v>
      </c>
      <c r="T289" s="4">
        <v>2</v>
      </c>
      <c r="U289" s="5" t="s">
        <v>2229</v>
      </c>
      <c r="V289" s="5" t="s">
        <v>2229</v>
      </c>
      <c r="W289" s="5" t="s">
        <v>2620</v>
      </c>
      <c r="X289" s="5" t="s">
        <v>2620</v>
      </c>
      <c r="Y289" s="4">
        <v>233</v>
      </c>
      <c r="Z289" s="4">
        <v>208</v>
      </c>
      <c r="AA289" s="4">
        <v>234</v>
      </c>
      <c r="AB289" s="4">
        <v>2</v>
      </c>
      <c r="AC289" s="4">
        <v>2</v>
      </c>
      <c r="AD289" s="4">
        <v>5</v>
      </c>
      <c r="AE289" s="4">
        <v>6</v>
      </c>
      <c r="AF289" s="4">
        <v>2</v>
      </c>
      <c r="AG289" s="4">
        <v>3</v>
      </c>
      <c r="AH289" s="4">
        <v>1</v>
      </c>
      <c r="AI289" s="4">
        <v>1</v>
      </c>
      <c r="AJ289" s="4">
        <v>3</v>
      </c>
      <c r="AK289" s="4">
        <v>3</v>
      </c>
      <c r="AL289" s="4">
        <v>1</v>
      </c>
      <c r="AM289" s="4">
        <v>1</v>
      </c>
      <c r="AN289" s="4">
        <v>0</v>
      </c>
      <c r="AO289" s="4">
        <v>0</v>
      </c>
      <c r="AP289" s="3" t="s">
        <v>58</v>
      </c>
      <c r="AQ289" s="3" t="s">
        <v>69</v>
      </c>
      <c r="AR289" s="6" t="str">
        <f>HYPERLINK("http://catalog.hathitrust.org/Record/000452162","HathiTrust Record")</f>
        <v>HathiTrust Record</v>
      </c>
      <c r="AS289" s="6" t="str">
        <f>HYPERLINK("https://creighton-primo.hosted.exlibrisgroup.com/primo-explore/search?tab=default_tab&amp;search_scope=EVERYTHING&amp;vid=01CRU&amp;lang=en_US&amp;offset=0&amp;query=any,contains,991002978529702656","Catalog Record")</f>
        <v>Catalog Record</v>
      </c>
      <c r="AT289" s="6" t="str">
        <f>HYPERLINK("http://www.worldcat.org/oclc/553376","WorldCat Record")</f>
        <v>WorldCat Record</v>
      </c>
      <c r="AU289" s="3" t="s">
        <v>3763</v>
      </c>
      <c r="AV289" s="3" t="s">
        <v>3764</v>
      </c>
      <c r="AW289" s="3" t="s">
        <v>3765</v>
      </c>
      <c r="AX289" s="3" t="s">
        <v>3765</v>
      </c>
      <c r="AY289" s="3" t="s">
        <v>3766</v>
      </c>
      <c r="AZ289" s="3" t="s">
        <v>74</v>
      </c>
      <c r="BB289" s="3" t="s">
        <v>3767</v>
      </c>
      <c r="BC289" s="3" t="s">
        <v>3768</v>
      </c>
      <c r="BD289" s="3" t="s">
        <v>3769</v>
      </c>
    </row>
    <row r="290" spans="1:56" ht="34.5" customHeight="1" x14ac:dyDescent="0.25">
      <c r="A290" s="7" t="s">
        <v>58</v>
      </c>
      <c r="B290" s="2" t="s">
        <v>3770</v>
      </c>
      <c r="C290" s="2" t="s">
        <v>3771</v>
      </c>
      <c r="D290" s="2" t="s">
        <v>3772</v>
      </c>
      <c r="F290" s="3" t="s">
        <v>58</v>
      </c>
      <c r="G290" s="3" t="s">
        <v>59</v>
      </c>
      <c r="H290" s="3" t="s">
        <v>58</v>
      </c>
      <c r="I290" s="3" t="s">
        <v>58</v>
      </c>
      <c r="J290" s="3" t="s">
        <v>60</v>
      </c>
      <c r="K290" s="2" t="s">
        <v>3773</v>
      </c>
      <c r="L290" s="2" t="s">
        <v>3774</v>
      </c>
      <c r="M290" s="3" t="s">
        <v>224</v>
      </c>
      <c r="O290" s="3" t="s">
        <v>64</v>
      </c>
      <c r="P290" s="3" t="s">
        <v>65</v>
      </c>
      <c r="Q290" s="2" t="s">
        <v>3775</v>
      </c>
      <c r="R290" s="3" t="s">
        <v>66</v>
      </c>
      <c r="S290" s="4">
        <v>6</v>
      </c>
      <c r="T290" s="4">
        <v>6</v>
      </c>
      <c r="U290" s="5" t="s">
        <v>3776</v>
      </c>
      <c r="V290" s="5" t="s">
        <v>3776</v>
      </c>
      <c r="W290" s="5" t="s">
        <v>102</v>
      </c>
      <c r="X290" s="5" t="s">
        <v>102</v>
      </c>
      <c r="Y290" s="4">
        <v>401</v>
      </c>
      <c r="Z290" s="4">
        <v>335</v>
      </c>
      <c r="AA290" s="4">
        <v>341</v>
      </c>
      <c r="AB290" s="4">
        <v>4</v>
      </c>
      <c r="AC290" s="4">
        <v>4</v>
      </c>
      <c r="AD290" s="4">
        <v>11</v>
      </c>
      <c r="AE290" s="4">
        <v>11</v>
      </c>
      <c r="AF290" s="4">
        <v>4</v>
      </c>
      <c r="AG290" s="4">
        <v>4</v>
      </c>
      <c r="AH290" s="4">
        <v>4</v>
      </c>
      <c r="AI290" s="4">
        <v>4</v>
      </c>
      <c r="AJ290" s="4">
        <v>4</v>
      </c>
      <c r="AK290" s="4">
        <v>4</v>
      </c>
      <c r="AL290" s="4">
        <v>1</v>
      </c>
      <c r="AM290" s="4">
        <v>1</v>
      </c>
      <c r="AN290" s="4">
        <v>0</v>
      </c>
      <c r="AO290" s="4">
        <v>0</v>
      </c>
      <c r="AP290" s="3" t="s">
        <v>58</v>
      </c>
      <c r="AQ290" s="3" t="s">
        <v>69</v>
      </c>
      <c r="AR290" s="6" t="str">
        <f>HYPERLINK("http://catalog.hathitrust.org/Record/000152005","HathiTrust Record")</f>
        <v>HathiTrust Record</v>
      </c>
      <c r="AS290" s="6" t="str">
        <f>HYPERLINK("https://creighton-primo.hosted.exlibrisgroup.com/primo-explore/search?tab=default_tab&amp;search_scope=EVERYTHING&amp;vid=01CRU&amp;lang=en_US&amp;offset=0&amp;query=any,contains,991005245959702656","Catalog Record")</f>
        <v>Catalog Record</v>
      </c>
      <c r="AT290" s="6" t="str">
        <f>HYPERLINK("http://www.worldcat.org/oclc/8452638","WorldCat Record")</f>
        <v>WorldCat Record</v>
      </c>
      <c r="AU290" s="3" t="s">
        <v>3777</v>
      </c>
      <c r="AV290" s="3" t="s">
        <v>3778</v>
      </c>
      <c r="AW290" s="3" t="s">
        <v>3779</v>
      </c>
      <c r="AX290" s="3" t="s">
        <v>3779</v>
      </c>
      <c r="AY290" s="3" t="s">
        <v>3780</v>
      </c>
      <c r="AZ290" s="3" t="s">
        <v>74</v>
      </c>
      <c r="BB290" s="3" t="s">
        <v>3781</v>
      </c>
      <c r="BC290" s="3" t="s">
        <v>3782</v>
      </c>
      <c r="BD290" s="3" t="s">
        <v>3783</v>
      </c>
    </row>
    <row r="291" spans="1:56" ht="34.5" customHeight="1" x14ac:dyDescent="0.25">
      <c r="A291" s="7" t="s">
        <v>58</v>
      </c>
      <c r="B291" s="2" t="s">
        <v>3784</v>
      </c>
      <c r="C291" s="2" t="s">
        <v>3785</v>
      </c>
      <c r="D291" s="2" t="s">
        <v>3786</v>
      </c>
      <c r="F291" s="3" t="s">
        <v>58</v>
      </c>
      <c r="G291" s="3" t="s">
        <v>59</v>
      </c>
      <c r="H291" s="3" t="s">
        <v>58</v>
      </c>
      <c r="I291" s="3" t="s">
        <v>58</v>
      </c>
      <c r="J291" s="3" t="s">
        <v>60</v>
      </c>
      <c r="K291" s="2" t="s">
        <v>3787</v>
      </c>
      <c r="L291" s="2" t="s">
        <v>3788</v>
      </c>
      <c r="M291" s="3" t="s">
        <v>192</v>
      </c>
      <c r="O291" s="3" t="s">
        <v>64</v>
      </c>
      <c r="P291" s="3" t="s">
        <v>65</v>
      </c>
      <c r="Q291" s="2" t="s">
        <v>564</v>
      </c>
      <c r="R291" s="3" t="s">
        <v>66</v>
      </c>
      <c r="S291" s="4">
        <v>11</v>
      </c>
      <c r="T291" s="4">
        <v>11</v>
      </c>
      <c r="U291" s="5" t="s">
        <v>3789</v>
      </c>
      <c r="V291" s="5" t="s">
        <v>3789</v>
      </c>
      <c r="W291" s="5" t="s">
        <v>2620</v>
      </c>
      <c r="X291" s="5" t="s">
        <v>2620</v>
      </c>
      <c r="Y291" s="4">
        <v>719</v>
      </c>
      <c r="Z291" s="4">
        <v>666</v>
      </c>
      <c r="AA291" s="4">
        <v>672</v>
      </c>
      <c r="AB291" s="4">
        <v>4</v>
      </c>
      <c r="AC291" s="4">
        <v>4</v>
      </c>
      <c r="AD291" s="4">
        <v>15</v>
      </c>
      <c r="AE291" s="4">
        <v>15</v>
      </c>
      <c r="AF291" s="4">
        <v>4</v>
      </c>
      <c r="AG291" s="4">
        <v>4</v>
      </c>
      <c r="AH291" s="4">
        <v>6</v>
      </c>
      <c r="AI291" s="4">
        <v>6</v>
      </c>
      <c r="AJ291" s="4">
        <v>5</v>
      </c>
      <c r="AK291" s="4">
        <v>5</v>
      </c>
      <c r="AL291" s="4">
        <v>2</v>
      </c>
      <c r="AM291" s="4">
        <v>2</v>
      </c>
      <c r="AN291" s="4">
        <v>0</v>
      </c>
      <c r="AO291" s="4">
        <v>0</v>
      </c>
      <c r="AP291" s="3" t="s">
        <v>58</v>
      </c>
      <c r="AQ291" s="3" t="s">
        <v>69</v>
      </c>
      <c r="AR291" s="6" t="str">
        <f>HYPERLINK("http://catalog.hathitrust.org/Record/000451518","HathiTrust Record")</f>
        <v>HathiTrust Record</v>
      </c>
      <c r="AS291" s="6" t="str">
        <f>HYPERLINK("https://creighton-primo.hosted.exlibrisgroup.com/primo-explore/search?tab=default_tab&amp;search_scope=EVERYTHING&amp;vid=01CRU&amp;lang=en_US&amp;offset=0&amp;query=any,contains,991003079169702656","Catalog Record")</f>
        <v>Catalog Record</v>
      </c>
      <c r="AT291" s="6" t="str">
        <f>HYPERLINK("http://www.worldcat.org/oclc/631913","WorldCat Record")</f>
        <v>WorldCat Record</v>
      </c>
      <c r="AU291" s="3" t="s">
        <v>3790</v>
      </c>
      <c r="AV291" s="3" t="s">
        <v>3791</v>
      </c>
      <c r="AW291" s="3" t="s">
        <v>3792</v>
      </c>
      <c r="AX291" s="3" t="s">
        <v>3792</v>
      </c>
      <c r="AY291" s="3" t="s">
        <v>3793</v>
      </c>
      <c r="AZ291" s="3" t="s">
        <v>74</v>
      </c>
      <c r="BB291" s="3" t="s">
        <v>3794</v>
      </c>
      <c r="BC291" s="3" t="s">
        <v>3795</v>
      </c>
      <c r="BD291" s="3" t="s">
        <v>3796</v>
      </c>
    </row>
    <row r="292" spans="1:56" ht="34.5" customHeight="1" x14ac:dyDescent="0.25">
      <c r="A292" s="7" t="s">
        <v>58</v>
      </c>
      <c r="B292" s="2" t="s">
        <v>3797</v>
      </c>
      <c r="C292" s="2" t="s">
        <v>3798</v>
      </c>
      <c r="D292" s="2" t="s">
        <v>3799</v>
      </c>
      <c r="F292" s="3" t="s">
        <v>58</v>
      </c>
      <c r="G292" s="3" t="s">
        <v>59</v>
      </c>
      <c r="H292" s="3" t="s">
        <v>58</v>
      </c>
      <c r="I292" s="3" t="s">
        <v>58</v>
      </c>
      <c r="J292" s="3" t="s">
        <v>60</v>
      </c>
      <c r="K292" s="2" t="s">
        <v>3800</v>
      </c>
      <c r="L292" s="2" t="s">
        <v>3801</v>
      </c>
      <c r="M292" s="3" t="s">
        <v>162</v>
      </c>
      <c r="N292" s="2" t="s">
        <v>3802</v>
      </c>
      <c r="O292" s="3" t="s">
        <v>64</v>
      </c>
      <c r="P292" s="3" t="s">
        <v>252</v>
      </c>
      <c r="R292" s="3" t="s">
        <v>66</v>
      </c>
      <c r="S292" s="4">
        <v>7</v>
      </c>
      <c r="T292" s="4">
        <v>7</v>
      </c>
      <c r="U292" s="5" t="s">
        <v>2029</v>
      </c>
      <c r="V292" s="5" t="s">
        <v>2029</v>
      </c>
      <c r="W292" s="5" t="s">
        <v>2932</v>
      </c>
      <c r="X292" s="5" t="s">
        <v>2932</v>
      </c>
      <c r="Y292" s="4">
        <v>33</v>
      </c>
      <c r="Z292" s="4">
        <v>32</v>
      </c>
      <c r="AA292" s="4">
        <v>269</v>
      </c>
      <c r="AB292" s="4">
        <v>1</v>
      </c>
      <c r="AC292" s="4">
        <v>2</v>
      </c>
      <c r="AD292" s="4">
        <v>4</v>
      </c>
      <c r="AE292" s="4">
        <v>12</v>
      </c>
      <c r="AF292" s="4">
        <v>2</v>
      </c>
      <c r="AG292" s="4">
        <v>7</v>
      </c>
      <c r="AH292" s="4">
        <v>1</v>
      </c>
      <c r="AI292" s="4">
        <v>3</v>
      </c>
      <c r="AJ292" s="4">
        <v>2</v>
      </c>
      <c r="AK292" s="4">
        <v>3</v>
      </c>
      <c r="AL292" s="4">
        <v>0</v>
      </c>
      <c r="AM292" s="4">
        <v>1</v>
      </c>
      <c r="AN292" s="4">
        <v>0</v>
      </c>
      <c r="AO292" s="4">
        <v>0</v>
      </c>
      <c r="AP292" s="3" t="s">
        <v>58</v>
      </c>
      <c r="AQ292" s="3" t="s">
        <v>58</v>
      </c>
      <c r="AS292" s="6" t="str">
        <f>HYPERLINK("https://creighton-primo.hosted.exlibrisgroup.com/primo-explore/search?tab=default_tab&amp;search_scope=EVERYTHING&amp;vid=01CRU&amp;lang=en_US&amp;offset=0&amp;query=any,contains,991000681809702656","Catalog Record")</f>
        <v>Catalog Record</v>
      </c>
      <c r="AT292" s="6" t="str">
        <f>HYPERLINK("http://www.worldcat.org/oclc/12406353","WorldCat Record")</f>
        <v>WorldCat Record</v>
      </c>
      <c r="AU292" s="3" t="s">
        <v>3803</v>
      </c>
      <c r="AV292" s="3" t="s">
        <v>3804</v>
      </c>
      <c r="AW292" s="3" t="s">
        <v>3805</v>
      </c>
      <c r="AX292" s="3" t="s">
        <v>3805</v>
      </c>
      <c r="AY292" s="3" t="s">
        <v>3806</v>
      </c>
      <c r="AZ292" s="3" t="s">
        <v>74</v>
      </c>
      <c r="BB292" s="3" t="s">
        <v>3807</v>
      </c>
      <c r="BC292" s="3" t="s">
        <v>3808</v>
      </c>
      <c r="BD292" s="3" t="s">
        <v>3809</v>
      </c>
    </row>
    <row r="293" spans="1:56" ht="34.5" customHeight="1" x14ac:dyDescent="0.25">
      <c r="A293" s="7" t="s">
        <v>58</v>
      </c>
      <c r="B293" s="2" t="s">
        <v>3810</v>
      </c>
      <c r="C293" s="2" t="s">
        <v>3811</v>
      </c>
      <c r="D293" s="2" t="s">
        <v>3812</v>
      </c>
      <c r="F293" s="3" t="s">
        <v>58</v>
      </c>
      <c r="G293" s="3" t="s">
        <v>59</v>
      </c>
      <c r="H293" s="3" t="s">
        <v>58</v>
      </c>
      <c r="I293" s="3" t="s">
        <v>58</v>
      </c>
      <c r="J293" s="3" t="s">
        <v>60</v>
      </c>
      <c r="K293" s="2" t="s">
        <v>2710</v>
      </c>
      <c r="L293" s="2" t="s">
        <v>3813</v>
      </c>
      <c r="M293" s="3" t="s">
        <v>3456</v>
      </c>
      <c r="O293" s="3" t="s">
        <v>64</v>
      </c>
      <c r="P293" s="3" t="s">
        <v>65</v>
      </c>
      <c r="R293" s="3" t="s">
        <v>66</v>
      </c>
      <c r="S293" s="4">
        <v>9</v>
      </c>
      <c r="T293" s="4">
        <v>9</v>
      </c>
      <c r="U293" s="5" t="s">
        <v>3177</v>
      </c>
      <c r="V293" s="5" t="s">
        <v>3177</v>
      </c>
      <c r="W293" s="5" t="s">
        <v>3814</v>
      </c>
      <c r="X293" s="5" t="s">
        <v>3814</v>
      </c>
      <c r="Y293" s="4">
        <v>886</v>
      </c>
      <c r="Z293" s="4">
        <v>817</v>
      </c>
      <c r="AA293" s="4">
        <v>828</v>
      </c>
      <c r="AB293" s="4">
        <v>5</v>
      </c>
      <c r="AC293" s="4">
        <v>5</v>
      </c>
      <c r="AD293" s="4">
        <v>32</v>
      </c>
      <c r="AE293" s="4">
        <v>32</v>
      </c>
      <c r="AF293" s="4">
        <v>12</v>
      </c>
      <c r="AG293" s="4">
        <v>12</v>
      </c>
      <c r="AH293" s="4">
        <v>7</v>
      </c>
      <c r="AI293" s="4">
        <v>7</v>
      </c>
      <c r="AJ293" s="4">
        <v>20</v>
      </c>
      <c r="AK293" s="4">
        <v>20</v>
      </c>
      <c r="AL293" s="4">
        <v>4</v>
      </c>
      <c r="AM293" s="4">
        <v>4</v>
      </c>
      <c r="AN293" s="4">
        <v>0</v>
      </c>
      <c r="AO293" s="4">
        <v>0</v>
      </c>
      <c r="AP293" s="3" t="s">
        <v>58</v>
      </c>
      <c r="AQ293" s="3" t="s">
        <v>69</v>
      </c>
      <c r="AR293" s="6" t="str">
        <f>HYPERLINK("http://catalog.hathitrust.org/Record/000451739","HathiTrust Record")</f>
        <v>HathiTrust Record</v>
      </c>
      <c r="AS293" s="6" t="str">
        <f>HYPERLINK("https://creighton-primo.hosted.exlibrisgroup.com/primo-explore/search?tab=default_tab&amp;search_scope=EVERYTHING&amp;vid=01CRU&amp;lang=en_US&amp;offset=0&amp;query=any,contains,991002981119702656","Catalog Record")</f>
        <v>Catalog Record</v>
      </c>
      <c r="AT293" s="6" t="str">
        <f>HYPERLINK("http://www.worldcat.org/oclc/554973","WorldCat Record")</f>
        <v>WorldCat Record</v>
      </c>
      <c r="AU293" s="3" t="s">
        <v>3815</v>
      </c>
      <c r="AV293" s="3" t="s">
        <v>3816</v>
      </c>
      <c r="AW293" s="3" t="s">
        <v>3817</v>
      </c>
      <c r="AX293" s="3" t="s">
        <v>3817</v>
      </c>
      <c r="AY293" s="3" t="s">
        <v>3818</v>
      </c>
      <c r="AZ293" s="3" t="s">
        <v>74</v>
      </c>
      <c r="BC293" s="3" t="s">
        <v>3819</v>
      </c>
      <c r="BD293" s="3" t="s">
        <v>3820</v>
      </c>
    </row>
    <row r="294" spans="1:56" ht="34.5" customHeight="1" x14ac:dyDescent="0.25">
      <c r="A294" s="7" t="s">
        <v>58</v>
      </c>
      <c r="B294" s="2" t="s">
        <v>3821</v>
      </c>
      <c r="C294" s="2" t="s">
        <v>3822</v>
      </c>
      <c r="D294" s="2" t="s">
        <v>3823</v>
      </c>
      <c r="F294" s="3" t="s">
        <v>58</v>
      </c>
      <c r="G294" s="3" t="s">
        <v>59</v>
      </c>
      <c r="H294" s="3" t="s">
        <v>58</v>
      </c>
      <c r="I294" s="3" t="s">
        <v>58</v>
      </c>
      <c r="J294" s="3" t="s">
        <v>60</v>
      </c>
      <c r="K294" s="2" t="s">
        <v>3824</v>
      </c>
      <c r="L294" s="2" t="s">
        <v>3825</v>
      </c>
      <c r="M294" s="3" t="s">
        <v>450</v>
      </c>
      <c r="O294" s="3" t="s">
        <v>64</v>
      </c>
      <c r="P294" s="3" t="s">
        <v>100</v>
      </c>
      <c r="R294" s="3" t="s">
        <v>66</v>
      </c>
      <c r="S294" s="4">
        <v>2</v>
      </c>
      <c r="T294" s="4">
        <v>2</v>
      </c>
      <c r="U294" s="5" t="s">
        <v>3826</v>
      </c>
      <c r="V294" s="5" t="s">
        <v>3826</v>
      </c>
      <c r="W294" s="5" t="s">
        <v>68</v>
      </c>
      <c r="X294" s="5" t="s">
        <v>68</v>
      </c>
      <c r="Y294" s="4">
        <v>501</v>
      </c>
      <c r="Z294" s="4">
        <v>426</v>
      </c>
      <c r="AA294" s="4">
        <v>492</v>
      </c>
      <c r="AB294" s="4">
        <v>3</v>
      </c>
      <c r="AC294" s="4">
        <v>3</v>
      </c>
      <c r="AD294" s="4">
        <v>12</v>
      </c>
      <c r="AE294" s="4">
        <v>14</v>
      </c>
      <c r="AF294" s="4">
        <v>4</v>
      </c>
      <c r="AG294" s="4">
        <v>4</v>
      </c>
      <c r="AH294" s="4">
        <v>2</v>
      </c>
      <c r="AI294" s="4">
        <v>3</v>
      </c>
      <c r="AJ294" s="4">
        <v>7</v>
      </c>
      <c r="AK294" s="4">
        <v>8</v>
      </c>
      <c r="AL294" s="4">
        <v>2</v>
      </c>
      <c r="AM294" s="4">
        <v>2</v>
      </c>
      <c r="AN294" s="4">
        <v>0</v>
      </c>
      <c r="AO294" s="4">
        <v>0</v>
      </c>
      <c r="AP294" s="3" t="s">
        <v>58</v>
      </c>
      <c r="AQ294" s="3" t="s">
        <v>69</v>
      </c>
      <c r="AR294" s="6" t="str">
        <f>HYPERLINK("http://catalog.hathitrust.org/Record/000748322","HathiTrust Record")</f>
        <v>HathiTrust Record</v>
      </c>
      <c r="AS294" s="6" t="str">
        <f>HYPERLINK("https://creighton-primo.hosted.exlibrisgroup.com/primo-explore/search?tab=default_tab&amp;search_scope=EVERYTHING&amp;vid=01CRU&amp;lang=en_US&amp;offset=0&amp;query=any,contains,991004402579702656","Catalog Record")</f>
        <v>Catalog Record</v>
      </c>
      <c r="AT294" s="6" t="str">
        <f>HYPERLINK("http://www.worldcat.org/oclc/3310404","WorldCat Record")</f>
        <v>WorldCat Record</v>
      </c>
      <c r="AU294" s="3" t="s">
        <v>3827</v>
      </c>
      <c r="AV294" s="3" t="s">
        <v>3828</v>
      </c>
      <c r="AW294" s="3" t="s">
        <v>3829</v>
      </c>
      <c r="AX294" s="3" t="s">
        <v>3829</v>
      </c>
      <c r="AY294" s="3" t="s">
        <v>3830</v>
      </c>
      <c r="AZ294" s="3" t="s">
        <v>74</v>
      </c>
      <c r="BB294" s="3" t="s">
        <v>3831</v>
      </c>
      <c r="BC294" s="3" t="s">
        <v>3832</v>
      </c>
      <c r="BD294" s="3" t="s">
        <v>3833</v>
      </c>
    </row>
    <row r="295" spans="1:56" ht="34.5" customHeight="1" x14ac:dyDescent="0.25">
      <c r="A295" s="7" t="s">
        <v>58</v>
      </c>
      <c r="B295" s="2" t="s">
        <v>3834</v>
      </c>
      <c r="C295" s="2" t="s">
        <v>3835</v>
      </c>
      <c r="D295" s="2" t="s">
        <v>3836</v>
      </c>
      <c r="F295" s="3" t="s">
        <v>58</v>
      </c>
      <c r="G295" s="3" t="s">
        <v>59</v>
      </c>
      <c r="H295" s="3" t="s">
        <v>58</v>
      </c>
      <c r="I295" s="3" t="s">
        <v>58</v>
      </c>
      <c r="J295" s="3" t="s">
        <v>60</v>
      </c>
      <c r="K295" s="2" t="s">
        <v>3837</v>
      </c>
      <c r="L295" s="2" t="s">
        <v>3838</v>
      </c>
      <c r="M295" s="3" t="s">
        <v>368</v>
      </c>
      <c r="O295" s="3" t="s">
        <v>64</v>
      </c>
      <c r="P295" s="3" t="s">
        <v>65</v>
      </c>
      <c r="R295" s="3" t="s">
        <v>66</v>
      </c>
      <c r="S295" s="4">
        <v>5</v>
      </c>
      <c r="T295" s="4">
        <v>5</v>
      </c>
      <c r="U295" s="5" t="s">
        <v>3839</v>
      </c>
      <c r="V295" s="5" t="s">
        <v>3839</v>
      </c>
      <c r="W295" s="5" t="s">
        <v>2932</v>
      </c>
      <c r="X295" s="5" t="s">
        <v>2932</v>
      </c>
      <c r="Y295" s="4">
        <v>164</v>
      </c>
      <c r="Z295" s="4">
        <v>157</v>
      </c>
      <c r="AA295" s="4">
        <v>456</v>
      </c>
      <c r="AB295" s="4">
        <v>2</v>
      </c>
      <c r="AC295" s="4">
        <v>3</v>
      </c>
      <c r="AD295" s="4">
        <v>8</v>
      </c>
      <c r="AE295" s="4">
        <v>17</v>
      </c>
      <c r="AF295" s="4">
        <v>3</v>
      </c>
      <c r="AG295" s="4">
        <v>6</v>
      </c>
      <c r="AH295" s="4">
        <v>3</v>
      </c>
      <c r="AI295" s="4">
        <v>5</v>
      </c>
      <c r="AJ295" s="4">
        <v>3</v>
      </c>
      <c r="AK295" s="4">
        <v>8</v>
      </c>
      <c r="AL295" s="4">
        <v>1</v>
      </c>
      <c r="AM295" s="4">
        <v>2</v>
      </c>
      <c r="AN295" s="4">
        <v>0</v>
      </c>
      <c r="AO295" s="4">
        <v>0</v>
      </c>
      <c r="AP295" s="3" t="s">
        <v>58</v>
      </c>
      <c r="AQ295" s="3" t="s">
        <v>69</v>
      </c>
      <c r="AR295" s="6" t="str">
        <f>HYPERLINK("http://catalog.hathitrust.org/Record/004502002","HathiTrust Record")</f>
        <v>HathiTrust Record</v>
      </c>
      <c r="AS295" s="6" t="str">
        <f>HYPERLINK("https://creighton-primo.hosted.exlibrisgroup.com/primo-explore/search?tab=default_tab&amp;search_scope=EVERYTHING&amp;vid=01CRU&amp;lang=en_US&amp;offset=0&amp;query=any,contains,991002394689702656","Catalog Record")</f>
        <v>Catalog Record</v>
      </c>
      <c r="AT295" s="6" t="str">
        <f>HYPERLINK("http://www.worldcat.org/oclc/334046","WorldCat Record")</f>
        <v>WorldCat Record</v>
      </c>
      <c r="AU295" s="3" t="s">
        <v>3840</v>
      </c>
      <c r="AV295" s="3" t="s">
        <v>3841</v>
      </c>
      <c r="AW295" s="3" t="s">
        <v>3842</v>
      </c>
      <c r="AX295" s="3" t="s">
        <v>3842</v>
      </c>
      <c r="AY295" s="3" t="s">
        <v>3843</v>
      </c>
      <c r="AZ295" s="3" t="s">
        <v>74</v>
      </c>
      <c r="BC295" s="3" t="s">
        <v>3844</v>
      </c>
      <c r="BD295" s="3" t="s">
        <v>3845</v>
      </c>
    </row>
    <row r="296" spans="1:56" ht="34.5" customHeight="1" x14ac:dyDescent="0.25">
      <c r="A296" s="7" t="s">
        <v>58</v>
      </c>
      <c r="B296" s="2" t="s">
        <v>3846</v>
      </c>
      <c r="C296" s="2" t="s">
        <v>3847</v>
      </c>
      <c r="D296" s="2" t="s">
        <v>3848</v>
      </c>
      <c r="F296" s="3" t="s">
        <v>58</v>
      </c>
      <c r="G296" s="3" t="s">
        <v>59</v>
      </c>
      <c r="H296" s="3" t="s">
        <v>58</v>
      </c>
      <c r="I296" s="3" t="s">
        <v>58</v>
      </c>
      <c r="J296" s="3" t="s">
        <v>60</v>
      </c>
      <c r="K296" s="2" t="s">
        <v>3849</v>
      </c>
      <c r="L296" s="2" t="s">
        <v>3850</v>
      </c>
      <c r="M296" s="3" t="s">
        <v>1288</v>
      </c>
      <c r="N296" s="2" t="s">
        <v>284</v>
      </c>
      <c r="O296" s="3" t="s">
        <v>64</v>
      </c>
      <c r="P296" s="3" t="s">
        <v>65</v>
      </c>
      <c r="R296" s="3" t="s">
        <v>66</v>
      </c>
      <c r="S296" s="4">
        <v>4</v>
      </c>
      <c r="T296" s="4">
        <v>4</v>
      </c>
      <c r="U296" s="5" t="s">
        <v>1657</v>
      </c>
      <c r="V296" s="5" t="s">
        <v>1657</v>
      </c>
      <c r="W296" s="5" t="s">
        <v>3394</v>
      </c>
      <c r="X296" s="5" t="s">
        <v>3394</v>
      </c>
      <c r="Y296" s="4">
        <v>838</v>
      </c>
      <c r="Z296" s="4">
        <v>752</v>
      </c>
      <c r="AA296" s="4">
        <v>890</v>
      </c>
      <c r="AB296" s="4">
        <v>2</v>
      </c>
      <c r="AC296" s="4">
        <v>3</v>
      </c>
      <c r="AD296" s="4">
        <v>16</v>
      </c>
      <c r="AE296" s="4">
        <v>21</v>
      </c>
      <c r="AF296" s="4">
        <v>5</v>
      </c>
      <c r="AG296" s="4">
        <v>7</v>
      </c>
      <c r="AH296" s="4">
        <v>5</v>
      </c>
      <c r="AI296" s="4">
        <v>6</v>
      </c>
      <c r="AJ296" s="4">
        <v>7</v>
      </c>
      <c r="AK296" s="4">
        <v>9</v>
      </c>
      <c r="AL296" s="4">
        <v>1</v>
      </c>
      <c r="AM296" s="4">
        <v>2</v>
      </c>
      <c r="AN296" s="4">
        <v>0</v>
      </c>
      <c r="AO296" s="4">
        <v>0</v>
      </c>
      <c r="AP296" s="3" t="s">
        <v>58</v>
      </c>
      <c r="AQ296" s="3" t="s">
        <v>69</v>
      </c>
      <c r="AR296" s="6" t="str">
        <f>HYPERLINK("http://catalog.hathitrust.org/Record/000923330","HathiTrust Record")</f>
        <v>HathiTrust Record</v>
      </c>
      <c r="AS296" s="6" t="str">
        <f>HYPERLINK("https://creighton-primo.hosted.exlibrisgroup.com/primo-explore/search?tab=default_tab&amp;search_scope=EVERYTHING&amp;vid=01CRU&amp;lang=en_US&amp;offset=0&amp;query=any,contains,991001158329702656","Catalog Record")</f>
        <v>Catalog Record</v>
      </c>
      <c r="AT296" s="6" t="str">
        <f>HYPERLINK("http://www.worldcat.org/oclc/16871079","WorldCat Record")</f>
        <v>WorldCat Record</v>
      </c>
      <c r="AU296" s="3" t="s">
        <v>3851</v>
      </c>
      <c r="AV296" s="3" t="s">
        <v>3852</v>
      </c>
      <c r="AW296" s="3" t="s">
        <v>3853</v>
      </c>
      <c r="AX296" s="3" t="s">
        <v>3853</v>
      </c>
      <c r="AY296" s="3" t="s">
        <v>3854</v>
      </c>
      <c r="AZ296" s="3" t="s">
        <v>74</v>
      </c>
      <c r="BB296" s="3" t="s">
        <v>3855</v>
      </c>
      <c r="BC296" s="3" t="s">
        <v>3856</v>
      </c>
      <c r="BD296" s="3" t="s">
        <v>3857</v>
      </c>
    </row>
    <row r="297" spans="1:56" ht="34.5" customHeight="1" x14ac:dyDescent="0.25">
      <c r="A297" s="7" t="s">
        <v>58</v>
      </c>
      <c r="B297" s="2" t="s">
        <v>3858</v>
      </c>
      <c r="C297" s="2" t="s">
        <v>3859</v>
      </c>
      <c r="D297" s="2" t="s">
        <v>3860</v>
      </c>
      <c r="F297" s="3" t="s">
        <v>58</v>
      </c>
      <c r="G297" s="3" t="s">
        <v>59</v>
      </c>
      <c r="H297" s="3" t="s">
        <v>58</v>
      </c>
      <c r="I297" s="3" t="s">
        <v>58</v>
      </c>
      <c r="J297" s="3" t="s">
        <v>60</v>
      </c>
      <c r="K297" s="2" t="s">
        <v>3861</v>
      </c>
      <c r="L297" s="2" t="s">
        <v>3862</v>
      </c>
      <c r="M297" s="3" t="s">
        <v>712</v>
      </c>
      <c r="O297" s="3" t="s">
        <v>64</v>
      </c>
      <c r="P297" s="3" t="s">
        <v>65</v>
      </c>
      <c r="Q297" s="2" t="s">
        <v>3863</v>
      </c>
      <c r="R297" s="3" t="s">
        <v>66</v>
      </c>
      <c r="S297" s="4">
        <v>2</v>
      </c>
      <c r="T297" s="4">
        <v>2</v>
      </c>
      <c r="U297" s="5" t="s">
        <v>3864</v>
      </c>
      <c r="V297" s="5" t="s">
        <v>3864</v>
      </c>
      <c r="W297" s="5" t="s">
        <v>3865</v>
      </c>
      <c r="X297" s="5" t="s">
        <v>3865</v>
      </c>
      <c r="Y297" s="4">
        <v>1044</v>
      </c>
      <c r="Z297" s="4">
        <v>933</v>
      </c>
      <c r="AA297" s="4">
        <v>939</v>
      </c>
      <c r="AB297" s="4">
        <v>8</v>
      </c>
      <c r="AC297" s="4">
        <v>8</v>
      </c>
      <c r="AD297" s="4">
        <v>35</v>
      </c>
      <c r="AE297" s="4">
        <v>35</v>
      </c>
      <c r="AF297" s="4">
        <v>15</v>
      </c>
      <c r="AG297" s="4">
        <v>15</v>
      </c>
      <c r="AH297" s="4">
        <v>4</v>
      </c>
      <c r="AI297" s="4">
        <v>4</v>
      </c>
      <c r="AJ297" s="4">
        <v>14</v>
      </c>
      <c r="AK297" s="4">
        <v>14</v>
      </c>
      <c r="AL297" s="4">
        <v>7</v>
      </c>
      <c r="AM297" s="4">
        <v>7</v>
      </c>
      <c r="AN297" s="4">
        <v>0</v>
      </c>
      <c r="AO297" s="4">
        <v>0</v>
      </c>
      <c r="AP297" s="3" t="s">
        <v>58</v>
      </c>
      <c r="AQ297" s="3" t="s">
        <v>69</v>
      </c>
      <c r="AR297" s="6" t="str">
        <f>HYPERLINK("http://catalog.hathitrust.org/Record/000451893","HathiTrust Record")</f>
        <v>HathiTrust Record</v>
      </c>
      <c r="AS297" s="6" t="str">
        <f>HYPERLINK("https://creighton-primo.hosted.exlibrisgroup.com/primo-explore/search?tab=default_tab&amp;search_scope=EVERYTHING&amp;vid=01CRU&amp;lang=en_US&amp;offset=0&amp;query=any,contains,991002672579702656","Catalog Record")</f>
        <v>Catalog Record</v>
      </c>
      <c r="AT297" s="6" t="str">
        <f>HYPERLINK("http://www.worldcat.org/oclc/395722","WorldCat Record")</f>
        <v>WorldCat Record</v>
      </c>
      <c r="AU297" s="3" t="s">
        <v>3866</v>
      </c>
      <c r="AV297" s="3" t="s">
        <v>3867</v>
      </c>
      <c r="AW297" s="3" t="s">
        <v>3868</v>
      </c>
      <c r="AX297" s="3" t="s">
        <v>3868</v>
      </c>
      <c r="AY297" s="3" t="s">
        <v>3869</v>
      </c>
      <c r="AZ297" s="3" t="s">
        <v>74</v>
      </c>
      <c r="BB297" s="3" t="s">
        <v>3870</v>
      </c>
      <c r="BC297" s="3" t="s">
        <v>3871</v>
      </c>
      <c r="BD297" s="3" t="s">
        <v>3872</v>
      </c>
    </row>
    <row r="298" spans="1:56" ht="34.5" customHeight="1" x14ac:dyDescent="0.25">
      <c r="A298" s="7" t="s">
        <v>58</v>
      </c>
      <c r="B298" s="2" t="s">
        <v>3873</v>
      </c>
      <c r="C298" s="2" t="s">
        <v>3874</v>
      </c>
      <c r="D298" s="2" t="s">
        <v>3875</v>
      </c>
      <c r="F298" s="3" t="s">
        <v>58</v>
      </c>
      <c r="G298" s="3" t="s">
        <v>59</v>
      </c>
      <c r="H298" s="3" t="s">
        <v>58</v>
      </c>
      <c r="I298" s="3" t="s">
        <v>58</v>
      </c>
      <c r="J298" s="3" t="s">
        <v>60</v>
      </c>
      <c r="K298" s="2" t="s">
        <v>3876</v>
      </c>
      <c r="L298" s="2" t="s">
        <v>3877</v>
      </c>
      <c r="M298" s="3" t="s">
        <v>550</v>
      </c>
      <c r="N298" s="2" t="s">
        <v>1317</v>
      </c>
      <c r="O298" s="3" t="s">
        <v>64</v>
      </c>
      <c r="P298" s="3" t="s">
        <v>147</v>
      </c>
      <c r="R298" s="3" t="s">
        <v>66</v>
      </c>
      <c r="S298" s="4">
        <v>3</v>
      </c>
      <c r="T298" s="4">
        <v>3</v>
      </c>
      <c r="U298" s="5" t="s">
        <v>3878</v>
      </c>
      <c r="V298" s="5" t="s">
        <v>3878</v>
      </c>
      <c r="W298" s="5" t="s">
        <v>3879</v>
      </c>
      <c r="X298" s="5" t="s">
        <v>3879</v>
      </c>
      <c r="Y298" s="4">
        <v>606</v>
      </c>
      <c r="Z298" s="4">
        <v>518</v>
      </c>
      <c r="AA298" s="4">
        <v>1116</v>
      </c>
      <c r="AB298" s="4">
        <v>7</v>
      </c>
      <c r="AC298" s="4">
        <v>11</v>
      </c>
      <c r="AD298" s="4">
        <v>21</v>
      </c>
      <c r="AE298" s="4">
        <v>37</v>
      </c>
      <c r="AF298" s="4">
        <v>8</v>
      </c>
      <c r="AG298" s="4">
        <v>16</v>
      </c>
      <c r="AH298" s="4">
        <v>5</v>
      </c>
      <c r="AI298" s="4">
        <v>8</v>
      </c>
      <c r="AJ298" s="4">
        <v>7</v>
      </c>
      <c r="AK298" s="4">
        <v>14</v>
      </c>
      <c r="AL298" s="4">
        <v>4</v>
      </c>
      <c r="AM298" s="4">
        <v>7</v>
      </c>
      <c r="AN298" s="4">
        <v>0</v>
      </c>
      <c r="AO298" s="4">
        <v>0</v>
      </c>
      <c r="AP298" s="3" t="s">
        <v>58</v>
      </c>
      <c r="AQ298" s="3" t="s">
        <v>58</v>
      </c>
      <c r="AS298" s="6" t="str">
        <f>HYPERLINK("https://creighton-primo.hosted.exlibrisgroup.com/primo-explore/search?tab=default_tab&amp;search_scope=EVERYTHING&amp;vid=01CRU&amp;lang=en_US&amp;offset=0&amp;query=any,contains,991002765599702656","Catalog Record")</f>
        <v>Catalog Record</v>
      </c>
      <c r="AT298" s="6" t="str">
        <f>HYPERLINK("http://www.worldcat.org/oclc/433358","WorldCat Record")</f>
        <v>WorldCat Record</v>
      </c>
      <c r="AU298" s="3" t="s">
        <v>3880</v>
      </c>
      <c r="AV298" s="3" t="s">
        <v>3881</v>
      </c>
      <c r="AW298" s="3" t="s">
        <v>3882</v>
      </c>
      <c r="AX298" s="3" t="s">
        <v>3882</v>
      </c>
      <c r="AY298" s="3" t="s">
        <v>3883</v>
      </c>
      <c r="AZ298" s="3" t="s">
        <v>74</v>
      </c>
      <c r="BC298" s="3" t="s">
        <v>3884</v>
      </c>
      <c r="BD298" s="3" t="s">
        <v>3885</v>
      </c>
    </row>
    <row r="299" spans="1:56" ht="34.5" customHeight="1" x14ac:dyDescent="0.25">
      <c r="A299" s="7" t="s">
        <v>58</v>
      </c>
      <c r="B299" s="2" t="s">
        <v>3886</v>
      </c>
      <c r="C299" s="2" t="s">
        <v>3887</v>
      </c>
      <c r="D299" s="2" t="s">
        <v>3888</v>
      </c>
      <c r="F299" s="3" t="s">
        <v>58</v>
      </c>
      <c r="G299" s="3" t="s">
        <v>59</v>
      </c>
      <c r="H299" s="3" t="s">
        <v>58</v>
      </c>
      <c r="I299" s="3" t="s">
        <v>58</v>
      </c>
      <c r="J299" s="3" t="s">
        <v>60</v>
      </c>
      <c r="K299" s="2" t="s">
        <v>2332</v>
      </c>
      <c r="L299" s="2" t="s">
        <v>1722</v>
      </c>
      <c r="M299" s="3" t="s">
        <v>1234</v>
      </c>
      <c r="O299" s="3" t="s">
        <v>64</v>
      </c>
      <c r="P299" s="3" t="s">
        <v>65</v>
      </c>
      <c r="Q299" s="2" t="s">
        <v>3889</v>
      </c>
      <c r="R299" s="3" t="s">
        <v>66</v>
      </c>
      <c r="S299" s="4">
        <v>3</v>
      </c>
      <c r="T299" s="4">
        <v>3</v>
      </c>
      <c r="U299" s="5" t="s">
        <v>3878</v>
      </c>
      <c r="V299" s="5" t="s">
        <v>3878</v>
      </c>
      <c r="W299" s="5" t="s">
        <v>68</v>
      </c>
      <c r="X299" s="5" t="s">
        <v>68</v>
      </c>
      <c r="Y299" s="4">
        <v>925</v>
      </c>
      <c r="Z299" s="4">
        <v>829</v>
      </c>
      <c r="AA299" s="4">
        <v>839</v>
      </c>
      <c r="AB299" s="4">
        <v>7</v>
      </c>
      <c r="AC299" s="4">
        <v>7</v>
      </c>
      <c r="AD299" s="4">
        <v>25</v>
      </c>
      <c r="AE299" s="4">
        <v>25</v>
      </c>
      <c r="AF299" s="4">
        <v>10</v>
      </c>
      <c r="AG299" s="4">
        <v>10</v>
      </c>
      <c r="AH299" s="4">
        <v>3</v>
      </c>
      <c r="AI299" s="4">
        <v>3</v>
      </c>
      <c r="AJ299" s="4">
        <v>10</v>
      </c>
      <c r="AK299" s="4">
        <v>10</v>
      </c>
      <c r="AL299" s="4">
        <v>5</v>
      </c>
      <c r="AM299" s="4">
        <v>5</v>
      </c>
      <c r="AN299" s="4">
        <v>0</v>
      </c>
      <c r="AO299" s="4">
        <v>0</v>
      </c>
      <c r="AP299" s="3" t="s">
        <v>69</v>
      </c>
      <c r="AQ299" s="3" t="s">
        <v>58</v>
      </c>
      <c r="AR299" s="6" t="str">
        <f>HYPERLINK("http://catalog.hathitrust.org/Record/000603774","HathiTrust Record")</f>
        <v>HathiTrust Record</v>
      </c>
      <c r="AS299" s="6" t="str">
        <f>HYPERLINK("https://creighton-primo.hosted.exlibrisgroup.com/primo-explore/search?tab=default_tab&amp;search_scope=EVERYTHING&amp;vid=01CRU&amp;lang=en_US&amp;offset=0&amp;query=any,contains,991003300409702656","Catalog Record")</f>
        <v>Catalog Record</v>
      </c>
      <c r="AT299" s="6" t="str">
        <f>HYPERLINK("http://www.worldcat.org/oclc/823440","WorldCat Record")</f>
        <v>WorldCat Record</v>
      </c>
      <c r="AU299" s="3" t="s">
        <v>3890</v>
      </c>
      <c r="AV299" s="3" t="s">
        <v>3891</v>
      </c>
      <c r="AW299" s="3" t="s">
        <v>3892</v>
      </c>
      <c r="AX299" s="3" t="s">
        <v>3892</v>
      </c>
      <c r="AY299" s="3" t="s">
        <v>3893</v>
      </c>
      <c r="AZ299" s="3" t="s">
        <v>74</v>
      </c>
      <c r="BC299" s="3" t="s">
        <v>3894</v>
      </c>
      <c r="BD299" s="3" t="s">
        <v>3895</v>
      </c>
    </row>
    <row r="300" spans="1:56" ht="34.5" customHeight="1" x14ac:dyDescent="0.25">
      <c r="A300" s="7" t="s">
        <v>58</v>
      </c>
      <c r="B300" s="2" t="s">
        <v>3896</v>
      </c>
      <c r="C300" s="2" t="s">
        <v>3897</v>
      </c>
      <c r="D300" s="2" t="s">
        <v>3898</v>
      </c>
      <c r="F300" s="3" t="s">
        <v>58</v>
      </c>
      <c r="G300" s="3" t="s">
        <v>59</v>
      </c>
      <c r="H300" s="3" t="s">
        <v>58</v>
      </c>
      <c r="I300" s="3" t="s">
        <v>58</v>
      </c>
      <c r="J300" s="3" t="s">
        <v>60</v>
      </c>
      <c r="K300" s="2" t="s">
        <v>3899</v>
      </c>
      <c r="L300" s="2" t="s">
        <v>3900</v>
      </c>
      <c r="M300" s="3" t="s">
        <v>579</v>
      </c>
      <c r="O300" s="3" t="s">
        <v>64</v>
      </c>
      <c r="P300" s="3" t="s">
        <v>65</v>
      </c>
      <c r="R300" s="3" t="s">
        <v>66</v>
      </c>
      <c r="S300" s="4">
        <v>5</v>
      </c>
      <c r="T300" s="4">
        <v>5</v>
      </c>
      <c r="U300" s="5" t="s">
        <v>3901</v>
      </c>
      <c r="V300" s="5" t="s">
        <v>3901</v>
      </c>
      <c r="W300" s="5" t="s">
        <v>68</v>
      </c>
      <c r="X300" s="5" t="s">
        <v>68</v>
      </c>
      <c r="Y300" s="4">
        <v>512</v>
      </c>
      <c r="Z300" s="4">
        <v>464</v>
      </c>
      <c r="AA300" s="4">
        <v>477</v>
      </c>
      <c r="AB300" s="4">
        <v>4</v>
      </c>
      <c r="AC300" s="4">
        <v>4</v>
      </c>
      <c r="AD300" s="4">
        <v>17</v>
      </c>
      <c r="AE300" s="4">
        <v>18</v>
      </c>
      <c r="AF300" s="4">
        <v>3</v>
      </c>
      <c r="AG300" s="4">
        <v>3</v>
      </c>
      <c r="AH300" s="4">
        <v>5</v>
      </c>
      <c r="AI300" s="4">
        <v>5</v>
      </c>
      <c r="AJ300" s="4">
        <v>8</v>
      </c>
      <c r="AK300" s="4">
        <v>9</v>
      </c>
      <c r="AL300" s="4">
        <v>3</v>
      </c>
      <c r="AM300" s="4">
        <v>3</v>
      </c>
      <c r="AN300" s="4">
        <v>0</v>
      </c>
      <c r="AO300" s="4">
        <v>0</v>
      </c>
      <c r="AP300" s="3" t="s">
        <v>58</v>
      </c>
      <c r="AQ300" s="3" t="s">
        <v>58</v>
      </c>
      <c r="AS300" s="6" t="str">
        <f>HYPERLINK("https://creighton-primo.hosted.exlibrisgroup.com/primo-explore/search?tab=default_tab&amp;search_scope=EVERYTHING&amp;vid=01CRU&amp;lang=en_US&amp;offset=0&amp;query=any,contains,991002594649702656","Catalog Record")</f>
        <v>Catalog Record</v>
      </c>
      <c r="AT300" s="6" t="str">
        <f>HYPERLINK("http://www.worldcat.org/oclc/376598","WorldCat Record")</f>
        <v>WorldCat Record</v>
      </c>
      <c r="AU300" s="3" t="s">
        <v>3902</v>
      </c>
      <c r="AV300" s="3" t="s">
        <v>3903</v>
      </c>
      <c r="AW300" s="3" t="s">
        <v>3904</v>
      </c>
      <c r="AX300" s="3" t="s">
        <v>3904</v>
      </c>
      <c r="AY300" s="3" t="s">
        <v>3905</v>
      </c>
      <c r="AZ300" s="3" t="s">
        <v>74</v>
      </c>
      <c r="BC300" s="3" t="s">
        <v>3906</v>
      </c>
      <c r="BD300" s="3" t="s">
        <v>3907</v>
      </c>
    </row>
    <row r="301" spans="1:56" ht="34.5" customHeight="1" x14ac:dyDescent="0.25">
      <c r="A301" s="7" t="s">
        <v>58</v>
      </c>
      <c r="B301" s="2" t="s">
        <v>3908</v>
      </c>
      <c r="C301" s="2" t="s">
        <v>3909</v>
      </c>
      <c r="D301" s="2" t="s">
        <v>3910</v>
      </c>
      <c r="F301" s="3" t="s">
        <v>58</v>
      </c>
      <c r="G301" s="3" t="s">
        <v>59</v>
      </c>
      <c r="H301" s="3" t="s">
        <v>58</v>
      </c>
      <c r="I301" s="3" t="s">
        <v>58</v>
      </c>
      <c r="J301" s="3" t="s">
        <v>60</v>
      </c>
      <c r="K301" s="2" t="s">
        <v>3911</v>
      </c>
      <c r="L301" s="2" t="s">
        <v>3912</v>
      </c>
      <c r="M301" s="3" t="s">
        <v>739</v>
      </c>
      <c r="O301" s="3" t="s">
        <v>64</v>
      </c>
      <c r="P301" s="3" t="s">
        <v>65</v>
      </c>
      <c r="R301" s="3" t="s">
        <v>66</v>
      </c>
      <c r="S301" s="4">
        <v>6</v>
      </c>
      <c r="T301" s="4">
        <v>6</v>
      </c>
      <c r="U301" s="5" t="s">
        <v>3913</v>
      </c>
      <c r="V301" s="5" t="s">
        <v>3913</v>
      </c>
      <c r="W301" s="5" t="s">
        <v>2732</v>
      </c>
      <c r="X301" s="5" t="s">
        <v>2732</v>
      </c>
      <c r="Y301" s="4">
        <v>324</v>
      </c>
      <c r="Z301" s="4">
        <v>281</v>
      </c>
      <c r="AA301" s="4">
        <v>283</v>
      </c>
      <c r="AB301" s="4">
        <v>2</v>
      </c>
      <c r="AC301" s="4">
        <v>2</v>
      </c>
      <c r="AD301" s="4">
        <v>8</v>
      </c>
      <c r="AE301" s="4">
        <v>8</v>
      </c>
      <c r="AF301" s="4">
        <v>2</v>
      </c>
      <c r="AG301" s="4">
        <v>2</v>
      </c>
      <c r="AH301" s="4">
        <v>3</v>
      </c>
      <c r="AI301" s="4">
        <v>3</v>
      </c>
      <c r="AJ301" s="4">
        <v>3</v>
      </c>
      <c r="AK301" s="4">
        <v>3</v>
      </c>
      <c r="AL301" s="4">
        <v>1</v>
      </c>
      <c r="AM301" s="4">
        <v>1</v>
      </c>
      <c r="AN301" s="4">
        <v>0</v>
      </c>
      <c r="AO301" s="4">
        <v>0</v>
      </c>
      <c r="AP301" s="3" t="s">
        <v>58</v>
      </c>
      <c r="AQ301" s="3" t="s">
        <v>69</v>
      </c>
      <c r="AR301" s="6" t="str">
        <f>HYPERLINK("http://catalog.hathitrust.org/Record/001829893","HathiTrust Record")</f>
        <v>HathiTrust Record</v>
      </c>
      <c r="AS301" s="6" t="str">
        <f>HYPERLINK("https://creighton-primo.hosted.exlibrisgroup.com/primo-explore/search?tab=default_tab&amp;search_scope=EVERYTHING&amp;vid=01CRU&amp;lang=en_US&amp;offset=0&amp;query=any,contains,991001440129702656","Catalog Record")</f>
        <v>Catalog Record</v>
      </c>
      <c r="AT301" s="6" t="str">
        <f>HYPERLINK("http://www.worldcat.org/oclc/19223276","WorldCat Record")</f>
        <v>WorldCat Record</v>
      </c>
      <c r="AU301" s="3" t="s">
        <v>3914</v>
      </c>
      <c r="AV301" s="3" t="s">
        <v>3915</v>
      </c>
      <c r="AW301" s="3" t="s">
        <v>3916</v>
      </c>
      <c r="AX301" s="3" t="s">
        <v>3916</v>
      </c>
      <c r="AY301" s="3" t="s">
        <v>3917</v>
      </c>
      <c r="AZ301" s="3" t="s">
        <v>74</v>
      </c>
      <c r="BB301" s="3" t="s">
        <v>3918</v>
      </c>
      <c r="BC301" s="3" t="s">
        <v>3919</v>
      </c>
      <c r="BD301" s="3" t="s">
        <v>3920</v>
      </c>
    </row>
    <row r="302" spans="1:56" ht="34.5" customHeight="1" x14ac:dyDescent="0.25">
      <c r="A302" s="7" t="s">
        <v>58</v>
      </c>
      <c r="B302" s="2" t="s">
        <v>3921</v>
      </c>
      <c r="C302" s="2" t="s">
        <v>3922</v>
      </c>
      <c r="D302" s="2" t="s">
        <v>3923</v>
      </c>
      <c r="F302" s="3" t="s">
        <v>58</v>
      </c>
      <c r="G302" s="3" t="s">
        <v>59</v>
      </c>
      <c r="H302" s="3" t="s">
        <v>58</v>
      </c>
      <c r="I302" s="3" t="s">
        <v>58</v>
      </c>
      <c r="J302" s="3" t="s">
        <v>60</v>
      </c>
      <c r="K302" s="2" t="s">
        <v>3924</v>
      </c>
      <c r="L302" s="2" t="s">
        <v>3925</v>
      </c>
      <c r="M302" s="3" t="s">
        <v>739</v>
      </c>
      <c r="O302" s="3" t="s">
        <v>64</v>
      </c>
      <c r="P302" s="3" t="s">
        <v>65</v>
      </c>
      <c r="R302" s="3" t="s">
        <v>66</v>
      </c>
      <c r="S302" s="4">
        <v>6</v>
      </c>
      <c r="T302" s="4">
        <v>6</v>
      </c>
      <c r="U302" s="5" t="s">
        <v>3926</v>
      </c>
      <c r="V302" s="5" t="s">
        <v>3926</v>
      </c>
      <c r="W302" s="5" t="s">
        <v>3326</v>
      </c>
      <c r="X302" s="5" t="s">
        <v>3326</v>
      </c>
      <c r="Y302" s="4">
        <v>776</v>
      </c>
      <c r="Z302" s="4">
        <v>738</v>
      </c>
      <c r="AA302" s="4">
        <v>746</v>
      </c>
      <c r="AB302" s="4">
        <v>2</v>
      </c>
      <c r="AC302" s="4">
        <v>2</v>
      </c>
      <c r="AD302" s="4">
        <v>19</v>
      </c>
      <c r="AE302" s="4">
        <v>19</v>
      </c>
      <c r="AF302" s="4">
        <v>9</v>
      </c>
      <c r="AG302" s="4">
        <v>9</v>
      </c>
      <c r="AH302" s="4">
        <v>3</v>
      </c>
      <c r="AI302" s="4">
        <v>3</v>
      </c>
      <c r="AJ302" s="4">
        <v>9</v>
      </c>
      <c r="AK302" s="4">
        <v>9</v>
      </c>
      <c r="AL302" s="4">
        <v>1</v>
      </c>
      <c r="AM302" s="4">
        <v>1</v>
      </c>
      <c r="AN302" s="4">
        <v>0</v>
      </c>
      <c r="AO302" s="4">
        <v>0</v>
      </c>
      <c r="AP302" s="3" t="s">
        <v>58</v>
      </c>
      <c r="AQ302" s="3" t="s">
        <v>69</v>
      </c>
      <c r="AR302" s="6" t="str">
        <f>HYPERLINK("http://catalog.hathitrust.org/Record/001823421","HathiTrust Record")</f>
        <v>HathiTrust Record</v>
      </c>
      <c r="AS302" s="6" t="str">
        <f>HYPERLINK("https://creighton-primo.hosted.exlibrisgroup.com/primo-explore/search?tab=default_tab&amp;search_scope=EVERYTHING&amp;vid=01CRU&amp;lang=en_US&amp;offset=0&amp;query=any,contains,991001506769702656","Catalog Record")</f>
        <v>Catalog Record</v>
      </c>
      <c r="AT302" s="6" t="str">
        <f>HYPERLINK("http://www.worldcat.org/oclc/19846586","WorldCat Record")</f>
        <v>WorldCat Record</v>
      </c>
      <c r="AU302" s="3" t="s">
        <v>3927</v>
      </c>
      <c r="AV302" s="3" t="s">
        <v>3928</v>
      </c>
      <c r="AW302" s="3" t="s">
        <v>3929</v>
      </c>
      <c r="AX302" s="3" t="s">
        <v>3929</v>
      </c>
      <c r="AY302" s="3" t="s">
        <v>3930</v>
      </c>
      <c r="AZ302" s="3" t="s">
        <v>74</v>
      </c>
      <c r="BB302" s="3" t="s">
        <v>3931</v>
      </c>
      <c r="BC302" s="3" t="s">
        <v>3932</v>
      </c>
      <c r="BD302" s="3" t="s">
        <v>3933</v>
      </c>
    </row>
    <row r="303" spans="1:56" ht="34.5" customHeight="1" x14ac:dyDescent="0.25">
      <c r="A303" s="7" t="s">
        <v>58</v>
      </c>
      <c r="B303" s="2" t="s">
        <v>3934</v>
      </c>
      <c r="C303" s="2" t="s">
        <v>3935</v>
      </c>
      <c r="D303" s="2" t="s">
        <v>3936</v>
      </c>
      <c r="F303" s="3" t="s">
        <v>58</v>
      </c>
      <c r="G303" s="3" t="s">
        <v>59</v>
      </c>
      <c r="H303" s="3" t="s">
        <v>58</v>
      </c>
      <c r="I303" s="3" t="s">
        <v>58</v>
      </c>
      <c r="J303" s="3" t="s">
        <v>60</v>
      </c>
      <c r="K303" s="2" t="s">
        <v>3937</v>
      </c>
      <c r="L303" s="2" t="s">
        <v>3938</v>
      </c>
      <c r="M303" s="3" t="s">
        <v>176</v>
      </c>
      <c r="O303" s="3" t="s">
        <v>64</v>
      </c>
      <c r="P303" s="3" t="s">
        <v>65</v>
      </c>
      <c r="R303" s="3" t="s">
        <v>66</v>
      </c>
      <c r="S303" s="4">
        <v>11</v>
      </c>
      <c r="T303" s="4">
        <v>11</v>
      </c>
      <c r="U303" s="5" t="s">
        <v>2084</v>
      </c>
      <c r="V303" s="5" t="s">
        <v>2084</v>
      </c>
      <c r="W303" s="5" t="s">
        <v>102</v>
      </c>
      <c r="X303" s="5" t="s">
        <v>102</v>
      </c>
      <c r="Y303" s="4">
        <v>1590</v>
      </c>
      <c r="Z303" s="4">
        <v>1508</v>
      </c>
      <c r="AA303" s="4">
        <v>1674</v>
      </c>
      <c r="AB303" s="4">
        <v>11</v>
      </c>
      <c r="AC303" s="4">
        <v>11</v>
      </c>
      <c r="AD303" s="4">
        <v>31</v>
      </c>
      <c r="AE303" s="4">
        <v>35</v>
      </c>
      <c r="AF303" s="4">
        <v>14</v>
      </c>
      <c r="AG303" s="4">
        <v>15</v>
      </c>
      <c r="AH303" s="4">
        <v>6</v>
      </c>
      <c r="AI303" s="4">
        <v>8</v>
      </c>
      <c r="AJ303" s="4">
        <v>14</v>
      </c>
      <c r="AK303" s="4">
        <v>16</v>
      </c>
      <c r="AL303" s="4">
        <v>6</v>
      </c>
      <c r="AM303" s="4">
        <v>6</v>
      </c>
      <c r="AN303" s="4">
        <v>0</v>
      </c>
      <c r="AO303" s="4">
        <v>0</v>
      </c>
      <c r="AP303" s="3" t="s">
        <v>58</v>
      </c>
      <c r="AQ303" s="3" t="s">
        <v>69</v>
      </c>
      <c r="AR303" s="6" t="str">
        <f>HYPERLINK("http://catalog.hathitrust.org/Record/000877446","HathiTrust Record")</f>
        <v>HathiTrust Record</v>
      </c>
      <c r="AS303" s="6" t="str">
        <f>HYPERLINK("https://creighton-primo.hosted.exlibrisgroup.com/primo-explore/search?tab=default_tab&amp;search_scope=EVERYTHING&amp;vid=01CRU&amp;lang=en_US&amp;offset=0&amp;query=any,contains,991001065389702656","Catalog Record")</f>
        <v>Catalog Record</v>
      </c>
      <c r="AT303" s="6" t="str">
        <f>HYPERLINK("http://www.worldcat.org/oclc/15793181","WorldCat Record")</f>
        <v>WorldCat Record</v>
      </c>
      <c r="AU303" s="3" t="s">
        <v>3939</v>
      </c>
      <c r="AV303" s="3" t="s">
        <v>3940</v>
      </c>
      <c r="AW303" s="3" t="s">
        <v>3941</v>
      </c>
      <c r="AX303" s="3" t="s">
        <v>3941</v>
      </c>
      <c r="AY303" s="3" t="s">
        <v>3942</v>
      </c>
      <c r="AZ303" s="3" t="s">
        <v>74</v>
      </c>
      <c r="BB303" s="3" t="s">
        <v>3943</v>
      </c>
      <c r="BC303" s="3" t="s">
        <v>3944</v>
      </c>
      <c r="BD303" s="3" t="s">
        <v>3945</v>
      </c>
    </row>
    <row r="304" spans="1:56" ht="34.5" customHeight="1" x14ac:dyDescent="0.25">
      <c r="A304" s="7" t="s">
        <v>58</v>
      </c>
      <c r="B304" s="2" t="s">
        <v>3946</v>
      </c>
      <c r="C304" s="2" t="s">
        <v>3947</v>
      </c>
      <c r="D304" s="2" t="s">
        <v>3948</v>
      </c>
      <c r="F304" s="3" t="s">
        <v>58</v>
      </c>
      <c r="G304" s="3" t="s">
        <v>59</v>
      </c>
      <c r="H304" s="3" t="s">
        <v>58</v>
      </c>
      <c r="I304" s="3" t="s">
        <v>58</v>
      </c>
      <c r="J304" s="3" t="s">
        <v>60</v>
      </c>
      <c r="K304" s="2" t="s">
        <v>3949</v>
      </c>
      <c r="L304" s="2" t="s">
        <v>3950</v>
      </c>
      <c r="M304" s="3" t="s">
        <v>224</v>
      </c>
      <c r="O304" s="3" t="s">
        <v>64</v>
      </c>
      <c r="P304" s="3" t="s">
        <v>252</v>
      </c>
      <c r="R304" s="3" t="s">
        <v>66</v>
      </c>
      <c r="S304" s="4">
        <v>2</v>
      </c>
      <c r="T304" s="4">
        <v>2</v>
      </c>
      <c r="U304" s="5" t="s">
        <v>3951</v>
      </c>
      <c r="V304" s="5" t="s">
        <v>3951</v>
      </c>
      <c r="W304" s="5" t="s">
        <v>102</v>
      </c>
      <c r="X304" s="5" t="s">
        <v>102</v>
      </c>
      <c r="Y304" s="4">
        <v>865</v>
      </c>
      <c r="Z304" s="4">
        <v>737</v>
      </c>
      <c r="AA304" s="4">
        <v>742</v>
      </c>
      <c r="AB304" s="4">
        <v>2</v>
      </c>
      <c r="AC304" s="4">
        <v>2</v>
      </c>
      <c r="AD304" s="4">
        <v>20</v>
      </c>
      <c r="AE304" s="4">
        <v>20</v>
      </c>
      <c r="AF304" s="4">
        <v>11</v>
      </c>
      <c r="AG304" s="4">
        <v>11</v>
      </c>
      <c r="AH304" s="4">
        <v>3</v>
      </c>
      <c r="AI304" s="4">
        <v>3</v>
      </c>
      <c r="AJ304" s="4">
        <v>7</v>
      </c>
      <c r="AK304" s="4">
        <v>7</v>
      </c>
      <c r="AL304" s="4">
        <v>1</v>
      </c>
      <c r="AM304" s="4">
        <v>1</v>
      </c>
      <c r="AN304" s="4">
        <v>0</v>
      </c>
      <c r="AO304" s="4">
        <v>0</v>
      </c>
      <c r="AP304" s="3" t="s">
        <v>58</v>
      </c>
      <c r="AQ304" s="3" t="s">
        <v>58</v>
      </c>
      <c r="AS304" s="6" t="str">
        <f>HYPERLINK("https://creighton-primo.hosted.exlibrisgroup.com/primo-explore/search?tab=default_tab&amp;search_scope=EVERYTHING&amp;vid=01CRU&amp;lang=en_US&amp;offset=0&amp;query=any,contains,991000209889702656","Catalog Record")</f>
        <v>Catalog Record</v>
      </c>
      <c r="AT304" s="6" t="str">
        <f>HYPERLINK("http://www.worldcat.org/oclc/9533407","WorldCat Record")</f>
        <v>WorldCat Record</v>
      </c>
      <c r="AU304" s="3" t="s">
        <v>3952</v>
      </c>
      <c r="AV304" s="3" t="s">
        <v>3953</v>
      </c>
      <c r="AW304" s="3" t="s">
        <v>3954</v>
      </c>
      <c r="AX304" s="3" t="s">
        <v>3954</v>
      </c>
      <c r="AY304" s="3" t="s">
        <v>3955</v>
      </c>
      <c r="AZ304" s="3" t="s">
        <v>74</v>
      </c>
      <c r="BB304" s="3" t="s">
        <v>3956</v>
      </c>
      <c r="BC304" s="3" t="s">
        <v>3957</v>
      </c>
      <c r="BD304" s="3" t="s">
        <v>3958</v>
      </c>
    </row>
    <row r="305" spans="1:56" ht="34.5" customHeight="1" x14ac:dyDescent="0.25">
      <c r="A305" s="7" t="s">
        <v>58</v>
      </c>
      <c r="B305" s="2" t="s">
        <v>3959</v>
      </c>
      <c r="C305" s="2" t="s">
        <v>3960</v>
      </c>
      <c r="D305" s="2" t="s">
        <v>3961</v>
      </c>
      <c r="F305" s="3" t="s">
        <v>58</v>
      </c>
      <c r="G305" s="3" t="s">
        <v>59</v>
      </c>
      <c r="H305" s="3" t="s">
        <v>58</v>
      </c>
      <c r="I305" s="3" t="s">
        <v>58</v>
      </c>
      <c r="J305" s="3" t="s">
        <v>60</v>
      </c>
      <c r="K305" s="2" t="s">
        <v>1010</v>
      </c>
      <c r="L305" s="2" t="s">
        <v>3962</v>
      </c>
      <c r="M305" s="3" t="s">
        <v>297</v>
      </c>
      <c r="O305" s="3" t="s">
        <v>64</v>
      </c>
      <c r="P305" s="3" t="s">
        <v>65</v>
      </c>
      <c r="Q305" s="2" t="s">
        <v>298</v>
      </c>
      <c r="R305" s="3" t="s">
        <v>66</v>
      </c>
      <c r="S305" s="4">
        <v>22</v>
      </c>
      <c r="T305" s="4">
        <v>22</v>
      </c>
      <c r="U305" s="5" t="s">
        <v>2084</v>
      </c>
      <c r="V305" s="5" t="s">
        <v>2084</v>
      </c>
      <c r="W305" s="5" t="s">
        <v>3963</v>
      </c>
      <c r="X305" s="5" t="s">
        <v>3963</v>
      </c>
      <c r="Y305" s="4">
        <v>1542</v>
      </c>
      <c r="Z305" s="4">
        <v>1385</v>
      </c>
      <c r="AA305" s="4">
        <v>1405</v>
      </c>
      <c r="AB305" s="4">
        <v>13</v>
      </c>
      <c r="AC305" s="4">
        <v>13</v>
      </c>
      <c r="AD305" s="4">
        <v>43</v>
      </c>
      <c r="AE305" s="4">
        <v>43</v>
      </c>
      <c r="AF305" s="4">
        <v>19</v>
      </c>
      <c r="AG305" s="4">
        <v>19</v>
      </c>
      <c r="AH305" s="4">
        <v>6</v>
      </c>
      <c r="AI305" s="4">
        <v>6</v>
      </c>
      <c r="AJ305" s="4">
        <v>14</v>
      </c>
      <c r="AK305" s="4">
        <v>14</v>
      </c>
      <c r="AL305" s="4">
        <v>9</v>
      </c>
      <c r="AM305" s="4">
        <v>9</v>
      </c>
      <c r="AN305" s="4">
        <v>0</v>
      </c>
      <c r="AO305" s="4">
        <v>0</v>
      </c>
      <c r="AP305" s="3" t="s">
        <v>58</v>
      </c>
      <c r="AQ305" s="3" t="s">
        <v>58</v>
      </c>
      <c r="AR305" s="6" t="str">
        <f>HYPERLINK("http://catalog.hathitrust.org/Record/000451735","HathiTrust Record")</f>
        <v>HathiTrust Record</v>
      </c>
      <c r="AS305" s="6" t="str">
        <f>HYPERLINK("https://creighton-primo.hosted.exlibrisgroup.com/primo-explore/search?tab=default_tab&amp;search_scope=EVERYTHING&amp;vid=01CRU&amp;lang=en_US&amp;offset=0&amp;query=any,contains,991002904349702656","Catalog Record")</f>
        <v>Catalog Record</v>
      </c>
      <c r="AT305" s="6" t="str">
        <f>HYPERLINK("http://www.worldcat.org/oclc/518770","WorldCat Record")</f>
        <v>WorldCat Record</v>
      </c>
      <c r="AU305" s="3" t="s">
        <v>3964</v>
      </c>
      <c r="AV305" s="3" t="s">
        <v>3965</v>
      </c>
      <c r="AW305" s="3" t="s">
        <v>3966</v>
      </c>
      <c r="AX305" s="3" t="s">
        <v>3966</v>
      </c>
      <c r="AY305" s="3" t="s">
        <v>3967</v>
      </c>
      <c r="AZ305" s="3" t="s">
        <v>74</v>
      </c>
      <c r="BC305" s="3" t="s">
        <v>3968</v>
      </c>
      <c r="BD305" s="3" t="s">
        <v>3969</v>
      </c>
    </row>
    <row r="306" spans="1:56" ht="34.5" customHeight="1" x14ac:dyDescent="0.25">
      <c r="A306" s="7" t="s">
        <v>58</v>
      </c>
      <c r="B306" s="2" t="s">
        <v>3970</v>
      </c>
      <c r="C306" s="2" t="s">
        <v>3971</v>
      </c>
      <c r="D306" s="2" t="s">
        <v>3972</v>
      </c>
      <c r="F306" s="3" t="s">
        <v>58</v>
      </c>
      <c r="G306" s="3" t="s">
        <v>59</v>
      </c>
      <c r="H306" s="3" t="s">
        <v>58</v>
      </c>
      <c r="I306" s="3" t="s">
        <v>58</v>
      </c>
      <c r="J306" s="3" t="s">
        <v>60</v>
      </c>
      <c r="K306" s="2" t="s">
        <v>3973</v>
      </c>
      <c r="L306" s="2" t="s">
        <v>3974</v>
      </c>
      <c r="M306" s="3" t="s">
        <v>983</v>
      </c>
      <c r="O306" s="3" t="s">
        <v>64</v>
      </c>
      <c r="P306" s="3" t="s">
        <v>65</v>
      </c>
      <c r="R306" s="3" t="s">
        <v>66</v>
      </c>
      <c r="S306" s="4">
        <v>15</v>
      </c>
      <c r="T306" s="4">
        <v>15</v>
      </c>
      <c r="U306" s="5" t="s">
        <v>3975</v>
      </c>
      <c r="V306" s="5" t="s">
        <v>3975</v>
      </c>
      <c r="W306" s="5" t="s">
        <v>3976</v>
      </c>
      <c r="X306" s="5" t="s">
        <v>3976</v>
      </c>
      <c r="Y306" s="4">
        <v>944</v>
      </c>
      <c r="Z306" s="4">
        <v>839</v>
      </c>
      <c r="AA306" s="4">
        <v>1075</v>
      </c>
      <c r="AB306" s="4">
        <v>7</v>
      </c>
      <c r="AC306" s="4">
        <v>7</v>
      </c>
      <c r="AD306" s="4">
        <v>20</v>
      </c>
      <c r="AE306" s="4">
        <v>20</v>
      </c>
      <c r="AF306" s="4">
        <v>5</v>
      </c>
      <c r="AG306" s="4">
        <v>5</v>
      </c>
      <c r="AH306" s="4">
        <v>4</v>
      </c>
      <c r="AI306" s="4">
        <v>4</v>
      </c>
      <c r="AJ306" s="4">
        <v>8</v>
      </c>
      <c r="AK306" s="4">
        <v>8</v>
      </c>
      <c r="AL306" s="4">
        <v>5</v>
      </c>
      <c r="AM306" s="4">
        <v>5</v>
      </c>
      <c r="AN306" s="4">
        <v>0</v>
      </c>
      <c r="AO306" s="4">
        <v>0</v>
      </c>
      <c r="AP306" s="3" t="s">
        <v>58</v>
      </c>
      <c r="AQ306" s="3" t="s">
        <v>69</v>
      </c>
      <c r="AR306" s="6" t="str">
        <f>HYPERLINK("http://catalog.hathitrust.org/Record/000176748","HathiTrust Record")</f>
        <v>HathiTrust Record</v>
      </c>
      <c r="AS306" s="6" t="str">
        <f>HYPERLINK("https://creighton-primo.hosted.exlibrisgroup.com/primo-explore/search?tab=default_tab&amp;search_scope=EVERYTHING&amp;vid=01CRU&amp;lang=en_US&amp;offset=0&amp;query=any,contains,991004566719702656","Catalog Record")</f>
        <v>Catalog Record</v>
      </c>
      <c r="AT306" s="6" t="str">
        <f>HYPERLINK("http://www.worldcat.org/oclc/4004690","WorldCat Record")</f>
        <v>WorldCat Record</v>
      </c>
      <c r="AU306" s="3" t="s">
        <v>3977</v>
      </c>
      <c r="AV306" s="3" t="s">
        <v>3978</v>
      </c>
      <c r="AW306" s="3" t="s">
        <v>3979</v>
      </c>
      <c r="AX306" s="3" t="s">
        <v>3979</v>
      </c>
      <c r="AY306" s="3" t="s">
        <v>3980</v>
      </c>
      <c r="AZ306" s="3" t="s">
        <v>74</v>
      </c>
      <c r="BB306" s="3" t="s">
        <v>3981</v>
      </c>
      <c r="BC306" s="3" t="s">
        <v>3982</v>
      </c>
      <c r="BD306" s="3" t="s">
        <v>3983</v>
      </c>
    </row>
    <row r="307" spans="1:56" ht="34.5" customHeight="1" x14ac:dyDescent="0.25">
      <c r="A307" s="7" t="s">
        <v>58</v>
      </c>
      <c r="B307" s="2" t="s">
        <v>3984</v>
      </c>
      <c r="C307" s="2" t="s">
        <v>3985</v>
      </c>
      <c r="D307" s="2" t="s">
        <v>3986</v>
      </c>
      <c r="F307" s="3" t="s">
        <v>58</v>
      </c>
      <c r="G307" s="3" t="s">
        <v>59</v>
      </c>
      <c r="H307" s="3" t="s">
        <v>58</v>
      </c>
      <c r="I307" s="3" t="s">
        <v>58</v>
      </c>
      <c r="J307" s="3" t="s">
        <v>60</v>
      </c>
      <c r="K307" s="2" t="s">
        <v>3987</v>
      </c>
      <c r="L307" s="2" t="s">
        <v>3988</v>
      </c>
      <c r="M307" s="3" t="s">
        <v>1813</v>
      </c>
      <c r="N307" s="2" t="s">
        <v>657</v>
      </c>
      <c r="O307" s="3" t="s">
        <v>64</v>
      </c>
      <c r="P307" s="3" t="s">
        <v>1708</v>
      </c>
      <c r="R307" s="3" t="s">
        <v>66</v>
      </c>
      <c r="S307" s="4">
        <v>2</v>
      </c>
      <c r="T307" s="4">
        <v>2</v>
      </c>
      <c r="U307" s="5" t="s">
        <v>3989</v>
      </c>
      <c r="V307" s="5" t="s">
        <v>3989</v>
      </c>
      <c r="W307" s="5" t="s">
        <v>754</v>
      </c>
      <c r="X307" s="5" t="s">
        <v>754</v>
      </c>
      <c r="Y307" s="4">
        <v>661</v>
      </c>
      <c r="Z307" s="4">
        <v>530</v>
      </c>
      <c r="AA307" s="4">
        <v>539</v>
      </c>
      <c r="AB307" s="4">
        <v>5</v>
      </c>
      <c r="AC307" s="4">
        <v>5</v>
      </c>
      <c r="AD307" s="4">
        <v>14</v>
      </c>
      <c r="AE307" s="4">
        <v>14</v>
      </c>
      <c r="AF307" s="4">
        <v>7</v>
      </c>
      <c r="AG307" s="4">
        <v>7</v>
      </c>
      <c r="AH307" s="4">
        <v>2</v>
      </c>
      <c r="AI307" s="4">
        <v>2</v>
      </c>
      <c r="AJ307" s="4">
        <v>3</v>
      </c>
      <c r="AK307" s="4">
        <v>3</v>
      </c>
      <c r="AL307" s="4">
        <v>4</v>
      </c>
      <c r="AM307" s="4">
        <v>4</v>
      </c>
      <c r="AN307" s="4">
        <v>0</v>
      </c>
      <c r="AO307" s="4">
        <v>0</v>
      </c>
      <c r="AP307" s="3" t="s">
        <v>58</v>
      </c>
      <c r="AQ307" s="3" t="s">
        <v>69</v>
      </c>
      <c r="AR307" s="6" t="str">
        <f>HYPERLINK("http://catalog.hathitrust.org/Record/000645270","HathiTrust Record")</f>
        <v>HathiTrust Record</v>
      </c>
      <c r="AS307" s="6" t="str">
        <f>HYPERLINK("https://creighton-primo.hosted.exlibrisgroup.com/primo-explore/search?tab=default_tab&amp;search_scope=EVERYTHING&amp;vid=01CRU&amp;lang=en_US&amp;offset=0&amp;query=any,contains,991002608949702656","Catalog Record")</f>
        <v>Catalog Record</v>
      </c>
      <c r="AT307" s="6" t="str">
        <f>HYPERLINK("http://www.worldcat.org/oclc/377495","WorldCat Record")</f>
        <v>WorldCat Record</v>
      </c>
      <c r="AU307" s="3" t="s">
        <v>3990</v>
      </c>
      <c r="AV307" s="3" t="s">
        <v>3991</v>
      </c>
      <c r="AW307" s="3" t="s">
        <v>3992</v>
      </c>
      <c r="AX307" s="3" t="s">
        <v>3992</v>
      </c>
      <c r="AY307" s="3" t="s">
        <v>3993</v>
      </c>
      <c r="AZ307" s="3" t="s">
        <v>74</v>
      </c>
      <c r="BC307" s="3" t="s">
        <v>3994</v>
      </c>
      <c r="BD307" s="3" t="s">
        <v>3995</v>
      </c>
    </row>
    <row r="308" spans="1:56" ht="34.5" customHeight="1" x14ac:dyDescent="0.25">
      <c r="A308" s="7" t="s">
        <v>58</v>
      </c>
      <c r="B308" s="2" t="s">
        <v>3996</v>
      </c>
      <c r="C308" s="2" t="s">
        <v>3997</v>
      </c>
      <c r="D308" s="2" t="s">
        <v>3998</v>
      </c>
      <c r="F308" s="3" t="s">
        <v>58</v>
      </c>
      <c r="G308" s="3" t="s">
        <v>59</v>
      </c>
      <c r="H308" s="3" t="s">
        <v>58</v>
      </c>
      <c r="I308" s="3" t="s">
        <v>58</v>
      </c>
      <c r="J308" s="3" t="s">
        <v>60</v>
      </c>
      <c r="K308" s="2" t="s">
        <v>655</v>
      </c>
      <c r="L308" s="2" t="s">
        <v>3999</v>
      </c>
      <c r="M308" s="3" t="s">
        <v>224</v>
      </c>
      <c r="O308" s="3" t="s">
        <v>64</v>
      </c>
      <c r="P308" s="3" t="s">
        <v>65</v>
      </c>
      <c r="R308" s="3" t="s">
        <v>66</v>
      </c>
      <c r="S308" s="4">
        <v>5</v>
      </c>
      <c r="T308" s="4">
        <v>5</v>
      </c>
      <c r="U308" s="5" t="s">
        <v>3989</v>
      </c>
      <c r="V308" s="5" t="s">
        <v>3989</v>
      </c>
      <c r="W308" s="5" t="s">
        <v>754</v>
      </c>
      <c r="X308" s="5" t="s">
        <v>754</v>
      </c>
      <c r="Y308" s="4">
        <v>332</v>
      </c>
      <c r="Z308" s="4">
        <v>280</v>
      </c>
      <c r="AA308" s="4">
        <v>280</v>
      </c>
      <c r="AB308" s="4">
        <v>2</v>
      </c>
      <c r="AC308" s="4">
        <v>2</v>
      </c>
      <c r="AD308" s="4">
        <v>12</v>
      </c>
      <c r="AE308" s="4">
        <v>12</v>
      </c>
      <c r="AF308" s="4">
        <v>3</v>
      </c>
      <c r="AG308" s="4">
        <v>3</v>
      </c>
      <c r="AH308" s="4">
        <v>4</v>
      </c>
      <c r="AI308" s="4">
        <v>4</v>
      </c>
      <c r="AJ308" s="4">
        <v>7</v>
      </c>
      <c r="AK308" s="4">
        <v>7</v>
      </c>
      <c r="AL308" s="4">
        <v>1</v>
      </c>
      <c r="AM308" s="4">
        <v>1</v>
      </c>
      <c r="AN308" s="4">
        <v>0</v>
      </c>
      <c r="AO308" s="4">
        <v>0</v>
      </c>
      <c r="AP308" s="3" t="s">
        <v>58</v>
      </c>
      <c r="AQ308" s="3" t="s">
        <v>58</v>
      </c>
      <c r="AS308" s="6" t="str">
        <f>HYPERLINK("https://creighton-primo.hosted.exlibrisgroup.com/primo-explore/search?tab=default_tab&amp;search_scope=EVERYTHING&amp;vid=01CRU&amp;lang=en_US&amp;offset=0&amp;query=any,contains,991000134709702656","Catalog Record")</f>
        <v>Catalog Record</v>
      </c>
      <c r="AT308" s="6" t="str">
        <f>HYPERLINK("http://www.worldcat.org/oclc/9131772","WorldCat Record")</f>
        <v>WorldCat Record</v>
      </c>
      <c r="AU308" s="3" t="s">
        <v>4000</v>
      </c>
      <c r="AV308" s="3" t="s">
        <v>4001</v>
      </c>
      <c r="AW308" s="3" t="s">
        <v>4002</v>
      </c>
      <c r="AX308" s="3" t="s">
        <v>4002</v>
      </c>
      <c r="AY308" s="3" t="s">
        <v>4003</v>
      </c>
      <c r="AZ308" s="3" t="s">
        <v>74</v>
      </c>
      <c r="BB308" s="3" t="s">
        <v>4004</v>
      </c>
      <c r="BC308" s="3" t="s">
        <v>4005</v>
      </c>
      <c r="BD308" s="3" t="s">
        <v>4006</v>
      </c>
    </row>
    <row r="309" spans="1:56" ht="34.5" customHeight="1" x14ac:dyDescent="0.25">
      <c r="A309" s="7" t="s">
        <v>58</v>
      </c>
      <c r="B309" s="2" t="s">
        <v>4007</v>
      </c>
      <c r="C309" s="2" t="s">
        <v>4008</v>
      </c>
      <c r="D309" s="2" t="s">
        <v>4009</v>
      </c>
      <c r="F309" s="3" t="s">
        <v>58</v>
      </c>
      <c r="G309" s="3" t="s">
        <v>59</v>
      </c>
      <c r="H309" s="3" t="s">
        <v>58</v>
      </c>
      <c r="I309" s="3" t="s">
        <v>58</v>
      </c>
      <c r="J309" s="3" t="s">
        <v>60</v>
      </c>
      <c r="K309" s="2" t="s">
        <v>4010</v>
      </c>
      <c r="L309" s="2" t="s">
        <v>4011</v>
      </c>
      <c r="M309" s="3" t="s">
        <v>354</v>
      </c>
      <c r="O309" s="3" t="s">
        <v>64</v>
      </c>
      <c r="P309" s="3" t="s">
        <v>65</v>
      </c>
      <c r="R309" s="3" t="s">
        <v>66</v>
      </c>
      <c r="S309" s="4">
        <v>8</v>
      </c>
      <c r="T309" s="4">
        <v>8</v>
      </c>
      <c r="U309" s="5" t="s">
        <v>4012</v>
      </c>
      <c r="V309" s="5" t="s">
        <v>4012</v>
      </c>
      <c r="W309" s="5" t="s">
        <v>4013</v>
      </c>
      <c r="X309" s="5" t="s">
        <v>4013</v>
      </c>
      <c r="Y309" s="4">
        <v>422</v>
      </c>
      <c r="Z309" s="4">
        <v>392</v>
      </c>
      <c r="AA309" s="4">
        <v>512</v>
      </c>
      <c r="AB309" s="4">
        <v>3</v>
      </c>
      <c r="AC309" s="4">
        <v>5</v>
      </c>
      <c r="AD309" s="4">
        <v>4</v>
      </c>
      <c r="AE309" s="4">
        <v>12</v>
      </c>
      <c r="AF309" s="4">
        <v>2</v>
      </c>
      <c r="AG309" s="4">
        <v>5</v>
      </c>
      <c r="AH309" s="4">
        <v>1</v>
      </c>
      <c r="AI309" s="4">
        <v>1</v>
      </c>
      <c r="AJ309" s="4">
        <v>2</v>
      </c>
      <c r="AK309" s="4">
        <v>5</v>
      </c>
      <c r="AL309" s="4">
        <v>1</v>
      </c>
      <c r="AM309" s="4">
        <v>3</v>
      </c>
      <c r="AN309" s="4">
        <v>0</v>
      </c>
      <c r="AO309" s="4">
        <v>0</v>
      </c>
      <c r="AP309" s="3" t="s">
        <v>58</v>
      </c>
      <c r="AQ309" s="3" t="s">
        <v>69</v>
      </c>
      <c r="AR309" s="6" t="str">
        <f>HYPERLINK("http://catalog.hathitrust.org/Record/007125753","HathiTrust Record")</f>
        <v>HathiTrust Record</v>
      </c>
      <c r="AS309" s="6" t="str">
        <f>HYPERLINK("https://creighton-primo.hosted.exlibrisgroup.com/primo-explore/search?tab=default_tab&amp;search_scope=EVERYTHING&amp;vid=01CRU&amp;lang=en_US&amp;offset=0&amp;query=any,contains,991003373039702656","Catalog Record")</f>
        <v>Catalog Record</v>
      </c>
      <c r="AT309" s="6" t="str">
        <f>HYPERLINK("http://www.worldcat.org/oclc/909171","WorldCat Record")</f>
        <v>WorldCat Record</v>
      </c>
      <c r="AU309" s="3" t="s">
        <v>4014</v>
      </c>
      <c r="AV309" s="3" t="s">
        <v>4015</v>
      </c>
      <c r="AW309" s="3" t="s">
        <v>4016</v>
      </c>
      <c r="AX309" s="3" t="s">
        <v>4016</v>
      </c>
      <c r="AY309" s="3" t="s">
        <v>4017</v>
      </c>
      <c r="AZ309" s="3" t="s">
        <v>74</v>
      </c>
      <c r="BC309" s="3" t="s">
        <v>4018</v>
      </c>
      <c r="BD309" s="3" t="s">
        <v>4019</v>
      </c>
    </row>
    <row r="310" spans="1:56" ht="34.5" customHeight="1" x14ac:dyDescent="0.25">
      <c r="A310" s="7" t="s">
        <v>58</v>
      </c>
      <c r="B310" s="2" t="s">
        <v>4020</v>
      </c>
      <c r="C310" s="2" t="s">
        <v>4021</v>
      </c>
      <c r="D310" s="2" t="s">
        <v>4022</v>
      </c>
      <c r="F310" s="3" t="s">
        <v>58</v>
      </c>
      <c r="G310" s="3" t="s">
        <v>59</v>
      </c>
      <c r="H310" s="3" t="s">
        <v>58</v>
      </c>
      <c r="I310" s="3" t="s">
        <v>58</v>
      </c>
      <c r="J310" s="3" t="s">
        <v>60</v>
      </c>
      <c r="K310" s="2" t="s">
        <v>4023</v>
      </c>
      <c r="L310" s="2" t="s">
        <v>4024</v>
      </c>
      <c r="M310" s="3" t="s">
        <v>1248</v>
      </c>
      <c r="O310" s="3" t="s">
        <v>64</v>
      </c>
      <c r="P310" s="3" t="s">
        <v>65</v>
      </c>
      <c r="R310" s="3" t="s">
        <v>66</v>
      </c>
      <c r="S310" s="4">
        <v>6</v>
      </c>
      <c r="T310" s="4">
        <v>6</v>
      </c>
      <c r="U310" s="5" t="s">
        <v>4025</v>
      </c>
      <c r="V310" s="5" t="s">
        <v>4025</v>
      </c>
      <c r="W310" s="5" t="s">
        <v>1000</v>
      </c>
      <c r="X310" s="5" t="s">
        <v>1000</v>
      </c>
      <c r="Y310" s="4">
        <v>930</v>
      </c>
      <c r="Z310" s="4">
        <v>783</v>
      </c>
      <c r="AA310" s="4">
        <v>1110</v>
      </c>
      <c r="AB310" s="4">
        <v>5</v>
      </c>
      <c r="AC310" s="4">
        <v>6</v>
      </c>
      <c r="AD310" s="4">
        <v>25</v>
      </c>
      <c r="AE310" s="4">
        <v>35</v>
      </c>
      <c r="AF310" s="4">
        <v>13</v>
      </c>
      <c r="AG310" s="4">
        <v>15</v>
      </c>
      <c r="AH310" s="4">
        <v>4</v>
      </c>
      <c r="AI310" s="4">
        <v>8</v>
      </c>
      <c r="AJ310" s="4">
        <v>10</v>
      </c>
      <c r="AK310" s="4">
        <v>16</v>
      </c>
      <c r="AL310" s="4">
        <v>3</v>
      </c>
      <c r="AM310" s="4">
        <v>3</v>
      </c>
      <c r="AN310" s="4">
        <v>0</v>
      </c>
      <c r="AO310" s="4">
        <v>0</v>
      </c>
      <c r="AP310" s="3" t="s">
        <v>58</v>
      </c>
      <c r="AQ310" s="3" t="s">
        <v>69</v>
      </c>
      <c r="AR310" s="6" t="str">
        <f>HYPERLINK("http://catalog.hathitrust.org/Record/000561626","HathiTrust Record")</f>
        <v>HathiTrust Record</v>
      </c>
      <c r="AS310" s="6" t="str">
        <f>HYPERLINK("https://creighton-primo.hosted.exlibrisgroup.com/primo-explore/search?tab=default_tab&amp;search_scope=EVERYTHING&amp;vid=01CRU&amp;lang=en_US&amp;offset=0&amp;query=any,contains,991002895029702656","Catalog Record")</f>
        <v>Catalog Record</v>
      </c>
      <c r="AT310" s="6" t="str">
        <f>HYPERLINK("http://www.worldcat.org/oclc/513722","WorldCat Record")</f>
        <v>WorldCat Record</v>
      </c>
      <c r="AU310" s="3" t="s">
        <v>4026</v>
      </c>
      <c r="AV310" s="3" t="s">
        <v>4027</v>
      </c>
      <c r="AW310" s="3" t="s">
        <v>4028</v>
      </c>
      <c r="AX310" s="3" t="s">
        <v>4028</v>
      </c>
      <c r="AY310" s="3" t="s">
        <v>4029</v>
      </c>
      <c r="AZ310" s="3" t="s">
        <v>74</v>
      </c>
      <c r="BB310" s="3" t="s">
        <v>4030</v>
      </c>
      <c r="BC310" s="3" t="s">
        <v>4031</v>
      </c>
      <c r="BD310" s="3" t="s">
        <v>4032</v>
      </c>
    </row>
    <row r="311" spans="1:56" ht="34.5" customHeight="1" x14ac:dyDescent="0.25">
      <c r="A311" s="7" t="s">
        <v>58</v>
      </c>
      <c r="B311" s="2" t="s">
        <v>4033</v>
      </c>
      <c r="C311" s="2" t="s">
        <v>4034</v>
      </c>
      <c r="D311" s="2" t="s">
        <v>4035</v>
      </c>
      <c r="F311" s="3" t="s">
        <v>58</v>
      </c>
      <c r="G311" s="3" t="s">
        <v>59</v>
      </c>
      <c r="H311" s="3" t="s">
        <v>58</v>
      </c>
      <c r="I311" s="3" t="s">
        <v>58</v>
      </c>
      <c r="J311" s="3" t="s">
        <v>60</v>
      </c>
      <c r="L311" s="2" t="s">
        <v>4036</v>
      </c>
      <c r="M311" s="3" t="s">
        <v>237</v>
      </c>
      <c r="N311" s="2" t="s">
        <v>284</v>
      </c>
      <c r="O311" s="3" t="s">
        <v>64</v>
      </c>
      <c r="P311" s="3" t="s">
        <v>683</v>
      </c>
      <c r="Q311" s="2" t="s">
        <v>4037</v>
      </c>
      <c r="R311" s="3" t="s">
        <v>66</v>
      </c>
      <c r="S311" s="4">
        <v>2</v>
      </c>
      <c r="T311" s="4">
        <v>2</v>
      </c>
      <c r="U311" s="5" t="s">
        <v>2590</v>
      </c>
      <c r="V311" s="5" t="s">
        <v>2590</v>
      </c>
      <c r="W311" s="5" t="s">
        <v>754</v>
      </c>
      <c r="X311" s="5" t="s">
        <v>754</v>
      </c>
      <c r="Y311" s="4">
        <v>335</v>
      </c>
      <c r="Z311" s="4">
        <v>263</v>
      </c>
      <c r="AA311" s="4">
        <v>264</v>
      </c>
      <c r="AB311" s="4">
        <v>2</v>
      </c>
      <c r="AC311" s="4">
        <v>2</v>
      </c>
      <c r="AD311" s="4">
        <v>10</v>
      </c>
      <c r="AE311" s="4">
        <v>10</v>
      </c>
      <c r="AF311" s="4">
        <v>4</v>
      </c>
      <c r="AG311" s="4">
        <v>4</v>
      </c>
      <c r="AH311" s="4">
        <v>3</v>
      </c>
      <c r="AI311" s="4">
        <v>3</v>
      </c>
      <c r="AJ311" s="4">
        <v>6</v>
      </c>
      <c r="AK311" s="4">
        <v>6</v>
      </c>
      <c r="AL311" s="4">
        <v>1</v>
      </c>
      <c r="AM311" s="4">
        <v>1</v>
      </c>
      <c r="AN311" s="4">
        <v>0</v>
      </c>
      <c r="AO311" s="4">
        <v>0</v>
      </c>
      <c r="AP311" s="3" t="s">
        <v>58</v>
      </c>
      <c r="AQ311" s="3" t="s">
        <v>69</v>
      </c>
      <c r="AR311" s="6" t="str">
        <f>HYPERLINK("http://catalog.hathitrust.org/Record/000223962","HathiTrust Record")</f>
        <v>HathiTrust Record</v>
      </c>
      <c r="AS311" s="6" t="str">
        <f>HYPERLINK("https://creighton-primo.hosted.exlibrisgroup.com/primo-explore/search?tab=default_tab&amp;search_scope=EVERYTHING&amp;vid=01CRU&amp;lang=en_US&amp;offset=0&amp;query=any,contains,991005048569702656","Catalog Record")</f>
        <v>Catalog Record</v>
      </c>
      <c r="AT311" s="6" t="str">
        <f>HYPERLINK("http://www.worldcat.org/oclc/6862331","WorldCat Record")</f>
        <v>WorldCat Record</v>
      </c>
      <c r="AU311" s="3" t="s">
        <v>4038</v>
      </c>
      <c r="AV311" s="3" t="s">
        <v>4039</v>
      </c>
      <c r="AW311" s="3" t="s">
        <v>4040</v>
      </c>
      <c r="AX311" s="3" t="s">
        <v>4040</v>
      </c>
      <c r="AY311" s="3" t="s">
        <v>4041</v>
      </c>
      <c r="AZ311" s="3" t="s">
        <v>74</v>
      </c>
      <c r="BB311" s="3" t="s">
        <v>4042</v>
      </c>
      <c r="BC311" s="3" t="s">
        <v>4043</v>
      </c>
      <c r="BD311" s="3" t="s">
        <v>4044</v>
      </c>
    </row>
    <row r="312" spans="1:56" ht="34.5" customHeight="1" x14ac:dyDescent="0.25">
      <c r="A312" s="7" t="s">
        <v>58</v>
      </c>
      <c r="B312" s="2" t="s">
        <v>4045</v>
      </c>
      <c r="C312" s="2" t="s">
        <v>4046</v>
      </c>
      <c r="D312" s="2" t="s">
        <v>4047</v>
      </c>
      <c r="F312" s="3" t="s">
        <v>58</v>
      </c>
      <c r="G312" s="3" t="s">
        <v>59</v>
      </c>
      <c r="H312" s="3" t="s">
        <v>58</v>
      </c>
      <c r="I312" s="3" t="s">
        <v>58</v>
      </c>
      <c r="J312" s="3" t="s">
        <v>60</v>
      </c>
      <c r="K312" s="2" t="s">
        <v>4048</v>
      </c>
      <c r="L312" s="2" t="s">
        <v>4049</v>
      </c>
      <c r="M312" s="3" t="s">
        <v>698</v>
      </c>
      <c r="O312" s="3" t="s">
        <v>64</v>
      </c>
      <c r="P312" s="3" t="s">
        <v>100</v>
      </c>
      <c r="R312" s="3" t="s">
        <v>66</v>
      </c>
      <c r="S312" s="4">
        <v>6</v>
      </c>
      <c r="T312" s="4">
        <v>6</v>
      </c>
      <c r="U312" s="5" t="s">
        <v>4050</v>
      </c>
      <c r="V312" s="5" t="s">
        <v>4050</v>
      </c>
      <c r="W312" s="5" t="s">
        <v>4051</v>
      </c>
      <c r="X312" s="5" t="s">
        <v>4051</v>
      </c>
      <c r="Y312" s="4">
        <v>623</v>
      </c>
      <c r="Z312" s="4">
        <v>513</v>
      </c>
      <c r="AA312" s="4">
        <v>519</v>
      </c>
      <c r="AB312" s="4">
        <v>3</v>
      </c>
      <c r="AC312" s="4">
        <v>3</v>
      </c>
      <c r="AD312" s="4">
        <v>19</v>
      </c>
      <c r="AE312" s="4">
        <v>19</v>
      </c>
      <c r="AF312" s="4">
        <v>6</v>
      </c>
      <c r="AG312" s="4">
        <v>6</v>
      </c>
      <c r="AH312" s="4">
        <v>5</v>
      </c>
      <c r="AI312" s="4">
        <v>5</v>
      </c>
      <c r="AJ312" s="4">
        <v>10</v>
      </c>
      <c r="AK312" s="4">
        <v>10</v>
      </c>
      <c r="AL312" s="4">
        <v>2</v>
      </c>
      <c r="AM312" s="4">
        <v>2</v>
      </c>
      <c r="AN312" s="4">
        <v>0</v>
      </c>
      <c r="AO312" s="4">
        <v>0</v>
      </c>
      <c r="AP312" s="3" t="s">
        <v>58</v>
      </c>
      <c r="AQ312" s="3" t="s">
        <v>58</v>
      </c>
      <c r="AS312" s="6" t="str">
        <f>HYPERLINK("https://creighton-primo.hosted.exlibrisgroup.com/primo-explore/search?tab=default_tab&amp;search_scope=EVERYTHING&amp;vid=01CRU&amp;lang=en_US&amp;offset=0&amp;query=any,contains,991002327109702656","Catalog Record")</f>
        <v>Catalog Record</v>
      </c>
      <c r="AT312" s="6" t="str">
        <f>HYPERLINK("http://www.worldcat.org/oclc/30318144","WorldCat Record")</f>
        <v>WorldCat Record</v>
      </c>
      <c r="AU312" s="3" t="s">
        <v>4052</v>
      </c>
      <c r="AV312" s="3" t="s">
        <v>4053</v>
      </c>
      <c r="AW312" s="3" t="s">
        <v>4054</v>
      </c>
      <c r="AX312" s="3" t="s">
        <v>4054</v>
      </c>
      <c r="AY312" s="3" t="s">
        <v>4055</v>
      </c>
      <c r="AZ312" s="3" t="s">
        <v>74</v>
      </c>
      <c r="BB312" s="3" t="s">
        <v>4056</v>
      </c>
      <c r="BC312" s="3" t="s">
        <v>4057</v>
      </c>
      <c r="BD312" s="3" t="s">
        <v>4058</v>
      </c>
    </row>
    <row r="313" spans="1:56" ht="34.5" customHeight="1" x14ac:dyDescent="0.25">
      <c r="A313" s="7" t="s">
        <v>58</v>
      </c>
      <c r="B313" s="2" t="s">
        <v>4059</v>
      </c>
      <c r="C313" s="2" t="s">
        <v>4060</v>
      </c>
      <c r="D313" s="2" t="s">
        <v>4061</v>
      </c>
      <c r="F313" s="3" t="s">
        <v>58</v>
      </c>
      <c r="G313" s="3" t="s">
        <v>59</v>
      </c>
      <c r="H313" s="3" t="s">
        <v>58</v>
      </c>
      <c r="I313" s="3" t="s">
        <v>58</v>
      </c>
      <c r="J313" s="3" t="s">
        <v>60</v>
      </c>
      <c r="K313" s="2" t="s">
        <v>4062</v>
      </c>
      <c r="L313" s="2" t="s">
        <v>4063</v>
      </c>
      <c r="M313" s="3" t="s">
        <v>115</v>
      </c>
      <c r="O313" s="3" t="s">
        <v>64</v>
      </c>
      <c r="P313" s="3" t="s">
        <v>65</v>
      </c>
      <c r="Q313" s="2" t="s">
        <v>3392</v>
      </c>
      <c r="R313" s="3" t="s">
        <v>66</v>
      </c>
      <c r="S313" s="4">
        <v>6</v>
      </c>
      <c r="T313" s="4">
        <v>6</v>
      </c>
      <c r="U313" s="5" t="s">
        <v>3506</v>
      </c>
      <c r="V313" s="5" t="s">
        <v>3506</v>
      </c>
      <c r="W313" s="5" t="s">
        <v>3394</v>
      </c>
      <c r="X313" s="5" t="s">
        <v>3394</v>
      </c>
      <c r="Y313" s="4">
        <v>472</v>
      </c>
      <c r="Z313" s="4">
        <v>440</v>
      </c>
      <c r="AA313" s="4">
        <v>462</v>
      </c>
      <c r="AB313" s="4">
        <v>4</v>
      </c>
      <c r="AC313" s="4">
        <v>5</v>
      </c>
      <c r="AD313" s="4">
        <v>11</v>
      </c>
      <c r="AE313" s="4">
        <v>12</v>
      </c>
      <c r="AF313" s="4">
        <v>3</v>
      </c>
      <c r="AG313" s="4">
        <v>3</v>
      </c>
      <c r="AH313" s="4">
        <v>4</v>
      </c>
      <c r="AI313" s="4">
        <v>4</v>
      </c>
      <c r="AJ313" s="4">
        <v>3</v>
      </c>
      <c r="AK313" s="4">
        <v>3</v>
      </c>
      <c r="AL313" s="4">
        <v>2</v>
      </c>
      <c r="AM313" s="4">
        <v>3</v>
      </c>
      <c r="AN313" s="4">
        <v>0</v>
      </c>
      <c r="AO313" s="4">
        <v>0</v>
      </c>
      <c r="AP313" s="3" t="s">
        <v>58</v>
      </c>
      <c r="AQ313" s="3" t="s">
        <v>69</v>
      </c>
      <c r="AR313" s="6" t="str">
        <f>HYPERLINK("http://catalog.hathitrust.org/Record/004063986","HathiTrust Record")</f>
        <v>HathiTrust Record</v>
      </c>
      <c r="AS313" s="6" t="str">
        <f>HYPERLINK("https://creighton-primo.hosted.exlibrisgroup.com/primo-explore/search?tab=default_tab&amp;search_scope=EVERYTHING&amp;vid=01CRU&amp;lang=en_US&amp;offset=0&amp;query=any,contains,991005251079702656","Catalog Record")</f>
        <v>Catalog Record</v>
      </c>
      <c r="AT313" s="6" t="str">
        <f>HYPERLINK("http://www.worldcat.org/oclc/8493428","WorldCat Record")</f>
        <v>WorldCat Record</v>
      </c>
      <c r="AU313" s="3" t="s">
        <v>4064</v>
      </c>
      <c r="AV313" s="3" t="s">
        <v>4065</v>
      </c>
      <c r="AW313" s="3" t="s">
        <v>4066</v>
      </c>
      <c r="AX313" s="3" t="s">
        <v>4066</v>
      </c>
      <c r="AY313" s="3" t="s">
        <v>4067</v>
      </c>
      <c r="AZ313" s="3" t="s">
        <v>74</v>
      </c>
      <c r="BB313" s="3" t="s">
        <v>4068</v>
      </c>
      <c r="BC313" s="3" t="s">
        <v>4069</v>
      </c>
      <c r="BD313" s="3" t="s">
        <v>4070</v>
      </c>
    </row>
    <row r="314" spans="1:56" ht="34.5" customHeight="1" x14ac:dyDescent="0.25">
      <c r="A314" s="7" t="s">
        <v>58</v>
      </c>
      <c r="B314" s="2" t="s">
        <v>4071</v>
      </c>
      <c r="C314" s="2" t="s">
        <v>4072</v>
      </c>
      <c r="D314" s="2" t="s">
        <v>4073</v>
      </c>
      <c r="F314" s="3" t="s">
        <v>58</v>
      </c>
      <c r="G314" s="3" t="s">
        <v>59</v>
      </c>
      <c r="H314" s="3" t="s">
        <v>58</v>
      </c>
      <c r="I314" s="3" t="s">
        <v>58</v>
      </c>
      <c r="J314" s="3" t="s">
        <v>60</v>
      </c>
      <c r="K314" s="2" t="s">
        <v>4074</v>
      </c>
      <c r="L314" s="2" t="s">
        <v>4075</v>
      </c>
      <c r="M314" s="3" t="s">
        <v>983</v>
      </c>
      <c r="N314" s="2" t="s">
        <v>2495</v>
      </c>
      <c r="O314" s="3" t="s">
        <v>64</v>
      </c>
      <c r="P314" s="3" t="s">
        <v>147</v>
      </c>
      <c r="R314" s="3" t="s">
        <v>66</v>
      </c>
      <c r="S314" s="4">
        <v>7</v>
      </c>
      <c r="T314" s="4">
        <v>7</v>
      </c>
      <c r="U314" s="5" t="s">
        <v>2633</v>
      </c>
      <c r="V314" s="5" t="s">
        <v>2633</v>
      </c>
      <c r="W314" s="5" t="s">
        <v>4076</v>
      </c>
      <c r="X314" s="5" t="s">
        <v>4076</v>
      </c>
      <c r="Y314" s="4">
        <v>924</v>
      </c>
      <c r="Z314" s="4">
        <v>703</v>
      </c>
      <c r="AA314" s="4">
        <v>861</v>
      </c>
      <c r="AB314" s="4">
        <v>3</v>
      </c>
      <c r="AC314" s="4">
        <v>4</v>
      </c>
      <c r="AD314" s="4">
        <v>24</v>
      </c>
      <c r="AE314" s="4">
        <v>29</v>
      </c>
      <c r="AF314" s="4">
        <v>9</v>
      </c>
      <c r="AG314" s="4">
        <v>11</v>
      </c>
      <c r="AH314" s="4">
        <v>8</v>
      </c>
      <c r="AI314" s="4">
        <v>9</v>
      </c>
      <c r="AJ314" s="4">
        <v>12</v>
      </c>
      <c r="AK314" s="4">
        <v>14</v>
      </c>
      <c r="AL314" s="4">
        <v>2</v>
      </c>
      <c r="AM314" s="4">
        <v>3</v>
      </c>
      <c r="AN314" s="4">
        <v>0</v>
      </c>
      <c r="AO314" s="4">
        <v>0</v>
      </c>
      <c r="AP314" s="3" t="s">
        <v>58</v>
      </c>
      <c r="AQ314" s="3" t="s">
        <v>58</v>
      </c>
      <c r="AS314" s="6" t="str">
        <f>HYPERLINK("https://creighton-primo.hosted.exlibrisgroup.com/primo-explore/search?tab=default_tab&amp;search_scope=EVERYTHING&amp;vid=01CRU&amp;lang=en_US&amp;offset=0&amp;query=any,contains,991004765239702656","Catalog Record")</f>
        <v>Catalog Record</v>
      </c>
      <c r="AT314" s="6" t="str">
        <f>HYPERLINK("http://www.worldcat.org/oclc/5028996","WorldCat Record")</f>
        <v>WorldCat Record</v>
      </c>
      <c r="AU314" s="3" t="s">
        <v>4077</v>
      </c>
      <c r="AV314" s="3" t="s">
        <v>4078</v>
      </c>
      <c r="AW314" s="3" t="s">
        <v>4079</v>
      </c>
      <c r="AX314" s="3" t="s">
        <v>4079</v>
      </c>
      <c r="AY314" s="3" t="s">
        <v>4080</v>
      </c>
      <c r="AZ314" s="3" t="s">
        <v>74</v>
      </c>
      <c r="BB314" s="3" t="s">
        <v>4081</v>
      </c>
      <c r="BC314" s="3" t="s">
        <v>4082</v>
      </c>
      <c r="BD314" s="3" t="s">
        <v>4083</v>
      </c>
    </row>
    <row r="315" spans="1:56" ht="34.5" customHeight="1" x14ac:dyDescent="0.25">
      <c r="A315" s="7" t="s">
        <v>58</v>
      </c>
      <c r="B315" s="2" t="s">
        <v>4084</v>
      </c>
      <c r="C315" s="2" t="s">
        <v>4085</v>
      </c>
      <c r="D315" s="2" t="s">
        <v>4086</v>
      </c>
      <c r="F315" s="3" t="s">
        <v>58</v>
      </c>
      <c r="G315" s="3" t="s">
        <v>59</v>
      </c>
      <c r="H315" s="3" t="s">
        <v>58</v>
      </c>
      <c r="I315" s="3" t="s">
        <v>58</v>
      </c>
      <c r="J315" s="3" t="s">
        <v>60</v>
      </c>
      <c r="K315" s="2" t="s">
        <v>4087</v>
      </c>
      <c r="L315" s="2" t="s">
        <v>4088</v>
      </c>
      <c r="M315" s="3" t="s">
        <v>1891</v>
      </c>
      <c r="N315" s="2" t="s">
        <v>284</v>
      </c>
      <c r="O315" s="3" t="s">
        <v>64</v>
      </c>
      <c r="P315" s="3" t="s">
        <v>65</v>
      </c>
      <c r="R315" s="3" t="s">
        <v>66</v>
      </c>
      <c r="S315" s="4">
        <v>1</v>
      </c>
      <c r="T315" s="4">
        <v>1</v>
      </c>
      <c r="U315" s="5" t="s">
        <v>4089</v>
      </c>
      <c r="V315" s="5" t="s">
        <v>4089</v>
      </c>
      <c r="W315" s="5" t="s">
        <v>4089</v>
      </c>
      <c r="X315" s="5" t="s">
        <v>4089</v>
      </c>
      <c r="Y315" s="4">
        <v>330</v>
      </c>
      <c r="Z315" s="4">
        <v>241</v>
      </c>
      <c r="AA315" s="4">
        <v>245</v>
      </c>
      <c r="AB315" s="4">
        <v>4</v>
      </c>
      <c r="AC315" s="4">
        <v>4</v>
      </c>
      <c r="AD315" s="4">
        <v>8</v>
      </c>
      <c r="AE315" s="4">
        <v>9</v>
      </c>
      <c r="AF315" s="4">
        <v>2</v>
      </c>
      <c r="AG315" s="4">
        <v>2</v>
      </c>
      <c r="AH315" s="4">
        <v>2</v>
      </c>
      <c r="AI315" s="4">
        <v>2</v>
      </c>
      <c r="AJ315" s="4">
        <v>2</v>
      </c>
      <c r="AK315" s="4">
        <v>3</v>
      </c>
      <c r="AL315" s="4">
        <v>3</v>
      </c>
      <c r="AM315" s="4">
        <v>3</v>
      </c>
      <c r="AN315" s="4">
        <v>0</v>
      </c>
      <c r="AO315" s="4">
        <v>0</v>
      </c>
      <c r="AP315" s="3" t="s">
        <v>58</v>
      </c>
      <c r="AQ315" s="3" t="s">
        <v>69</v>
      </c>
      <c r="AR315" s="6" t="str">
        <f>HYPERLINK("http://catalog.hathitrust.org/Record/004207451","HathiTrust Record")</f>
        <v>HathiTrust Record</v>
      </c>
      <c r="AS315" s="6" t="str">
        <f>HYPERLINK("https://creighton-primo.hosted.exlibrisgroup.com/primo-explore/search?tab=default_tab&amp;search_scope=EVERYTHING&amp;vid=01CRU&amp;lang=en_US&amp;offset=0&amp;query=any,contains,991005191859702656","Catalog Record")</f>
        <v>Catalog Record</v>
      </c>
      <c r="AT315" s="6" t="str">
        <f>HYPERLINK("http://www.worldcat.org/oclc/45708095","WorldCat Record")</f>
        <v>WorldCat Record</v>
      </c>
      <c r="AU315" s="3" t="s">
        <v>4090</v>
      </c>
      <c r="AV315" s="3" t="s">
        <v>4091</v>
      </c>
      <c r="AW315" s="3" t="s">
        <v>4092</v>
      </c>
      <c r="AX315" s="3" t="s">
        <v>4092</v>
      </c>
      <c r="AY315" s="3" t="s">
        <v>4093</v>
      </c>
      <c r="AZ315" s="3" t="s">
        <v>74</v>
      </c>
      <c r="BB315" s="3" t="s">
        <v>4094</v>
      </c>
      <c r="BC315" s="3" t="s">
        <v>4095</v>
      </c>
      <c r="BD315" s="3" t="s">
        <v>4096</v>
      </c>
    </row>
    <row r="316" spans="1:56" ht="34.5" customHeight="1" x14ac:dyDescent="0.25">
      <c r="A316" s="7" t="s">
        <v>58</v>
      </c>
      <c r="B316" s="2" t="s">
        <v>4097</v>
      </c>
      <c r="C316" s="2" t="s">
        <v>4098</v>
      </c>
      <c r="D316" s="2" t="s">
        <v>4099</v>
      </c>
      <c r="F316" s="3" t="s">
        <v>58</v>
      </c>
      <c r="G316" s="3" t="s">
        <v>59</v>
      </c>
      <c r="H316" s="3" t="s">
        <v>58</v>
      </c>
      <c r="I316" s="3" t="s">
        <v>58</v>
      </c>
      <c r="J316" s="3" t="s">
        <v>60</v>
      </c>
      <c r="L316" s="2" t="s">
        <v>4100</v>
      </c>
      <c r="M316" s="3" t="s">
        <v>739</v>
      </c>
      <c r="O316" s="3" t="s">
        <v>64</v>
      </c>
      <c r="P316" s="3" t="s">
        <v>210</v>
      </c>
      <c r="Q316" s="2" t="s">
        <v>4101</v>
      </c>
      <c r="R316" s="3" t="s">
        <v>66</v>
      </c>
      <c r="S316" s="4">
        <v>1</v>
      </c>
      <c r="T316" s="4">
        <v>1</v>
      </c>
      <c r="U316" s="5" t="s">
        <v>767</v>
      </c>
      <c r="V316" s="5" t="s">
        <v>767</v>
      </c>
      <c r="W316" s="5" t="s">
        <v>767</v>
      </c>
      <c r="X316" s="5" t="s">
        <v>767</v>
      </c>
      <c r="Y316" s="4">
        <v>339</v>
      </c>
      <c r="Z316" s="4">
        <v>258</v>
      </c>
      <c r="AA316" s="4">
        <v>259</v>
      </c>
      <c r="AB316" s="4">
        <v>2</v>
      </c>
      <c r="AC316" s="4">
        <v>2</v>
      </c>
      <c r="AD316" s="4">
        <v>10</v>
      </c>
      <c r="AE316" s="4">
        <v>10</v>
      </c>
      <c r="AF316" s="4">
        <v>3</v>
      </c>
      <c r="AG316" s="4">
        <v>3</v>
      </c>
      <c r="AH316" s="4">
        <v>3</v>
      </c>
      <c r="AI316" s="4">
        <v>3</v>
      </c>
      <c r="AJ316" s="4">
        <v>5</v>
      </c>
      <c r="AK316" s="4">
        <v>5</v>
      </c>
      <c r="AL316" s="4">
        <v>0</v>
      </c>
      <c r="AM316" s="4">
        <v>0</v>
      </c>
      <c r="AN316" s="4">
        <v>0</v>
      </c>
      <c r="AO316" s="4">
        <v>0</v>
      </c>
      <c r="AP316" s="3" t="s">
        <v>58</v>
      </c>
      <c r="AQ316" s="3" t="s">
        <v>58</v>
      </c>
      <c r="AS316" s="6" t="str">
        <f>HYPERLINK("https://creighton-primo.hosted.exlibrisgroup.com/primo-explore/search?tab=default_tab&amp;search_scope=EVERYTHING&amp;vid=01CRU&amp;lang=en_US&amp;offset=0&amp;query=any,contains,991004425179702656","Catalog Record")</f>
        <v>Catalog Record</v>
      </c>
      <c r="AT316" s="6" t="str">
        <f>HYPERLINK("http://www.worldcat.org/oclc/20860883","WorldCat Record")</f>
        <v>WorldCat Record</v>
      </c>
      <c r="AU316" s="3" t="s">
        <v>4102</v>
      </c>
      <c r="AV316" s="3" t="s">
        <v>4103</v>
      </c>
      <c r="AW316" s="3" t="s">
        <v>4104</v>
      </c>
      <c r="AX316" s="3" t="s">
        <v>4104</v>
      </c>
      <c r="AY316" s="3" t="s">
        <v>4105</v>
      </c>
      <c r="AZ316" s="3" t="s">
        <v>74</v>
      </c>
      <c r="BB316" s="3" t="s">
        <v>4106</v>
      </c>
      <c r="BC316" s="3" t="s">
        <v>4107</v>
      </c>
      <c r="BD316" s="3" t="s">
        <v>4108</v>
      </c>
    </row>
    <row r="317" spans="1:56" ht="34.5" customHeight="1" x14ac:dyDescent="0.25">
      <c r="A317" s="7" t="s">
        <v>58</v>
      </c>
      <c r="B317" s="2" t="s">
        <v>4109</v>
      </c>
      <c r="C317" s="2" t="s">
        <v>4110</v>
      </c>
      <c r="D317" s="2" t="s">
        <v>4111</v>
      </c>
      <c r="F317" s="3" t="s">
        <v>58</v>
      </c>
      <c r="G317" s="3" t="s">
        <v>59</v>
      </c>
      <c r="H317" s="3" t="s">
        <v>58</v>
      </c>
      <c r="I317" s="3" t="s">
        <v>58</v>
      </c>
      <c r="J317" s="3" t="s">
        <v>60</v>
      </c>
      <c r="K317" s="2" t="s">
        <v>4112</v>
      </c>
      <c r="L317" s="2" t="s">
        <v>4113</v>
      </c>
      <c r="M317" s="3" t="s">
        <v>983</v>
      </c>
      <c r="O317" s="3" t="s">
        <v>64</v>
      </c>
      <c r="P317" s="3" t="s">
        <v>252</v>
      </c>
      <c r="Q317" s="2" t="s">
        <v>4114</v>
      </c>
      <c r="R317" s="3" t="s">
        <v>66</v>
      </c>
      <c r="S317" s="4">
        <v>4</v>
      </c>
      <c r="T317" s="4">
        <v>4</v>
      </c>
      <c r="U317" s="5" t="s">
        <v>4115</v>
      </c>
      <c r="V317" s="5" t="s">
        <v>4115</v>
      </c>
      <c r="W317" s="5" t="s">
        <v>4116</v>
      </c>
      <c r="X317" s="5" t="s">
        <v>4116</v>
      </c>
      <c r="Y317" s="4">
        <v>325</v>
      </c>
      <c r="Z317" s="4">
        <v>316</v>
      </c>
      <c r="AA317" s="4">
        <v>328</v>
      </c>
      <c r="AB317" s="4">
        <v>4</v>
      </c>
      <c r="AC317" s="4">
        <v>4</v>
      </c>
      <c r="AD317" s="4">
        <v>6</v>
      </c>
      <c r="AE317" s="4">
        <v>6</v>
      </c>
      <c r="AF317" s="4">
        <v>1</v>
      </c>
      <c r="AG317" s="4">
        <v>1</v>
      </c>
      <c r="AH317" s="4">
        <v>0</v>
      </c>
      <c r="AI317" s="4">
        <v>0</v>
      </c>
      <c r="AJ317" s="4">
        <v>3</v>
      </c>
      <c r="AK317" s="4">
        <v>3</v>
      </c>
      <c r="AL317" s="4">
        <v>2</v>
      </c>
      <c r="AM317" s="4">
        <v>2</v>
      </c>
      <c r="AN317" s="4">
        <v>0</v>
      </c>
      <c r="AO317" s="4">
        <v>0</v>
      </c>
      <c r="AP317" s="3" t="s">
        <v>58</v>
      </c>
      <c r="AQ317" s="3" t="s">
        <v>69</v>
      </c>
      <c r="AR317" s="6" t="str">
        <f>HYPERLINK("http://catalog.hathitrust.org/Record/008510008","HathiTrust Record")</f>
        <v>HathiTrust Record</v>
      </c>
      <c r="AS317" s="6" t="str">
        <f>HYPERLINK("https://creighton-primo.hosted.exlibrisgroup.com/primo-explore/search?tab=default_tab&amp;search_scope=EVERYTHING&amp;vid=01CRU&amp;lang=en_US&amp;offset=0&amp;query=any,contains,991004645239702656","Catalog Record")</f>
        <v>Catalog Record</v>
      </c>
      <c r="AT317" s="6" t="str">
        <f>HYPERLINK("http://www.worldcat.org/oclc/4491058","WorldCat Record")</f>
        <v>WorldCat Record</v>
      </c>
      <c r="AU317" s="3" t="s">
        <v>4117</v>
      </c>
      <c r="AV317" s="3" t="s">
        <v>4118</v>
      </c>
      <c r="AW317" s="3" t="s">
        <v>4119</v>
      </c>
      <c r="AX317" s="3" t="s">
        <v>4119</v>
      </c>
      <c r="AY317" s="3" t="s">
        <v>4120</v>
      </c>
      <c r="AZ317" s="3" t="s">
        <v>74</v>
      </c>
      <c r="BB317" s="3" t="s">
        <v>4121</v>
      </c>
      <c r="BC317" s="3" t="s">
        <v>4122</v>
      </c>
      <c r="BD317" s="3" t="s">
        <v>4123</v>
      </c>
    </row>
    <row r="318" spans="1:56" ht="34.5" customHeight="1" x14ac:dyDescent="0.25">
      <c r="A318" s="7" t="s">
        <v>58</v>
      </c>
      <c r="B318" s="2" t="s">
        <v>4124</v>
      </c>
      <c r="C318" s="2" t="s">
        <v>4125</v>
      </c>
      <c r="D318" s="2" t="s">
        <v>4126</v>
      </c>
      <c r="F318" s="3" t="s">
        <v>58</v>
      </c>
      <c r="G318" s="3" t="s">
        <v>59</v>
      </c>
      <c r="H318" s="3" t="s">
        <v>58</v>
      </c>
      <c r="I318" s="3" t="s">
        <v>58</v>
      </c>
      <c r="J318" s="3" t="s">
        <v>60</v>
      </c>
      <c r="K318" s="2" t="s">
        <v>4112</v>
      </c>
      <c r="L318" s="2" t="s">
        <v>4127</v>
      </c>
      <c r="M318" s="3" t="s">
        <v>1506</v>
      </c>
      <c r="O318" s="3" t="s">
        <v>64</v>
      </c>
      <c r="P318" s="3" t="s">
        <v>252</v>
      </c>
      <c r="Q318" s="2" t="s">
        <v>4114</v>
      </c>
      <c r="R318" s="3" t="s">
        <v>66</v>
      </c>
      <c r="S318" s="4">
        <v>2</v>
      </c>
      <c r="T318" s="4">
        <v>2</v>
      </c>
      <c r="U318" s="5" t="s">
        <v>4115</v>
      </c>
      <c r="V318" s="5" t="s">
        <v>4115</v>
      </c>
      <c r="W318" s="5" t="s">
        <v>3232</v>
      </c>
      <c r="X318" s="5" t="s">
        <v>3232</v>
      </c>
      <c r="Y318" s="4">
        <v>509</v>
      </c>
      <c r="Z318" s="4">
        <v>499</v>
      </c>
      <c r="AA318" s="4">
        <v>511</v>
      </c>
      <c r="AB318" s="4">
        <v>5</v>
      </c>
      <c r="AC318" s="4">
        <v>5</v>
      </c>
      <c r="AD318" s="4">
        <v>17</v>
      </c>
      <c r="AE318" s="4">
        <v>17</v>
      </c>
      <c r="AF318" s="4">
        <v>7</v>
      </c>
      <c r="AG318" s="4">
        <v>7</v>
      </c>
      <c r="AH318" s="4">
        <v>2</v>
      </c>
      <c r="AI318" s="4">
        <v>2</v>
      </c>
      <c r="AJ318" s="4">
        <v>10</v>
      </c>
      <c r="AK318" s="4">
        <v>10</v>
      </c>
      <c r="AL318" s="4">
        <v>2</v>
      </c>
      <c r="AM318" s="4">
        <v>2</v>
      </c>
      <c r="AN318" s="4">
        <v>0</v>
      </c>
      <c r="AO318" s="4">
        <v>0</v>
      </c>
      <c r="AP318" s="3" t="s">
        <v>58</v>
      </c>
      <c r="AQ318" s="3" t="s">
        <v>69</v>
      </c>
      <c r="AR318" s="6" t="str">
        <f>HYPERLINK("http://catalog.hathitrust.org/Record/102005534","HathiTrust Record")</f>
        <v>HathiTrust Record</v>
      </c>
      <c r="AS318" s="6" t="str">
        <f>HYPERLINK("https://creighton-primo.hosted.exlibrisgroup.com/primo-explore/search?tab=default_tab&amp;search_scope=EVERYTHING&amp;vid=01CRU&amp;lang=en_US&amp;offset=0&amp;query=any,contains,991004451499702656","Catalog Record")</f>
        <v>Catalog Record</v>
      </c>
      <c r="AT318" s="6" t="str">
        <f>HYPERLINK("http://www.worldcat.org/oclc/3516154","WorldCat Record")</f>
        <v>WorldCat Record</v>
      </c>
      <c r="AU318" s="3" t="s">
        <v>4128</v>
      </c>
      <c r="AV318" s="3" t="s">
        <v>4129</v>
      </c>
      <c r="AW318" s="3" t="s">
        <v>4130</v>
      </c>
      <c r="AX318" s="3" t="s">
        <v>4130</v>
      </c>
      <c r="AY318" s="3" t="s">
        <v>4131</v>
      </c>
      <c r="AZ318" s="3" t="s">
        <v>74</v>
      </c>
      <c r="BB318" s="3" t="s">
        <v>4132</v>
      </c>
      <c r="BC318" s="3" t="s">
        <v>4133</v>
      </c>
      <c r="BD318" s="3" t="s">
        <v>4134</v>
      </c>
    </row>
    <row r="319" spans="1:56" ht="34.5" customHeight="1" x14ac:dyDescent="0.25">
      <c r="A319" s="7" t="s">
        <v>58</v>
      </c>
      <c r="B319" s="2" t="s">
        <v>4135</v>
      </c>
      <c r="C319" s="2" t="s">
        <v>4136</v>
      </c>
      <c r="D319" s="2" t="s">
        <v>4137</v>
      </c>
      <c r="F319" s="3" t="s">
        <v>58</v>
      </c>
      <c r="G319" s="3" t="s">
        <v>59</v>
      </c>
      <c r="H319" s="3" t="s">
        <v>58</v>
      </c>
      <c r="I319" s="3" t="s">
        <v>58</v>
      </c>
      <c r="J319" s="3" t="s">
        <v>60</v>
      </c>
      <c r="K319" s="2" t="s">
        <v>2374</v>
      </c>
      <c r="L319" s="2" t="s">
        <v>4138</v>
      </c>
      <c r="M319" s="3" t="s">
        <v>63</v>
      </c>
      <c r="O319" s="3" t="s">
        <v>64</v>
      </c>
      <c r="P319" s="3" t="s">
        <v>84</v>
      </c>
      <c r="R319" s="3" t="s">
        <v>66</v>
      </c>
      <c r="S319" s="4">
        <v>7</v>
      </c>
      <c r="T319" s="4">
        <v>7</v>
      </c>
      <c r="U319" s="5" t="s">
        <v>4139</v>
      </c>
      <c r="V319" s="5" t="s">
        <v>4139</v>
      </c>
      <c r="W319" s="5" t="s">
        <v>4140</v>
      </c>
      <c r="X319" s="5" t="s">
        <v>4140</v>
      </c>
      <c r="Y319" s="4">
        <v>250</v>
      </c>
      <c r="Z319" s="4">
        <v>204</v>
      </c>
      <c r="AA319" s="4">
        <v>747</v>
      </c>
      <c r="AB319" s="4">
        <v>1</v>
      </c>
      <c r="AC319" s="4">
        <v>3</v>
      </c>
      <c r="AD319" s="4">
        <v>6</v>
      </c>
      <c r="AE319" s="4">
        <v>21</v>
      </c>
      <c r="AF319" s="4">
        <v>4</v>
      </c>
      <c r="AG319" s="4">
        <v>10</v>
      </c>
      <c r="AH319" s="4">
        <v>1</v>
      </c>
      <c r="AI319" s="4">
        <v>5</v>
      </c>
      <c r="AJ319" s="4">
        <v>3</v>
      </c>
      <c r="AK319" s="4">
        <v>11</v>
      </c>
      <c r="AL319" s="4">
        <v>0</v>
      </c>
      <c r="AM319" s="4">
        <v>1</v>
      </c>
      <c r="AN319" s="4">
        <v>0</v>
      </c>
      <c r="AO319" s="4">
        <v>0</v>
      </c>
      <c r="AP319" s="3" t="s">
        <v>58</v>
      </c>
      <c r="AQ319" s="3" t="s">
        <v>58</v>
      </c>
      <c r="AS319" s="6" t="str">
        <f>HYPERLINK("https://creighton-primo.hosted.exlibrisgroup.com/primo-explore/search?tab=default_tab&amp;search_scope=EVERYTHING&amp;vid=01CRU&amp;lang=en_US&amp;offset=0&amp;query=any,contains,991001949819702656","Catalog Record")</f>
        <v>Catalog Record</v>
      </c>
      <c r="AT319" s="6" t="str">
        <f>HYPERLINK("http://www.worldcat.org/oclc/251559","WorldCat Record")</f>
        <v>WorldCat Record</v>
      </c>
      <c r="AU319" s="3" t="s">
        <v>4141</v>
      </c>
      <c r="AV319" s="3" t="s">
        <v>4142</v>
      </c>
      <c r="AW319" s="3" t="s">
        <v>4143</v>
      </c>
      <c r="AX319" s="3" t="s">
        <v>4143</v>
      </c>
      <c r="AY319" s="3" t="s">
        <v>4144</v>
      </c>
      <c r="AZ319" s="3" t="s">
        <v>74</v>
      </c>
      <c r="BB319" s="3" t="s">
        <v>4145</v>
      </c>
      <c r="BC319" s="3" t="s">
        <v>4146</v>
      </c>
      <c r="BD319" s="3" t="s">
        <v>4147</v>
      </c>
    </row>
    <row r="320" spans="1:56" ht="34.5" customHeight="1" x14ac:dyDescent="0.25">
      <c r="A320" s="7" t="s">
        <v>58</v>
      </c>
      <c r="B320" s="2" t="s">
        <v>4148</v>
      </c>
      <c r="C320" s="2" t="s">
        <v>4149</v>
      </c>
      <c r="D320" s="2" t="s">
        <v>4150</v>
      </c>
      <c r="F320" s="3" t="s">
        <v>58</v>
      </c>
      <c r="G320" s="3" t="s">
        <v>59</v>
      </c>
      <c r="H320" s="3" t="s">
        <v>58</v>
      </c>
      <c r="I320" s="3" t="s">
        <v>58</v>
      </c>
      <c r="J320" s="3" t="s">
        <v>60</v>
      </c>
      <c r="K320" s="2" t="s">
        <v>4151</v>
      </c>
      <c r="L320" s="2" t="s">
        <v>4152</v>
      </c>
      <c r="M320" s="3" t="s">
        <v>550</v>
      </c>
      <c r="O320" s="3" t="s">
        <v>64</v>
      </c>
      <c r="P320" s="3" t="s">
        <v>84</v>
      </c>
      <c r="R320" s="3" t="s">
        <v>66</v>
      </c>
      <c r="S320" s="4">
        <v>2</v>
      </c>
      <c r="T320" s="4">
        <v>2</v>
      </c>
      <c r="U320" s="5" t="s">
        <v>4153</v>
      </c>
      <c r="V320" s="5" t="s">
        <v>4153</v>
      </c>
      <c r="W320" s="5" t="s">
        <v>2661</v>
      </c>
      <c r="X320" s="5" t="s">
        <v>2661</v>
      </c>
      <c r="Y320" s="4">
        <v>452</v>
      </c>
      <c r="Z320" s="4">
        <v>353</v>
      </c>
      <c r="AA320" s="4">
        <v>421</v>
      </c>
      <c r="AB320" s="4">
        <v>5</v>
      </c>
      <c r="AC320" s="4">
        <v>5</v>
      </c>
      <c r="AD320" s="4">
        <v>20</v>
      </c>
      <c r="AE320" s="4">
        <v>21</v>
      </c>
      <c r="AF320" s="4">
        <v>5</v>
      </c>
      <c r="AG320" s="4">
        <v>5</v>
      </c>
      <c r="AH320" s="4">
        <v>6</v>
      </c>
      <c r="AI320" s="4">
        <v>7</v>
      </c>
      <c r="AJ320" s="4">
        <v>9</v>
      </c>
      <c r="AK320" s="4">
        <v>10</v>
      </c>
      <c r="AL320" s="4">
        <v>4</v>
      </c>
      <c r="AM320" s="4">
        <v>4</v>
      </c>
      <c r="AN320" s="4">
        <v>0</v>
      </c>
      <c r="AO320" s="4">
        <v>0</v>
      </c>
      <c r="AP320" s="3" t="s">
        <v>58</v>
      </c>
      <c r="AQ320" s="3" t="s">
        <v>69</v>
      </c>
      <c r="AR320" s="6" t="str">
        <f>HYPERLINK("http://catalog.hathitrust.org/Record/000646214","HathiTrust Record")</f>
        <v>HathiTrust Record</v>
      </c>
      <c r="AS320" s="6" t="str">
        <f>HYPERLINK("https://creighton-primo.hosted.exlibrisgroup.com/primo-explore/search?tab=default_tab&amp;search_scope=EVERYTHING&amp;vid=01CRU&amp;lang=en_US&amp;offset=0&amp;query=any,contains,991002818609702656","Catalog Record")</f>
        <v>Catalog Record</v>
      </c>
      <c r="AT320" s="6" t="str">
        <f>HYPERLINK("http://www.worldcat.org/oclc/464304","WorldCat Record")</f>
        <v>WorldCat Record</v>
      </c>
      <c r="AU320" s="3" t="s">
        <v>4154</v>
      </c>
      <c r="AV320" s="3" t="s">
        <v>4155</v>
      </c>
      <c r="AW320" s="3" t="s">
        <v>4156</v>
      </c>
      <c r="AX320" s="3" t="s">
        <v>4156</v>
      </c>
      <c r="AY320" s="3" t="s">
        <v>4157</v>
      </c>
      <c r="AZ320" s="3" t="s">
        <v>74</v>
      </c>
      <c r="BC320" s="3" t="s">
        <v>4158</v>
      </c>
      <c r="BD320" s="3" t="s">
        <v>4159</v>
      </c>
    </row>
    <row r="321" spans="1:56" ht="34.5" customHeight="1" x14ac:dyDescent="0.25">
      <c r="A321" s="7" t="s">
        <v>58</v>
      </c>
      <c r="B321" s="2" t="s">
        <v>4160</v>
      </c>
      <c r="C321" s="2" t="s">
        <v>4161</v>
      </c>
      <c r="D321" s="2" t="s">
        <v>4162</v>
      </c>
      <c r="F321" s="3" t="s">
        <v>58</v>
      </c>
      <c r="G321" s="3" t="s">
        <v>59</v>
      </c>
      <c r="H321" s="3" t="s">
        <v>58</v>
      </c>
      <c r="I321" s="3" t="s">
        <v>58</v>
      </c>
      <c r="J321" s="3" t="s">
        <v>60</v>
      </c>
      <c r="K321" s="2" t="s">
        <v>4163</v>
      </c>
      <c r="L321" s="2" t="s">
        <v>4164</v>
      </c>
      <c r="M321" s="3" t="s">
        <v>1545</v>
      </c>
      <c r="O321" s="3" t="s">
        <v>64</v>
      </c>
      <c r="P321" s="3" t="s">
        <v>65</v>
      </c>
      <c r="R321" s="3" t="s">
        <v>66</v>
      </c>
      <c r="S321" s="4">
        <v>3</v>
      </c>
      <c r="T321" s="4">
        <v>3</v>
      </c>
      <c r="U321" s="5" t="s">
        <v>551</v>
      </c>
      <c r="V321" s="5" t="s">
        <v>551</v>
      </c>
      <c r="W321" s="5" t="s">
        <v>4116</v>
      </c>
      <c r="X321" s="5" t="s">
        <v>4116</v>
      </c>
      <c r="Y321" s="4">
        <v>503</v>
      </c>
      <c r="Z321" s="4">
        <v>378</v>
      </c>
      <c r="AA321" s="4">
        <v>384</v>
      </c>
      <c r="AB321" s="4">
        <v>4</v>
      </c>
      <c r="AC321" s="4">
        <v>4</v>
      </c>
      <c r="AD321" s="4">
        <v>17</v>
      </c>
      <c r="AE321" s="4">
        <v>17</v>
      </c>
      <c r="AF321" s="4">
        <v>7</v>
      </c>
      <c r="AG321" s="4">
        <v>7</v>
      </c>
      <c r="AH321" s="4">
        <v>6</v>
      </c>
      <c r="AI321" s="4">
        <v>6</v>
      </c>
      <c r="AJ321" s="4">
        <v>8</v>
      </c>
      <c r="AK321" s="4">
        <v>8</v>
      </c>
      <c r="AL321" s="4">
        <v>2</v>
      </c>
      <c r="AM321" s="4">
        <v>2</v>
      </c>
      <c r="AN321" s="4">
        <v>0</v>
      </c>
      <c r="AO321" s="4">
        <v>0</v>
      </c>
      <c r="AP321" s="3" t="s">
        <v>58</v>
      </c>
      <c r="AQ321" s="3" t="s">
        <v>69</v>
      </c>
      <c r="AR321" s="6" t="str">
        <f>HYPERLINK("http://catalog.hathitrust.org/Record/000738744","HathiTrust Record")</f>
        <v>HathiTrust Record</v>
      </c>
      <c r="AS321" s="6" t="str">
        <f>HYPERLINK("https://creighton-primo.hosted.exlibrisgroup.com/primo-explore/search?tab=default_tab&amp;search_scope=EVERYTHING&amp;vid=01CRU&amp;lang=en_US&amp;offset=0&amp;query=any,contains,991004083119702656","Catalog Record")</f>
        <v>Catalog Record</v>
      </c>
      <c r="AT321" s="6" t="str">
        <f>HYPERLINK("http://www.worldcat.org/oclc/2331268","WorldCat Record")</f>
        <v>WorldCat Record</v>
      </c>
      <c r="AU321" s="3" t="s">
        <v>4165</v>
      </c>
      <c r="AV321" s="3" t="s">
        <v>4166</v>
      </c>
      <c r="AW321" s="3" t="s">
        <v>4167</v>
      </c>
      <c r="AX321" s="3" t="s">
        <v>4167</v>
      </c>
      <c r="AY321" s="3" t="s">
        <v>4168</v>
      </c>
      <c r="AZ321" s="3" t="s">
        <v>74</v>
      </c>
      <c r="BB321" s="3" t="s">
        <v>4169</v>
      </c>
      <c r="BC321" s="3" t="s">
        <v>4170</v>
      </c>
      <c r="BD321" s="3" t="s">
        <v>4171</v>
      </c>
    </row>
    <row r="322" spans="1:56" ht="34.5" customHeight="1" x14ac:dyDescent="0.25">
      <c r="A322" s="7" t="s">
        <v>58</v>
      </c>
      <c r="B322" s="2" t="s">
        <v>4172</v>
      </c>
      <c r="C322" s="2" t="s">
        <v>4173</v>
      </c>
      <c r="D322" s="2" t="s">
        <v>4174</v>
      </c>
      <c r="F322" s="3" t="s">
        <v>58</v>
      </c>
      <c r="G322" s="3" t="s">
        <v>59</v>
      </c>
      <c r="H322" s="3" t="s">
        <v>58</v>
      </c>
      <c r="I322" s="3" t="s">
        <v>58</v>
      </c>
      <c r="J322" s="3" t="s">
        <v>60</v>
      </c>
      <c r="K322" s="2" t="s">
        <v>4175</v>
      </c>
      <c r="L322" s="2" t="s">
        <v>4176</v>
      </c>
      <c r="M322" s="3" t="s">
        <v>1374</v>
      </c>
      <c r="O322" s="3" t="s">
        <v>64</v>
      </c>
      <c r="P322" s="3" t="s">
        <v>84</v>
      </c>
      <c r="R322" s="3" t="s">
        <v>66</v>
      </c>
      <c r="S322" s="4">
        <v>1</v>
      </c>
      <c r="T322" s="4">
        <v>1</v>
      </c>
      <c r="U322" s="5" t="s">
        <v>1220</v>
      </c>
      <c r="V322" s="5" t="s">
        <v>1220</v>
      </c>
      <c r="W322" s="5" t="s">
        <v>1220</v>
      </c>
      <c r="X322" s="5" t="s">
        <v>1220</v>
      </c>
      <c r="Y322" s="4">
        <v>368</v>
      </c>
      <c r="Z322" s="4">
        <v>252</v>
      </c>
      <c r="AA322" s="4">
        <v>261</v>
      </c>
      <c r="AB322" s="4">
        <v>3</v>
      </c>
      <c r="AC322" s="4">
        <v>3</v>
      </c>
      <c r="AD322" s="4">
        <v>14</v>
      </c>
      <c r="AE322" s="4">
        <v>14</v>
      </c>
      <c r="AF322" s="4">
        <v>4</v>
      </c>
      <c r="AG322" s="4">
        <v>4</v>
      </c>
      <c r="AH322" s="4">
        <v>3</v>
      </c>
      <c r="AI322" s="4">
        <v>3</v>
      </c>
      <c r="AJ322" s="4">
        <v>8</v>
      </c>
      <c r="AK322" s="4">
        <v>8</v>
      </c>
      <c r="AL322" s="4">
        <v>2</v>
      </c>
      <c r="AM322" s="4">
        <v>2</v>
      </c>
      <c r="AN322" s="4">
        <v>0</v>
      </c>
      <c r="AO322" s="4">
        <v>0</v>
      </c>
      <c r="AP322" s="3" t="s">
        <v>58</v>
      </c>
      <c r="AQ322" s="3" t="s">
        <v>69</v>
      </c>
      <c r="AR322" s="6" t="str">
        <f>HYPERLINK("http://catalog.hathitrust.org/Record/000647772","HathiTrust Record")</f>
        <v>HathiTrust Record</v>
      </c>
      <c r="AS322" s="6" t="str">
        <f>HYPERLINK("https://creighton-primo.hosted.exlibrisgroup.com/primo-explore/search?tab=default_tab&amp;search_scope=EVERYTHING&amp;vid=01CRU&amp;lang=en_US&amp;offset=0&amp;query=any,contains,991005297349702656","Catalog Record")</f>
        <v>Catalog Record</v>
      </c>
      <c r="AT322" s="6" t="str">
        <f>HYPERLINK("http://www.worldcat.org/oclc/135760","WorldCat Record")</f>
        <v>WorldCat Record</v>
      </c>
      <c r="AU322" s="3" t="s">
        <v>4177</v>
      </c>
      <c r="AV322" s="3" t="s">
        <v>4178</v>
      </c>
      <c r="AW322" s="3" t="s">
        <v>4179</v>
      </c>
      <c r="AX322" s="3" t="s">
        <v>4179</v>
      </c>
      <c r="AY322" s="3" t="s">
        <v>4180</v>
      </c>
      <c r="AZ322" s="3" t="s">
        <v>74</v>
      </c>
      <c r="BB322" s="3" t="s">
        <v>4181</v>
      </c>
      <c r="BC322" s="3" t="s">
        <v>4182</v>
      </c>
      <c r="BD322" s="3" t="s">
        <v>4183</v>
      </c>
    </row>
    <row r="323" spans="1:56" ht="34.5" customHeight="1" x14ac:dyDescent="0.25">
      <c r="A323" s="7" t="s">
        <v>58</v>
      </c>
      <c r="B323" s="2" t="s">
        <v>4184</v>
      </c>
      <c r="C323" s="2" t="s">
        <v>4185</v>
      </c>
      <c r="D323" s="2" t="s">
        <v>4186</v>
      </c>
      <c r="F323" s="3" t="s">
        <v>58</v>
      </c>
      <c r="G323" s="3" t="s">
        <v>59</v>
      </c>
      <c r="H323" s="3" t="s">
        <v>58</v>
      </c>
      <c r="I323" s="3" t="s">
        <v>58</v>
      </c>
      <c r="J323" s="3" t="s">
        <v>60</v>
      </c>
      <c r="K323" s="2" t="s">
        <v>4187</v>
      </c>
      <c r="L323" s="2" t="s">
        <v>4188</v>
      </c>
      <c r="M323" s="3" t="s">
        <v>712</v>
      </c>
      <c r="O323" s="3" t="s">
        <v>64</v>
      </c>
      <c r="P323" s="3" t="s">
        <v>65</v>
      </c>
      <c r="R323" s="3" t="s">
        <v>66</v>
      </c>
      <c r="S323" s="4">
        <v>1</v>
      </c>
      <c r="T323" s="4">
        <v>1</v>
      </c>
      <c r="U323" s="5" t="s">
        <v>4189</v>
      </c>
      <c r="V323" s="5" t="s">
        <v>4189</v>
      </c>
      <c r="W323" s="5" t="s">
        <v>2661</v>
      </c>
      <c r="X323" s="5" t="s">
        <v>2661</v>
      </c>
      <c r="Y323" s="4">
        <v>563</v>
      </c>
      <c r="Z323" s="4">
        <v>494</v>
      </c>
      <c r="AA323" s="4">
        <v>512</v>
      </c>
      <c r="AB323" s="4">
        <v>5</v>
      </c>
      <c r="AC323" s="4">
        <v>5</v>
      </c>
      <c r="AD323" s="4">
        <v>25</v>
      </c>
      <c r="AE323" s="4">
        <v>25</v>
      </c>
      <c r="AF323" s="4">
        <v>11</v>
      </c>
      <c r="AG323" s="4">
        <v>11</v>
      </c>
      <c r="AH323" s="4">
        <v>4</v>
      </c>
      <c r="AI323" s="4">
        <v>4</v>
      </c>
      <c r="AJ323" s="4">
        <v>12</v>
      </c>
      <c r="AK323" s="4">
        <v>12</v>
      </c>
      <c r="AL323" s="4">
        <v>3</v>
      </c>
      <c r="AM323" s="4">
        <v>3</v>
      </c>
      <c r="AN323" s="4">
        <v>2</v>
      </c>
      <c r="AO323" s="4">
        <v>2</v>
      </c>
      <c r="AP323" s="3" t="s">
        <v>58</v>
      </c>
      <c r="AQ323" s="3" t="s">
        <v>58</v>
      </c>
      <c r="AS323" s="6" t="str">
        <f>HYPERLINK("https://creighton-primo.hosted.exlibrisgroup.com/primo-explore/search?tab=default_tab&amp;search_scope=EVERYTHING&amp;vid=01CRU&amp;lang=en_US&amp;offset=0&amp;query=any,contains,991002173589702656","Catalog Record")</f>
        <v>Catalog Record</v>
      </c>
      <c r="AT323" s="6" t="str">
        <f>HYPERLINK("http://www.worldcat.org/oclc/277663","WorldCat Record")</f>
        <v>WorldCat Record</v>
      </c>
      <c r="AU323" s="3" t="s">
        <v>4190</v>
      </c>
      <c r="AV323" s="3" t="s">
        <v>4191</v>
      </c>
      <c r="AW323" s="3" t="s">
        <v>4192</v>
      </c>
      <c r="AX323" s="3" t="s">
        <v>4192</v>
      </c>
      <c r="AY323" s="3" t="s">
        <v>4193</v>
      </c>
      <c r="AZ323" s="3" t="s">
        <v>74</v>
      </c>
      <c r="BC323" s="3" t="s">
        <v>4194</v>
      </c>
      <c r="BD323" s="3" t="s">
        <v>4195</v>
      </c>
    </row>
    <row r="324" spans="1:56" ht="34.5" customHeight="1" x14ac:dyDescent="0.25">
      <c r="A324" s="7" t="s">
        <v>58</v>
      </c>
      <c r="B324" s="2" t="s">
        <v>4196</v>
      </c>
      <c r="C324" s="2" t="s">
        <v>4197</v>
      </c>
      <c r="D324" s="2" t="s">
        <v>4198</v>
      </c>
      <c r="F324" s="3" t="s">
        <v>58</v>
      </c>
      <c r="G324" s="3" t="s">
        <v>59</v>
      </c>
      <c r="H324" s="3" t="s">
        <v>58</v>
      </c>
      <c r="I324" s="3" t="s">
        <v>58</v>
      </c>
      <c r="J324" s="3" t="s">
        <v>60</v>
      </c>
      <c r="K324" s="2" t="s">
        <v>4199</v>
      </c>
      <c r="L324" s="2" t="s">
        <v>4200</v>
      </c>
      <c r="M324" s="3" t="s">
        <v>607</v>
      </c>
      <c r="O324" s="3" t="s">
        <v>64</v>
      </c>
      <c r="P324" s="3" t="s">
        <v>65</v>
      </c>
      <c r="R324" s="3" t="s">
        <v>66</v>
      </c>
      <c r="S324" s="4">
        <v>3</v>
      </c>
      <c r="T324" s="4">
        <v>3</v>
      </c>
      <c r="U324" s="5" t="s">
        <v>2577</v>
      </c>
      <c r="V324" s="5" t="s">
        <v>2577</v>
      </c>
      <c r="W324" s="5" t="s">
        <v>1094</v>
      </c>
      <c r="X324" s="5" t="s">
        <v>1094</v>
      </c>
      <c r="Y324" s="4">
        <v>977</v>
      </c>
      <c r="Z324" s="4">
        <v>798</v>
      </c>
      <c r="AA324" s="4">
        <v>817</v>
      </c>
      <c r="AB324" s="4">
        <v>5</v>
      </c>
      <c r="AC324" s="4">
        <v>5</v>
      </c>
      <c r="AD324" s="4">
        <v>29</v>
      </c>
      <c r="AE324" s="4">
        <v>29</v>
      </c>
      <c r="AF324" s="4">
        <v>10</v>
      </c>
      <c r="AG324" s="4">
        <v>10</v>
      </c>
      <c r="AH324" s="4">
        <v>4</v>
      </c>
      <c r="AI324" s="4">
        <v>4</v>
      </c>
      <c r="AJ324" s="4">
        <v>14</v>
      </c>
      <c r="AK324" s="4">
        <v>14</v>
      </c>
      <c r="AL324" s="4">
        <v>4</v>
      </c>
      <c r="AM324" s="4">
        <v>4</v>
      </c>
      <c r="AN324" s="4">
        <v>3</v>
      </c>
      <c r="AO324" s="4">
        <v>3</v>
      </c>
      <c r="AP324" s="3" t="s">
        <v>58</v>
      </c>
      <c r="AQ324" s="3" t="s">
        <v>69</v>
      </c>
      <c r="AR324" s="6" t="str">
        <f>HYPERLINK("http://catalog.hathitrust.org/Record/000340898","HathiTrust Record")</f>
        <v>HathiTrust Record</v>
      </c>
      <c r="AS324" s="6" t="str">
        <f>HYPERLINK("https://creighton-primo.hosted.exlibrisgroup.com/primo-explore/search?tab=default_tab&amp;search_scope=EVERYTHING&amp;vid=01CRU&amp;lang=en_US&amp;offset=0&amp;query=any,contains,991002196509702656","Catalog Record")</f>
        <v>Catalog Record</v>
      </c>
      <c r="AT324" s="6" t="str">
        <f>HYPERLINK("http://www.worldcat.org/oclc/283110","WorldCat Record")</f>
        <v>WorldCat Record</v>
      </c>
      <c r="AU324" s="3" t="s">
        <v>4201</v>
      </c>
      <c r="AV324" s="3" t="s">
        <v>4202</v>
      </c>
      <c r="AW324" s="3" t="s">
        <v>4203</v>
      </c>
      <c r="AX324" s="3" t="s">
        <v>4203</v>
      </c>
      <c r="AY324" s="3" t="s">
        <v>4204</v>
      </c>
      <c r="AZ324" s="3" t="s">
        <v>74</v>
      </c>
      <c r="BC324" s="3" t="s">
        <v>4205</v>
      </c>
      <c r="BD324" s="3" t="s">
        <v>4206</v>
      </c>
    </row>
    <row r="325" spans="1:56" ht="34.5" customHeight="1" x14ac:dyDescent="0.25">
      <c r="A325" s="7" t="s">
        <v>58</v>
      </c>
      <c r="B325" s="2" t="s">
        <v>4207</v>
      </c>
      <c r="C325" s="2" t="s">
        <v>4208</v>
      </c>
      <c r="D325" s="2" t="s">
        <v>4209</v>
      </c>
      <c r="F325" s="3" t="s">
        <v>58</v>
      </c>
      <c r="G325" s="3" t="s">
        <v>59</v>
      </c>
      <c r="H325" s="3" t="s">
        <v>58</v>
      </c>
      <c r="I325" s="3" t="s">
        <v>58</v>
      </c>
      <c r="J325" s="3" t="s">
        <v>60</v>
      </c>
      <c r="K325" s="2" t="s">
        <v>4210</v>
      </c>
      <c r="L325" s="2" t="s">
        <v>4211</v>
      </c>
      <c r="M325" s="3" t="s">
        <v>63</v>
      </c>
      <c r="O325" s="3" t="s">
        <v>64</v>
      </c>
      <c r="P325" s="3" t="s">
        <v>65</v>
      </c>
      <c r="R325" s="3" t="s">
        <v>66</v>
      </c>
      <c r="S325" s="4">
        <v>2</v>
      </c>
      <c r="T325" s="4">
        <v>2</v>
      </c>
      <c r="U325" s="5" t="s">
        <v>3562</v>
      </c>
      <c r="V325" s="5" t="s">
        <v>3562</v>
      </c>
      <c r="W325" s="5" t="s">
        <v>1416</v>
      </c>
      <c r="X325" s="5" t="s">
        <v>1416</v>
      </c>
      <c r="Y325" s="4">
        <v>791</v>
      </c>
      <c r="Z325" s="4">
        <v>745</v>
      </c>
      <c r="AA325" s="4">
        <v>800</v>
      </c>
      <c r="AB325" s="4">
        <v>6</v>
      </c>
      <c r="AC325" s="4">
        <v>6</v>
      </c>
      <c r="AD325" s="4">
        <v>28</v>
      </c>
      <c r="AE325" s="4">
        <v>28</v>
      </c>
      <c r="AF325" s="4">
        <v>11</v>
      </c>
      <c r="AG325" s="4">
        <v>11</v>
      </c>
      <c r="AH325" s="4">
        <v>6</v>
      </c>
      <c r="AI325" s="4">
        <v>6</v>
      </c>
      <c r="AJ325" s="4">
        <v>11</v>
      </c>
      <c r="AK325" s="4">
        <v>11</v>
      </c>
      <c r="AL325" s="4">
        <v>4</v>
      </c>
      <c r="AM325" s="4">
        <v>4</v>
      </c>
      <c r="AN325" s="4">
        <v>1</v>
      </c>
      <c r="AO325" s="4">
        <v>1</v>
      </c>
      <c r="AP325" s="3" t="s">
        <v>58</v>
      </c>
      <c r="AQ325" s="3" t="s">
        <v>69</v>
      </c>
      <c r="AR325" s="6" t="str">
        <f>HYPERLINK("http://catalog.hathitrust.org/Record/000649259","HathiTrust Record")</f>
        <v>HathiTrust Record</v>
      </c>
      <c r="AS325" s="6" t="str">
        <f>HYPERLINK("https://creighton-primo.hosted.exlibrisgroup.com/primo-explore/search?tab=default_tab&amp;search_scope=EVERYTHING&amp;vid=01CRU&amp;lang=en_US&amp;offset=0&amp;query=any,contains,991000426649702656","Catalog Record")</f>
        <v>Catalog Record</v>
      </c>
      <c r="AT325" s="6" t="str">
        <f>HYPERLINK("http://www.worldcat.org/oclc/75307","WorldCat Record")</f>
        <v>WorldCat Record</v>
      </c>
      <c r="AU325" s="3" t="s">
        <v>4212</v>
      </c>
      <c r="AV325" s="3" t="s">
        <v>4213</v>
      </c>
      <c r="AW325" s="3" t="s">
        <v>4214</v>
      </c>
      <c r="AX325" s="3" t="s">
        <v>4214</v>
      </c>
      <c r="AY325" s="3" t="s">
        <v>4215</v>
      </c>
      <c r="AZ325" s="3" t="s">
        <v>74</v>
      </c>
      <c r="BC325" s="3" t="s">
        <v>4216</v>
      </c>
      <c r="BD325" s="3" t="s">
        <v>4217</v>
      </c>
    </row>
    <row r="326" spans="1:56" ht="34.5" customHeight="1" x14ac:dyDescent="0.25">
      <c r="A326" s="7" t="s">
        <v>58</v>
      </c>
      <c r="B326" s="2" t="s">
        <v>4218</v>
      </c>
      <c r="C326" s="2" t="s">
        <v>4219</v>
      </c>
      <c r="D326" s="2" t="s">
        <v>4220</v>
      </c>
      <c r="F326" s="3" t="s">
        <v>58</v>
      </c>
      <c r="G326" s="3" t="s">
        <v>59</v>
      </c>
      <c r="H326" s="3" t="s">
        <v>58</v>
      </c>
      <c r="I326" s="3" t="s">
        <v>58</v>
      </c>
      <c r="J326" s="3" t="s">
        <v>60</v>
      </c>
      <c r="K326" s="2" t="s">
        <v>4221</v>
      </c>
      <c r="L326" s="2" t="s">
        <v>4222</v>
      </c>
      <c r="M326" s="3" t="s">
        <v>339</v>
      </c>
      <c r="O326" s="3" t="s">
        <v>64</v>
      </c>
      <c r="P326" s="3" t="s">
        <v>177</v>
      </c>
      <c r="Q326" s="2" t="s">
        <v>4223</v>
      </c>
      <c r="R326" s="3" t="s">
        <v>66</v>
      </c>
      <c r="S326" s="4">
        <v>1</v>
      </c>
      <c r="T326" s="4">
        <v>1</v>
      </c>
      <c r="U326" s="5" t="s">
        <v>4224</v>
      </c>
      <c r="V326" s="5" t="s">
        <v>4224</v>
      </c>
      <c r="W326" s="5" t="s">
        <v>4225</v>
      </c>
      <c r="X326" s="5" t="s">
        <v>4225</v>
      </c>
      <c r="Y326" s="4">
        <v>473</v>
      </c>
      <c r="Z326" s="4">
        <v>316</v>
      </c>
      <c r="AA326" s="4">
        <v>331</v>
      </c>
      <c r="AB326" s="4">
        <v>3</v>
      </c>
      <c r="AC326" s="4">
        <v>3</v>
      </c>
      <c r="AD326" s="4">
        <v>13</v>
      </c>
      <c r="AE326" s="4">
        <v>13</v>
      </c>
      <c r="AF326" s="4">
        <v>2</v>
      </c>
      <c r="AG326" s="4">
        <v>2</v>
      </c>
      <c r="AH326" s="4">
        <v>4</v>
      </c>
      <c r="AI326" s="4">
        <v>4</v>
      </c>
      <c r="AJ326" s="4">
        <v>6</v>
      </c>
      <c r="AK326" s="4">
        <v>6</v>
      </c>
      <c r="AL326" s="4">
        <v>2</v>
      </c>
      <c r="AM326" s="4">
        <v>2</v>
      </c>
      <c r="AN326" s="4">
        <v>0</v>
      </c>
      <c r="AO326" s="4">
        <v>0</v>
      </c>
      <c r="AP326" s="3" t="s">
        <v>58</v>
      </c>
      <c r="AQ326" s="3" t="s">
        <v>58</v>
      </c>
      <c r="AS326" s="6" t="str">
        <f>HYPERLINK("https://creighton-primo.hosted.exlibrisgroup.com/primo-explore/search?tab=default_tab&amp;search_scope=EVERYTHING&amp;vid=01CRU&amp;lang=en_US&amp;offset=0&amp;query=any,contains,991002648139702656","Catalog Record")</f>
        <v>Catalog Record</v>
      </c>
      <c r="AT326" s="6" t="str">
        <f>HYPERLINK("http://www.worldcat.org/oclc/34651431","WorldCat Record")</f>
        <v>WorldCat Record</v>
      </c>
      <c r="AU326" s="3" t="s">
        <v>4226</v>
      </c>
      <c r="AV326" s="3" t="s">
        <v>4227</v>
      </c>
      <c r="AW326" s="3" t="s">
        <v>4228</v>
      </c>
      <c r="AX326" s="3" t="s">
        <v>4228</v>
      </c>
      <c r="AY326" s="3" t="s">
        <v>4229</v>
      </c>
      <c r="AZ326" s="3" t="s">
        <v>74</v>
      </c>
      <c r="BB326" s="3" t="s">
        <v>4230</v>
      </c>
      <c r="BC326" s="3" t="s">
        <v>4231</v>
      </c>
      <c r="BD326" s="3" t="s">
        <v>4232</v>
      </c>
    </row>
    <row r="327" spans="1:56" ht="34.5" customHeight="1" x14ac:dyDescent="0.25">
      <c r="A327" s="7" t="s">
        <v>58</v>
      </c>
      <c r="B327" s="2" t="s">
        <v>4233</v>
      </c>
      <c r="C327" s="2" t="s">
        <v>4234</v>
      </c>
      <c r="D327" s="2" t="s">
        <v>4235</v>
      </c>
      <c r="F327" s="3" t="s">
        <v>58</v>
      </c>
      <c r="G327" s="3" t="s">
        <v>59</v>
      </c>
      <c r="H327" s="3" t="s">
        <v>58</v>
      </c>
      <c r="I327" s="3" t="s">
        <v>58</v>
      </c>
      <c r="J327" s="3" t="s">
        <v>60</v>
      </c>
      <c r="K327" s="2" t="s">
        <v>4236</v>
      </c>
      <c r="L327" s="2" t="s">
        <v>4237</v>
      </c>
      <c r="M327" s="3" t="s">
        <v>698</v>
      </c>
      <c r="N327" s="2" t="s">
        <v>4238</v>
      </c>
      <c r="O327" s="3" t="s">
        <v>64</v>
      </c>
      <c r="P327" s="3" t="s">
        <v>252</v>
      </c>
      <c r="R327" s="3" t="s">
        <v>66</v>
      </c>
      <c r="S327" s="4">
        <v>1</v>
      </c>
      <c r="T327" s="4">
        <v>1</v>
      </c>
      <c r="U327" s="5" t="s">
        <v>3298</v>
      </c>
      <c r="V327" s="5" t="s">
        <v>3298</v>
      </c>
      <c r="W327" s="5" t="s">
        <v>3298</v>
      </c>
      <c r="X327" s="5" t="s">
        <v>3298</v>
      </c>
      <c r="Y327" s="4">
        <v>200</v>
      </c>
      <c r="Z327" s="4">
        <v>129</v>
      </c>
      <c r="AA327" s="4">
        <v>514</v>
      </c>
      <c r="AB327" s="4">
        <v>3</v>
      </c>
      <c r="AC327" s="4">
        <v>3</v>
      </c>
      <c r="AD327" s="4">
        <v>7</v>
      </c>
      <c r="AE327" s="4">
        <v>17</v>
      </c>
      <c r="AF327" s="4">
        <v>0</v>
      </c>
      <c r="AG327" s="4">
        <v>3</v>
      </c>
      <c r="AH327" s="4">
        <v>2</v>
      </c>
      <c r="AI327" s="4">
        <v>4</v>
      </c>
      <c r="AJ327" s="4">
        <v>4</v>
      </c>
      <c r="AK327" s="4">
        <v>10</v>
      </c>
      <c r="AL327" s="4">
        <v>2</v>
      </c>
      <c r="AM327" s="4">
        <v>2</v>
      </c>
      <c r="AN327" s="4">
        <v>0</v>
      </c>
      <c r="AO327" s="4">
        <v>0</v>
      </c>
      <c r="AP327" s="3" t="s">
        <v>58</v>
      </c>
      <c r="AQ327" s="3" t="s">
        <v>58</v>
      </c>
      <c r="AS327" s="6" t="str">
        <f>HYPERLINK("https://creighton-primo.hosted.exlibrisgroup.com/primo-explore/search?tab=default_tab&amp;search_scope=EVERYTHING&amp;vid=01CRU&amp;lang=en_US&amp;offset=0&amp;query=any,contains,991005350759702656","Catalog Record")</f>
        <v>Catalog Record</v>
      </c>
      <c r="AT327" s="6" t="str">
        <f>HYPERLINK("http://www.worldcat.org/oclc/37504417","WorldCat Record")</f>
        <v>WorldCat Record</v>
      </c>
      <c r="AU327" s="3" t="s">
        <v>4239</v>
      </c>
      <c r="AV327" s="3" t="s">
        <v>4240</v>
      </c>
      <c r="AW327" s="3" t="s">
        <v>4241</v>
      </c>
      <c r="AX327" s="3" t="s">
        <v>4241</v>
      </c>
      <c r="AY327" s="3" t="s">
        <v>4242</v>
      </c>
      <c r="AZ327" s="3" t="s">
        <v>74</v>
      </c>
      <c r="BB327" s="3" t="s">
        <v>4243</v>
      </c>
      <c r="BC327" s="3" t="s">
        <v>4244</v>
      </c>
      <c r="BD327" s="3" t="s">
        <v>4245</v>
      </c>
    </row>
    <row r="328" spans="1:56" ht="34.5" customHeight="1" x14ac:dyDescent="0.25">
      <c r="A328" s="7" t="s">
        <v>58</v>
      </c>
      <c r="B328" s="2" t="s">
        <v>4246</v>
      </c>
      <c r="C328" s="2" t="s">
        <v>4247</v>
      </c>
      <c r="D328" s="2" t="s">
        <v>4248</v>
      </c>
      <c r="F328" s="3" t="s">
        <v>58</v>
      </c>
      <c r="G328" s="3" t="s">
        <v>59</v>
      </c>
      <c r="H328" s="3" t="s">
        <v>58</v>
      </c>
      <c r="I328" s="3" t="s">
        <v>58</v>
      </c>
      <c r="J328" s="3" t="s">
        <v>60</v>
      </c>
      <c r="K328" s="2" t="s">
        <v>4249</v>
      </c>
      <c r="L328" s="2" t="s">
        <v>4250</v>
      </c>
      <c r="M328" s="3" t="s">
        <v>339</v>
      </c>
      <c r="O328" s="3" t="s">
        <v>64</v>
      </c>
      <c r="P328" s="3" t="s">
        <v>252</v>
      </c>
      <c r="R328" s="3" t="s">
        <v>66</v>
      </c>
      <c r="S328" s="4">
        <v>5</v>
      </c>
      <c r="T328" s="4">
        <v>5</v>
      </c>
      <c r="U328" s="5" t="s">
        <v>4251</v>
      </c>
      <c r="V328" s="5" t="s">
        <v>4251</v>
      </c>
      <c r="W328" s="5" t="s">
        <v>4252</v>
      </c>
      <c r="X328" s="5" t="s">
        <v>4252</v>
      </c>
      <c r="Y328" s="4">
        <v>333</v>
      </c>
      <c r="Z328" s="4">
        <v>200</v>
      </c>
      <c r="AA328" s="4">
        <v>636</v>
      </c>
      <c r="AB328" s="4">
        <v>2</v>
      </c>
      <c r="AC328" s="4">
        <v>6</v>
      </c>
      <c r="AD328" s="4">
        <v>10</v>
      </c>
      <c r="AE328" s="4">
        <v>31</v>
      </c>
      <c r="AF328" s="4">
        <v>3</v>
      </c>
      <c r="AG328" s="4">
        <v>10</v>
      </c>
      <c r="AH328" s="4">
        <v>3</v>
      </c>
      <c r="AI328" s="4">
        <v>7</v>
      </c>
      <c r="AJ328" s="4">
        <v>5</v>
      </c>
      <c r="AK328" s="4">
        <v>13</v>
      </c>
      <c r="AL328" s="4">
        <v>1</v>
      </c>
      <c r="AM328" s="4">
        <v>5</v>
      </c>
      <c r="AN328" s="4">
        <v>0</v>
      </c>
      <c r="AO328" s="4">
        <v>1</v>
      </c>
      <c r="AP328" s="3" t="s">
        <v>58</v>
      </c>
      <c r="AQ328" s="3" t="s">
        <v>58</v>
      </c>
      <c r="AS328" s="6" t="str">
        <f>HYPERLINK("https://creighton-primo.hosted.exlibrisgroup.com/primo-explore/search?tab=default_tab&amp;search_scope=EVERYTHING&amp;vid=01CRU&amp;lang=en_US&amp;offset=0&amp;query=any,contains,991002468519702656","Catalog Record")</f>
        <v>Catalog Record</v>
      </c>
      <c r="AT328" s="6" t="str">
        <f>HYPERLINK("http://www.worldcat.org/oclc/32166222","WorldCat Record")</f>
        <v>WorldCat Record</v>
      </c>
      <c r="AU328" s="3" t="s">
        <v>4253</v>
      </c>
      <c r="AV328" s="3" t="s">
        <v>4254</v>
      </c>
      <c r="AW328" s="3" t="s">
        <v>4255</v>
      </c>
      <c r="AX328" s="3" t="s">
        <v>4255</v>
      </c>
      <c r="AY328" s="3" t="s">
        <v>4256</v>
      </c>
      <c r="AZ328" s="3" t="s">
        <v>74</v>
      </c>
      <c r="BB328" s="3" t="s">
        <v>4257</v>
      </c>
      <c r="BC328" s="3" t="s">
        <v>4258</v>
      </c>
      <c r="BD328" s="3" t="s">
        <v>4259</v>
      </c>
    </row>
    <row r="329" spans="1:56" ht="34.5" customHeight="1" x14ac:dyDescent="0.25">
      <c r="A329" s="7" t="s">
        <v>58</v>
      </c>
      <c r="B329" s="2" t="s">
        <v>4260</v>
      </c>
      <c r="C329" s="2" t="s">
        <v>4261</v>
      </c>
      <c r="D329" s="2" t="s">
        <v>4262</v>
      </c>
      <c r="F329" s="3" t="s">
        <v>58</v>
      </c>
      <c r="G329" s="3" t="s">
        <v>59</v>
      </c>
      <c r="H329" s="3" t="s">
        <v>58</v>
      </c>
      <c r="I329" s="3" t="s">
        <v>58</v>
      </c>
      <c r="J329" s="3" t="s">
        <v>60</v>
      </c>
      <c r="K329" s="2" t="s">
        <v>4263</v>
      </c>
      <c r="L329" s="2" t="s">
        <v>4264</v>
      </c>
      <c r="M329" s="3" t="s">
        <v>607</v>
      </c>
      <c r="O329" s="3" t="s">
        <v>64</v>
      </c>
      <c r="P329" s="3" t="s">
        <v>238</v>
      </c>
      <c r="R329" s="3" t="s">
        <v>66</v>
      </c>
      <c r="S329" s="4">
        <v>6</v>
      </c>
      <c r="T329" s="4">
        <v>6</v>
      </c>
      <c r="U329" s="5" t="s">
        <v>4265</v>
      </c>
      <c r="V329" s="5" t="s">
        <v>4265</v>
      </c>
      <c r="W329" s="5" t="s">
        <v>4266</v>
      </c>
      <c r="X329" s="5" t="s">
        <v>4266</v>
      </c>
      <c r="Y329" s="4">
        <v>1356</v>
      </c>
      <c r="Z329" s="4">
        <v>1174</v>
      </c>
      <c r="AA329" s="4">
        <v>1238</v>
      </c>
      <c r="AB329" s="4">
        <v>7</v>
      </c>
      <c r="AC329" s="4">
        <v>7</v>
      </c>
      <c r="AD329" s="4">
        <v>51</v>
      </c>
      <c r="AE329" s="4">
        <v>53</v>
      </c>
      <c r="AF329" s="4">
        <v>20</v>
      </c>
      <c r="AG329" s="4">
        <v>21</v>
      </c>
      <c r="AH329" s="4">
        <v>6</v>
      </c>
      <c r="AI329" s="4">
        <v>8</v>
      </c>
      <c r="AJ329" s="4">
        <v>21</v>
      </c>
      <c r="AK329" s="4">
        <v>21</v>
      </c>
      <c r="AL329" s="4">
        <v>6</v>
      </c>
      <c r="AM329" s="4">
        <v>6</v>
      </c>
      <c r="AN329" s="4">
        <v>7</v>
      </c>
      <c r="AO329" s="4">
        <v>7</v>
      </c>
      <c r="AP329" s="3" t="s">
        <v>58</v>
      </c>
      <c r="AQ329" s="3" t="s">
        <v>58</v>
      </c>
      <c r="AS329" s="6" t="str">
        <f>HYPERLINK("https://creighton-primo.hosted.exlibrisgroup.com/primo-explore/search?tab=default_tab&amp;search_scope=EVERYTHING&amp;vid=01CRU&amp;lang=en_US&amp;offset=0&amp;query=any,contains,991003560849702656","Catalog Record")</f>
        <v>Catalog Record</v>
      </c>
      <c r="AT329" s="6" t="str">
        <f>HYPERLINK("http://www.worldcat.org/oclc/1130801","WorldCat Record")</f>
        <v>WorldCat Record</v>
      </c>
      <c r="AU329" s="3" t="s">
        <v>4267</v>
      </c>
      <c r="AV329" s="3" t="s">
        <v>4268</v>
      </c>
      <c r="AW329" s="3" t="s">
        <v>4269</v>
      </c>
      <c r="AX329" s="3" t="s">
        <v>4269</v>
      </c>
      <c r="AY329" s="3" t="s">
        <v>4270</v>
      </c>
      <c r="AZ329" s="3" t="s">
        <v>74</v>
      </c>
      <c r="BC329" s="3" t="s">
        <v>4271</v>
      </c>
      <c r="BD329" s="3" t="s">
        <v>4272</v>
      </c>
    </row>
    <row r="330" spans="1:56" ht="34.5" customHeight="1" x14ac:dyDescent="0.25">
      <c r="A330" s="7" t="s">
        <v>58</v>
      </c>
      <c r="B330" s="2" t="s">
        <v>4273</v>
      </c>
      <c r="C330" s="2" t="s">
        <v>4274</v>
      </c>
      <c r="D330" s="2" t="s">
        <v>4275</v>
      </c>
      <c r="F330" s="3" t="s">
        <v>58</v>
      </c>
      <c r="G330" s="3" t="s">
        <v>59</v>
      </c>
      <c r="H330" s="3" t="s">
        <v>58</v>
      </c>
      <c r="I330" s="3" t="s">
        <v>58</v>
      </c>
      <c r="J330" s="3" t="s">
        <v>60</v>
      </c>
      <c r="K330" s="2" t="s">
        <v>4263</v>
      </c>
      <c r="L330" s="2" t="s">
        <v>4276</v>
      </c>
      <c r="M330" s="3" t="s">
        <v>579</v>
      </c>
      <c r="O330" s="3" t="s">
        <v>64</v>
      </c>
      <c r="P330" s="3" t="s">
        <v>238</v>
      </c>
      <c r="R330" s="3" t="s">
        <v>66</v>
      </c>
      <c r="S330" s="4">
        <v>0</v>
      </c>
      <c r="T330" s="4">
        <v>0</v>
      </c>
      <c r="U330" s="5" t="s">
        <v>4277</v>
      </c>
      <c r="V330" s="5" t="s">
        <v>4277</v>
      </c>
      <c r="W330" s="5" t="s">
        <v>4116</v>
      </c>
      <c r="X330" s="5" t="s">
        <v>4116</v>
      </c>
      <c r="Y330" s="4">
        <v>759</v>
      </c>
      <c r="Z330" s="4">
        <v>658</v>
      </c>
      <c r="AA330" s="4">
        <v>667</v>
      </c>
      <c r="AB330" s="4">
        <v>4</v>
      </c>
      <c r="AC330" s="4">
        <v>4</v>
      </c>
      <c r="AD330" s="4">
        <v>33</v>
      </c>
      <c r="AE330" s="4">
        <v>33</v>
      </c>
      <c r="AF330" s="4">
        <v>10</v>
      </c>
      <c r="AG330" s="4">
        <v>10</v>
      </c>
      <c r="AH330" s="4">
        <v>11</v>
      </c>
      <c r="AI330" s="4">
        <v>11</v>
      </c>
      <c r="AJ330" s="4">
        <v>16</v>
      </c>
      <c r="AK330" s="4">
        <v>16</v>
      </c>
      <c r="AL330" s="4">
        <v>3</v>
      </c>
      <c r="AM330" s="4">
        <v>3</v>
      </c>
      <c r="AN330" s="4">
        <v>1</v>
      </c>
      <c r="AO330" s="4">
        <v>1</v>
      </c>
      <c r="AP330" s="3" t="s">
        <v>58</v>
      </c>
      <c r="AQ330" s="3" t="s">
        <v>69</v>
      </c>
      <c r="AR330" s="6" t="str">
        <f>HYPERLINK("http://catalog.hathitrust.org/Record/000343434","HathiTrust Record")</f>
        <v>HathiTrust Record</v>
      </c>
      <c r="AS330" s="6" t="str">
        <f>HYPERLINK("https://creighton-primo.hosted.exlibrisgroup.com/primo-explore/search?tab=default_tab&amp;search_scope=EVERYTHING&amp;vid=01CRU&amp;lang=en_US&amp;offset=0&amp;query=any,contains,991003433679702656","Catalog Record")</f>
        <v>Catalog Record</v>
      </c>
      <c r="AT330" s="6" t="str">
        <f>HYPERLINK("http://www.worldcat.org/oclc/513247","WorldCat Record")</f>
        <v>WorldCat Record</v>
      </c>
      <c r="AU330" s="3" t="s">
        <v>4278</v>
      </c>
      <c r="AV330" s="3" t="s">
        <v>4279</v>
      </c>
      <c r="AW330" s="3" t="s">
        <v>4280</v>
      </c>
      <c r="AX330" s="3" t="s">
        <v>4280</v>
      </c>
      <c r="AY330" s="3" t="s">
        <v>4281</v>
      </c>
      <c r="AZ330" s="3" t="s">
        <v>74</v>
      </c>
      <c r="BC330" s="3" t="s">
        <v>4282</v>
      </c>
      <c r="BD330" s="3" t="s">
        <v>4283</v>
      </c>
    </row>
    <row r="331" spans="1:56" ht="34.5" customHeight="1" x14ac:dyDescent="0.25">
      <c r="A331" s="7" t="s">
        <v>58</v>
      </c>
      <c r="B331" s="2" t="s">
        <v>4284</v>
      </c>
      <c r="C331" s="2" t="s">
        <v>4285</v>
      </c>
      <c r="D331" s="2" t="s">
        <v>4286</v>
      </c>
      <c r="F331" s="3" t="s">
        <v>58</v>
      </c>
      <c r="G331" s="3" t="s">
        <v>59</v>
      </c>
      <c r="H331" s="3" t="s">
        <v>58</v>
      </c>
      <c r="I331" s="3" t="s">
        <v>58</v>
      </c>
      <c r="J331" s="3" t="s">
        <v>60</v>
      </c>
      <c r="K331" s="2" t="s">
        <v>4287</v>
      </c>
      <c r="L331" s="2" t="s">
        <v>4288</v>
      </c>
      <c r="M331" s="3" t="s">
        <v>209</v>
      </c>
      <c r="O331" s="3" t="s">
        <v>64</v>
      </c>
      <c r="P331" s="3" t="s">
        <v>238</v>
      </c>
      <c r="R331" s="3" t="s">
        <v>66</v>
      </c>
      <c r="S331" s="4">
        <v>3</v>
      </c>
      <c r="T331" s="4">
        <v>3</v>
      </c>
      <c r="U331" s="5" t="s">
        <v>874</v>
      </c>
      <c r="V331" s="5" t="s">
        <v>874</v>
      </c>
      <c r="W331" s="5" t="s">
        <v>4289</v>
      </c>
      <c r="X331" s="5" t="s">
        <v>4289</v>
      </c>
      <c r="Y331" s="4">
        <v>721</v>
      </c>
      <c r="Z331" s="4">
        <v>572</v>
      </c>
      <c r="AA331" s="4">
        <v>573</v>
      </c>
      <c r="AB331" s="4">
        <v>2</v>
      </c>
      <c r="AC331" s="4">
        <v>2</v>
      </c>
      <c r="AD331" s="4">
        <v>31</v>
      </c>
      <c r="AE331" s="4">
        <v>31</v>
      </c>
      <c r="AF331" s="4">
        <v>11</v>
      </c>
      <c r="AG331" s="4">
        <v>11</v>
      </c>
      <c r="AH331" s="4">
        <v>8</v>
      </c>
      <c r="AI331" s="4">
        <v>8</v>
      </c>
      <c r="AJ331" s="4">
        <v>21</v>
      </c>
      <c r="AK331" s="4">
        <v>21</v>
      </c>
      <c r="AL331" s="4">
        <v>1</v>
      </c>
      <c r="AM331" s="4">
        <v>1</v>
      </c>
      <c r="AN331" s="4">
        <v>0</v>
      </c>
      <c r="AO331" s="4">
        <v>0</v>
      </c>
      <c r="AP331" s="3" t="s">
        <v>58</v>
      </c>
      <c r="AQ331" s="3" t="s">
        <v>58</v>
      </c>
      <c r="AS331" s="6" t="str">
        <f>HYPERLINK("https://creighton-primo.hosted.exlibrisgroup.com/primo-explore/search?tab=default_tab&amp;search_scope=EVERYTHING&amp;vid=01CRU&amp;lang=en_US&amp;offset=0&amp;query=any,contains,991000558219702656","Catalog Record")</f>
        <v>Catalog Record</v>
      </c>
      <c r="AT331" s="6" t="str">
        <f>HYPERLINK("http://www.worldcat.org/oclc/11573665","WorldCat Record")</f>
        <v>WorldCat Record</v>
      </c>
      <c r="AU331" s="3" t="s">
        <v>4290</v>
      </c>
      <c r="AV331" s="3" t="s">
        <v>4291</v>
      </c>
      <c r="AW331" s="3" t="s">
        <v>4292</v>
      </c>
      <c r="AX331" s="3" t="s">
        <v>4292</v>
      </c>
      <c r="AY331" s="3" t="s">
        <v>4293</v>
      </c>
      <c r="AZ331" s="3" t="s">
        <v>74</v>
      </c>
      <c r="BB331" s="3" t="s">
        <v>4294</v>
      </c>
      <c r="BC331" s="3" t="s">
        <v>4295</v>
      </c>
      <c r="BD331" s="3" t="s">
        <v>4296</v>
      </c>
    </row>
    <row r="332" spans="1:56" ht="34.5" customHeight="1" x14ac:dyDescent="0.25">
      <c r="A332" s="7" t="s">
        <v>58</v>
      </c>
      <c r="B332" s="2" t="s">
        <v>4297</v>
      </c>
      <c r="C332" s="2" t="s">
        <v>4298</v>
      </c>
      <c r="D332" s="2" t="s">
        <v>4299</v>
      </c>
      <c r="F332" s="3" t="s">
        <v>58</v>
      </c>
      <c r="G332" s="3" t="s">
        <v>59</v>
      </c>
      <c r="H332" s="3" t="s">
        <v>58</v>
      </c>
      <c r="I332" s="3" t="s">
        <v>58</v>
      </c>
      <c r="J332" s="3" t="s">
        <v>60</v>
      </c>
      <c r="K332" s="2" t="s">
        <v>4300</v>
      </c>
      <c r="L332" s="2" t="s">
        <v>4301</v>
      </c>
      <c r="M332" s="3" t="s">
        <v>1234</v>
      </c>
      <c r="O332" s="3" t="s">
        <v>64</v>
      </c>
      <c r="P332" s="3" t="s">
        <v>65</v>
      </c>
      <c r="R332" s="3" t="s">
        <v>66</v>
      </c>
      <c r="S332" s="4">
        <v>2</v>
      </c>
      <c r="T332" s="4">
        <v>2</v>
      </c>
      <c r="U332" s="5" t="s">
        <v>985</v>
      </c>
      <c r="V332" s="5" t="s">
        <v>985</v>
      </c>
      <c r="W332" s="5" t="s">
        <v>2661</v>
      </c>
      <c r="X332" s="5" t="s">
        <v>2661</v>
      </c>
      <c r="Y332" s="4">
        <v>230</v>
      </c>
      <c r="Z332" s="4">
        <v>184</v>
      </c>
      <c r="AA332" s="4">
        <v>193</v>
      </c>
      <c r="AB332" s="4">
        <v>2</v>
      </c>
      <c r="AC332" s="4">
        <v>2</v>
      </c>
      <c r="AD332" s="4">
        <v>5</v>
      </c>
      <c r="AE332" s="4">
        <v>6</v>
      </c>
      <c r="AF332" s="4">
        <v>1</v>
      </c>
      <c r="AG332" s="4">
        <v>2</v>
      </c>
      <c r="AH332" s="4">
        <v>1</v>
      </c>
      <c r="AI332" s="4">
        <v>1</v>
      </c>
      <c r="AJ332" s="4">
        <v>2</v>
      </c>
      <c r="AK332" s="4">
        <v>2</v>
      </c>
      <c r="AL332" s="4">
        <v>1</v>
      </c>
      <c r="AM332" s="4">
        <v>1</v>
      </c>
      <c r="AN332" s="4">
        <v>0</v>
      </c>
      <c r="AO332" s="4">
        <v>0</v>
      </c>
      <c r="AP332" s="3" t="s">
        <v>69</v>
      </c>
      <c r="AQ332" s="3" t="s">
        <v>58</v>
      </c>
      <c r="AR332" s="6" t="str">
        <f>HYPERLINK("http://catalog.hathitrust.org/Record/000344660","HathiTrust Record")</f>
        <v>HathiTrust Record</v>
      </c>
      <c r="AS332" s="6" t="str">
        <f>HYPERLINK("https://creighton-primo.hosted.exlibrisgroup.com/primo-explore/search?tab=default_tab&amp;search_scope=EVERYTHING&amp;vid=01CRU&amp;lang=en_US&amp;offset=0&amp;query=any,contains,991002161909702656","Catalog Record")</f>
        <v>Catalog Record</v>
      </c>
      <c r="AT332" s="6" t="str">
        <f>HYPERLINK("http://www.worldcat.org/oclc/274044","WorldCat Record")</f>
        <v>WorldCat Record</v>
      </c>
      <c r="AU332" s="3" t="s">
        <v>4302</v>
      </c>
      <c r="AV332" s="3" t="s">
        <v>4303</v>
      </c>
      <c r="AW332" s="3" t="s">
        <v>4304</v>
      </c>
      <c r="AX332" s="3" t="s">
        <v>4304</v>
      </c>
      <c r="AY332" s="3" t="s">
        <v>4305</v>
      </c>
      <c r="AZ332" s="3" t="s">
        <v>74</v>
      </c>
      <c r="BC332" s="3" t="s">
        <v>4306</v>
      </c>
      <c r="BD332" s="3" t="s">
        <v>4307</v>
      </c>
    </row>
    <row r="333" spans="1:56" ht="34.5" customHeight="1" x14ac:dyDescent="0.25">
      <c r="A333" s="7" t="s">
        <v>58</v>
      </c>
      <c r="B333" s="2" t="s">
        <v>4308</v>
      </c>
      <c r="C333" s="2" t="s">
        <v>4309</v>
      </c>
      <c r="D333" s="2" t="s">
        <v>4310</v>
      </c>
      <c r="F333" s="3" t="s">
        <v>58</v>
      </c>
      <c r="G333" s="3" t="s">
        <v>59</v>
      </c>
      <c r="H333" s="3" t="s">
        <v>58</v>
      </c>
      <c r="I333" s="3" t="s">
        <v>58</v>
      </c>
      <c r="J333" s="3" t="s">
        <v>60</v>
      </c>
      <c r="K333" s="2" t="s">
        <v>4311</v>
      </c>
      <c r="L333" s="2" t="s">
        <v>4312</v>
      </c>
      <c r="M333" s="3" t="s">
        <v>297</v>
      </c>
      <c r="N333" s="2" t="s">
        <v>4313</v>
      </c>
      <c r="O333" s="3" t="s">
        <v>64</v>
      </c>
      <c r="P333" s="3" t="s">
        <v>670</v>
      </c>
      <c r="R333" s="3" t="s">
        <v>66</v>
      </c>
      <c r="S333" s="4">
        <v>2</v>
      </c>
      <c r="T333" s="4">
        <v>2</v>
      </c>
      <c r="U333" s="5" t="s">
        <v>4314</v>
      </c>
      <c r="V333" s="5" t="s">
        <v>4314</v>
      </c>
      <c r="W333" s="5" t="s">
        <v>1094</v>
      </c>
      <c r="X333" s="5" t="s">
        <v>1094</v>
      </c>
      <c r="Y333" s="4">
        <v>739</v>
      </c>
      <c r="Z333" s="4">
        <v>671</v>
      </c>
      <c r="AA333" s="4">
        <v>1644</v>
      </c>
      <c r="AB333" s="4">
        <v>6</v>
      </c>
      <c r="AC333" s="4">
        <v>11</v>
      </c>
      <c r="AD333" s="4">
        <v>23</v>
      </c>
      <c r="AE333" s="4">
        <v>57</v>
      </c>
      <c r="AF333" s="4">
        <v>8</v>
      </c>
      <c r="AG333" s="4">
        <v>27</v>
      </c>
      <c r="AH333" s="4">
        <v>4</v>
      </c>
      <c r="AI333" s="4">
        <v>10</v>
      </c>
      <c r="AJ333" s="4">
        <v>8</v>
      </c>
      <c r="AK333" s="4">
        <v>23</v>
      </c>
      <c r="AL333" s="4">
        <v>5</v>
      </c>
      <c r="AM333" s="4">
        <v>9</v>
      </c>
      <c r="AN333" s="4">
        <v>0</v>
      </c>
      <c r="AO333" s="4">
        <v>0</v>
      </c>
      <c r="AP333" s="3" t="s">
        <v>58</v>
      </c>
      <c r="AQ333" s="3" t="s">
        <v>58</v>
      </c>
      <c r="AR333" s="6" t="str">
        <f>HYPERLINK("http://catalog.hathitrust.org/Record/000452488","HathiTrust Record")</f>
        <v>HathiTrust Record</v>
      </c>
      <c r="AS333" s="6" t="str">
        <f>HYPERLINK("https://creighton-primo.hosted.exlibrisgroup.com/primo-explore/search?tab=default_tab&amp;search_scope=EVERYTHING&amp;vid=01CRU&amp;lang=en_US&amp;offset=0&amp;query=any,contains,991003370719702656","Catalog Record")</f>
        <v>Catalog Record</v>
      </c>
      <c r="AT333" s="6" t="str">
        <f>HYPERLINK("http://www.worldcat.org/oclc/906785","WorldCat Record")</f>
        <v>WorldCat Record</v>
      </c>
      <c r="AU333" s="3" t="s">
        <v>4315</v>
      </c>
      <c r="AV333" s="3" t="s">
        <v>4316</v>
      </c>
      <c r="AW333" s="3" t="s">
        <v>4317</v>
      </c>
      <c r="AX333" s="3" t="s">
        <v>4317</v>
      </c>
      <c r="AY333" s="3" t="s">
        <v>4318</v>
      </c>
      <c r="AZ333" s="3" t="s">
        <v>74</v>
      </c>
      <c r="BC333" s="3" t="s">
        <v>4319</v>
      </c>
      <c r="BD333" s="3" t="s">
        <v>4320</v>
      </c>
    </row>
    <row r="334" spans="1:56" ht="34.5" customHeight="1" x14ac:dyDescent="0.25">
      <c r="A334" s="7" t="s">
        <v>58</v>
      </c>
      <c r="B334" s="2" t="s">
        <v>4321</v>
      </c>
      <c r="C334" s="2" t="s">
        <v>4322</v>
      </c>
      <c r="D334" s="2" t="s">
        <v>4323</v>
      </c>
      <c r="F334" s="3" t="s">
        <v>58</v>
      </c>
      <c r="G334" s="3" t="s">
        <v>59</v>
      </c>
      <c r="H334" s="3" t="s">
        <v>58</v>
      </c>
      <c r="I334" s="3" t="s">
        <v>69</v>
      </c>
      <c r="J334" s="3" t="s">
        <v>60</v>
      </c>
      <c r="K334" s="2" t="s">
        <v>778</v>
      </c>
      <c r="L334" s="2" t="s">
        <v>4324</v>
      </c>
      <c r="M334" s="3" t="s">
        <v>99</v>
      </c>
      <c r="O334" s="3" t="s">
        <v>64</v>
      </c>
      <c r="P334" s="3" t="s">
        <v>65</v>
      </c>
      <c r="R334" s="3" t="s">
        <v>66</v>
      </c>
      <c r="S334" s="4">
        <v>6</v>
      </c>
      <c r="T334" s="4">
        <v>6</v>
      </c>
      <c r="U334" s="5" t="s">
        <v>410</v>
      </c>
      <c r="V334" s="5" t="s">
        <v>410</v>
      </c>
      <c r="W334" s="5" t="s">
        <v>781</v>
      </c>
      <c r="X334" s="5" t="s">
        <v>781</v>
      </c>
      <c r="Y334" s="4">
        <v>576</v>
      </c>
      <c r="Z334" s="4">
        <v>494</v>
      </c>
      <c r="AA334" s="4">
        <v>646</v>
      </c>
      <c r="AB334" s="4">
        <v>3</v>
      </c>
      <c r="AC334" s="4">
        <v>3</v>
      </c>
      <c r="AD334" s="4">
        <v>16</v>
      </c>
      <c r="AE334" s="4">
        <v>21</v>
      </c>
      <c r="AF334" s="4">
        <v>5</v>
      </c>
      <c r="AG334" s="4">
        <v>9</v>
      </c>
      <c r="AH334" s="4">
        <v>6</v>
      </c>
      <c r="AI334" s="4">
        <v>6</v>
      </c>
      <c r="AJ334" s="4">
        <v>6</v>
      </c>
      <c r="AK334" s="4">
        <v>7</v>
      </c>
      <c r="AL334" s="4">
        <v>2</v>
      </c>
      <c r="AM334" s="4">
        <v>2</v>
      </c>
      <c r="AN334" s="4">
        <v>0</v>
      </c>
      <c r="AO334" s="4">
        <v>0</v>
      </c>
      <c r="AP334" s="3" t="s">
        <v>58</v>
      </c>
      <c r="AQ334" s="3" t="s">
        <v>69</v>
      </c>
      <c r="AR334" s="6" t="str">
        <f>HYPERLINK("http://catalog.hathitrust.org/Record/000144020","HathiTrust Record")</f>
        <v>HathiTrust Record</v>
      </c>
      <c r="AS334" s="6" t="str">
        <f>HYPERLINK("https://creighton-primo.hosted.exlibrisgroup.com/primo-explore/search?tab=default_tab&amp;search_scope=EVERYTHING&amp;vid=01CRU&amp;lang=en_US&amp;offset=0&amp;query=any,contains,991004865359702656","Catalog Record")</f>
        <v>Catalog Record</v>
      </c>
      <c r="AT334" s="6" t="str">
        <f>HYPERLINK("http://www.worldcat.org/oclc/5726617","WorldCat Record")</f>
        <v>WorldCat Record</v>
      </c>
      <c r="AU334" s="3" t="s">
        <v>782</v>
      </c>
      <c r="AV334" s="3" t="s">
        <v>4325</v>
      </c>
      <c r="AW334" s="3" t="s">
        <v>4326</v>
      </c>
      <c r="AX334" s="3" t="s">
        <v>4326</v>
      </c>
      <c r="AY334" s="3" t="s">
        <v>4327</v>
      </c>
      <c r="AZ334" s="3" t="s">
        <v>74</v>
      </c>
      <c r="BB334" s="3" t="s">
        <v>4328</v>
      </c>
      <c r="BC334" s="3" t="s">
        <v>4329</v>
      </c>
      <c r="BD334" s="3" t="s">
        <v>4330</v>
      </c>
    </row>
    <row r="335" spans="1:56" ht="34.5" customHeight="1" x14ac:dyDescent="0.25">
      <c r="A335" s="7" t="s">
        <v>58</v>
      </c>
      <c r="B335" s="2" t="s">
        <v>4331</v>
      </c>
      <c r="C335" s="2" t="s">
        <v>4332</v>
      </c>
      <c r="D335" s="2" t="s">
        <v>4333</v>
      </c>
      <c r="F335" s="3" t="s">
        <v>58</v>
      </c>
      <c r="G335" s="3" t="s">
        <v>59</v>
      </c>
      <c r="H335" s="3" t="s">
        <v>58</v>
      </c>
      <c r="I335" s="3" t="s">
        <v>58</v>
      </c>
      <c r="J335" s="3" t="s">
        <v>60</v>
      </c>
      <c r="K335" s="2" t="s">
        <v>4334</v>
      </c>
      <c r="L335" s="2" t="s">
        <v>4335</v>
      </c>
      <c r="M335" s="3" t="s">
        <v>354</v>
      </c>
      <c r="O335" s="3" t="s">
        <v>64</v>
      </c>
      <c r="P335" s="3" t="s">
        <v>84</v>
      </c>
      <c r="R335" s="3" t="s">
        <v>66</v>
      </c>
      <c r="S335" s="4">
        <v>13</v>
      </c>
      <c r="T335" s="4">
        <v>13</v>
      </c>
      <c r="U335" s="5" t="s">
        <v>4336</v>
      </c>
      <c r="V335" s="5" t="s">
        <v>4336</v>
      </c>
      <c r="W335" s="5" t="s">
        <v>4337</v>
      </c>
      <c r="X335" s="5" t="s">
        <v>4337</v>
      </c>
      <c r="Y335" s="4">
        <v>446</v>
      </c>
      <c r="Z335" s="4">
        <v>333</v>
      </c>
      <c r="AA335" s="4">
        <v>436</v>
      </c>
      <c r="AB335" s="4">
        <v>2</v>
      </c>
      <c r="AC335" s="4">
        <v>2</v>
      </c>
      <c r="AD335" s="4">
        <v>10</v>
      </c>
      <c r="AE335" s="4">
        <v>17</v>
      </c>
      <c r="AF335" s="4">
        <v>4</v>
      </c>
      <c r="AG335" s="4">
        <v>8</v>
      </c>
      <c r="AH335" s="4">
        <v>2</v>
      </c>
      <c r="AI335" s="4">
        <v>4</v>
      </c>
      <c r="AJ335" s="4">
        <v>5</v>
      </c>
      <c r="AK335" s="4">
        <v>9</v>
      </c>
      <c r="AL335" s="4">
        <v>1</v>
      </c>
      <c r="AM335" s="4">
        <v>1</v>
      </c>
      <c r="AN335" s="4">
        <v>0</v>
      </c>
      <c r="AO335" s="4">
        <v>0</v>
      </c>
      <c r="AP335" s="3" t="s">
        <v>58</v>
      </c>
      <c r="AQ335" s="3" t="s">
        <v>69</v>
      </c>
      <c r="AR335" s="6" t="str">
        <f>HYPERLINK("http://catalog.hathitrust.org/Record/000454133","HathiTrust Record")</f>
        <v>HathiTrust Record</v>
      </c>
      <c r="AS335" s="6" t="str">
        <f>HYPERLINK("https://creighton-primo.hosted.exlibrisgroup.com/primo-explore/search?tab=default_tab&amp;search_scope=EVERYTHING&amp;vid=01CRU&amp;lang=en_US&amp;offset=0&amp;query=any,contains,991001387569702656","Catalog Record")</f>
        <v>Catalog Record</v>
      </c>
      <c r="AT335" s="6" t="str">
        <f>HYPERLINK("http://www.worldcat.org/oclc/227623","WorldCat Record")</f>
        <v>WorldCat Record</v>
      </c>
      <c r="AU335" s="3" t="s">
        <v>4338</v>
      </c>
      <c r="AV335" s="3" t="s">
        <v>4339</v>
      </c>
      <c r="AW335" s="3" t="s">
        <v>4340</v>
      </c>
      <c r="AX335" s="3" t="s">
        <v>4340</v>
      </c>
      <c r="AY335" s="3" t="s">
        <v>4341</v>
      </c>
      <c r="AZ335" s="3" t="s">
        <v>74</v>
      </c>
      <c r="BC335" s="3" t="s">
        <v>4342</v>
      </c>
      <c r="BD335" s="3" t="s">
        <v>4343</v>
      </c>
    </row>
    <row r="336" spans="1:56" ht="34.5" customHeight="1" x14ac:dyDescent="0.25">
      <c r="A336" s="7" t="s">
        <v>58</v>
      </c>
      <c r="B336" s="2" t="s">
        <v>4344</v>
      </c>
      <c r="C336" s="2" t="s">
        <v>4345</v>
      </c>
      <c r="D336" s="2" t="s">
        <v>4346</v>
      </c>
      <c r="F336" s="3" t="s">
        <v>58</v>
      </c>
      <c r="G336" s="3" t="s">
        <v>59</v>
      </c>
      <c r="H336" s="3" t="s">
        <v>58</v>
      </c>
      <c r="I336" s="3" t="s">
        <v>58</v>
      </c>
      <c r="J336" s="3" t="s">
        <v>60</v>
      </c>
      <c r="K336" s="2" t="s">
        <v>4347</v>
      </c>
      <c r="L336" s="2" t="s">
        <v>4348</v>
      </c>
      <c r="M336" s="3" t="s">
        <v>176</v>
      </c>
      <c r="O336" s="3" t="s">
        <v>64</v>
      </c>
      <c r="P336" s="3" t="s">
        <v>147</v>
      </c>
      <c r="R336" s="3" t="s">
        <v>66</v>
      </c>
      <c r="S336" s="4">
        <v>2</v>
      </c>
      <c r="T336" s="4">
        <v>2</v>
      </c>
      <c r="U336" s="5" t="s">
        <v>2229</v>
      </c>
      <c r="V336" s="5" t="s">
        <v>2229</v>
      </c>
      <c r="W336" s="5" t="s">
        <v>102</v>
      </c>
      <c r="X336" s="5" t="s">
        <v>102</v>
      </c>
      <c r="Y336" s="4">
        <v>537</v>
      </c>
      <c r="Z336" s="4">
        <v>390</v>
      </c>
      <c r="AA336" s="4">
        <v>391</v>
      </c>
      <c r="AB336" s="4">
        <v>2</v>
      </c>
      <c r="AC336" s="4">
        <v>2</v>
      </c>
      <c r="AD336" s="4">
        <v>18</v>
      </c>
      <c r="AE336" s="4">
        <v>18</v>
      </c>
      <c r="AF336" s="4">
        <v>7</v>
      </c>
      <c r="AG336" s="4">
        <v>7</v>
      </c>
      <c r="AH336" s="4">
        <v>6</v>
      </c>
      <c r="AI336" s="4">
        <v>6</v>
      </c>
      <c r="AJ336" s="4">
        <v>9</v>
      </c>
      <c r="AK336" s="4">
        <v>9</v>
      </c>
      <c r="AL336" s="4">
        <v>1</v>
      </c>
      <c r="AM336" s="4">
        <v>1</v>
      </c>
      <c r="AN336" s="4">
        <v>0</v>
      </c>
      <c r="AO336" s="4">
        <v>0</v>
      </c>
      <c r="AP336" s="3" t="s">
        <v>58</v>
      </c>
      <c r="AQ336" s="3" t="s">
        <v>58</v>
      </c>
      <c r="AS336" s="6" t="str">
        <f>HYPERLINK("https://creighton-primo.hosted.exlibrisgroup.com/primo-explore/search?tab=default_tab&amp;search_scope=EVERYTHING&amp;vid=01CRU&amp;lang=en_US&amp;offset=0&amp;query=any,contains,991000952989702656","Catalog Record")</f>
        <v>Catalog Record</v>
      </c>
      <c r="AT336" s="6" t="str">
        <f>HYPERLINK("http://www.worldcat.org/oclc/14692838","WorldCat Record")</f>
        <v>WorldCat Record</v>
      </c>
      <c r="AU336" s="3" t="s">
        <v>4349</v>
      </c>
      <c r="AV336" s="3" t="s">
        <v>4350</v>
      </c>
      <c r="AW336" s="3" t="s">
        <v>4351</v>
      </c>
      <c r="AX336" s="3" t="s">
        <v>4351</v>
      </c>
      <c r="AY336" s="3" t="s">
        <v>4352</v>
      </c>
      <c r="AZ336" s="3" t="s">
        <v>74</v>
      </c>
      <c r="BB336" s="3" t="s">
        <v>4353</v>
      </c>
      <c r="BC336" s="3" t="s">
        <v>4354</v>
      </c>
      <c r="BD336" s="3" t="s">
        <v>4355</v>
      </c>
    </row>
    <row r="337" spans="1:56" ht="34.5" customHeight="1" x14ac:dyDescent="0.25">
      <c r="A337" s="7" t="s">
        <v>58</v>
      </c>
      <c r="B337" s="2" t="s">
        <v>4356</v>
      </c>
      <c r="C337" s="2" t="s">
        <v>4357</v>
      </c>
      <c r="D337" s="2" t="s">
        <v>4358</v>
      </c>
      <c r="F337" s="3" t="s">
        <v>58</v>
      </c>
      <c r="G337" s="3" t="s">
        <v>59</v>
      </c>
      <c r="H337" s="3" t="s">
        <v>58</v>
      </c>
      <c r="I337" s="3" t="s">
        <v>58</v>
      </c>
      <c r="J337" s="3" t="s">
        <v>60</v>
      </c>
      <c r="K337" s="2" t="s">
        <v>4359</v>
      </c>
      <c r="L337" s="2" t="s">
        <v>4360</v>
      </c>
      <c r="M337" s="3" t="s">
        <v>1506</v>
      </c>
      <c r="O337" s="3" t="s">
        <v>64</v>
      </c>
      <c r="P337" s="3" t="s">
        <v>65</v>
      </c>
      <c r="Q337" s="2" t="s">
        <v>4361</v>
      </c>
      <c r="R337" s="3" t="s">
        <v>66</v>
      </c>
      <c r="S337" s="4">
        <v>4</v>
      </c>
      <c r="T337" s="4">
        <v>4</v>
      </c>
      <c r="U337" s="5" t="s">
        <v>3189</v>
      </c>
      <c r="V337" s="5" t="s">
        <v>3189</v>
      </c>
      <c r="W337" s="5" t="s">
        <v>2389</v>
      </c>
      <c r="X337" s="5" t="s">
        <v>2389</v>
      </c>
      <c r="Y337" s="4">
        <v>857</v>
      </c>
      <c r="Z337" s="4">
        <v>800</v>
      </c>
      <c r="AA337" s="4">
        <v>983</v>
      </c>
      <c r="AB337" s="4">
        <v>3</v>
      </c>
      <c r="AC337" s="4">
        <v>4</v>
      </c>
      <c r="AD337" s="4">
        <v>26</v>
      </c>
      <c r="AE337" s="4">
        <v>33</v>
      </c>
      <c r="AF337" s="4">
        <v>11</v>
      </c>
      <c r="AG337" s="4">
        <v>15</v>
      </c>
      <c r="AH337" s="4">
        <v>9</v>
      </c>
      <c r="AI337" s="4">
        <v>10</v>
      </c>
      <c r="AJ337" s="4">
        <v>12</v>
      </c>
      <c r="AK337" s="4">
        <v>16</v>
      </c>
      <c r="AL337" s="4">
        <v>1</v>
      </c>
      <c r="AM337" s="4">
        <v>2</v>
      </c>
      <c r="AN337" s="4">
        <v>0</v>
      </c>
      <c r="AO337" s="4">
        <v>0</v>
      </c>
      <c r="AP337" s="3" t="s">
        <v>58</v>
      </c>
      <c r="AQ337" s="3" t="s">
        <v>69</v>
      </c>
      <c r="AR337" s="6" t="str">
        <f>HYPERLINK("http://catalog.hathitrust.org/Record/000256962","HathiTrust Record")</f>
        <v>HathiTrust Record</v>
      </c>
      <c r="AS337" s="6" t="str">
        <f>HYPERLINK("https://creighton-primo.hosted.exlibrisgroup.com/primo-explore/search?tab=default_tab&amp;search_scope=EVERYTHING&amp;vid=01CRU&amp;lang=en_US&amp;offset=0&amp;query=any,contains,991004664649702656","Catalog Record")</f>
        <v>Catalog Record</v>
      </c>
      <c r="AT337" s="6" t="str">
        <f>HYPERLINK("http://www.worldcat.org/oclc/4500034","WorldCat Record")</f>
        <v>WorldCat Record</v>
      </c>
      <c r="AU337" s="3" t="s">
        <v>4362</v>
      </c>
      <c r="AV337" s="3" t="s">
        <v>4363</v>
      </c>
      <c r="AW337" s="3" t="s">
        <v>4364</v>
      </c>
      <c r="AX337" s="3" t="s">
        <v>4364</v>
      </c>
      <c r="AY337" s="3" t="s">
        <v>4365</v>
      </c>
      <c r="AZ337" s="3" t="s">
        <v>74</v>
      </c>
      <c r="BB337" s="3" t="s">
        <v>4366</v>
      </c>
      <c r="BC337" s="3" t="s">
        <v>4367</v>
      </c>
      <c r="BD337" s="3" t="s">
        <v>4368</v>
      </c>
    </row>
    <row r="338" spans="1:56" ht="34.5" customHeight="1" x14ac:dyDescent="0.25">
      <c r="A338" s="7" t="s">
        <v>58</v>
      </c>
      <c r="B338" s="2" t="s">
        <v>4369</v>
      </c>
      <c r="C338" s="2" t="s">
        <v>4370</v>
      </c>
      <c r="D338" s="2" t="s">
        <v>4371</v>
      </c>
      <c r="F338" s="3" t="s">
        <v>58</v>
      </c>
      <c r="G338" s="3" t="s">
        <v>59</v>
      </c>
      <c r="H338" s="3" t="s">
        <v>58</v>
      </c>
      <c r="I338" s="3" t="s">
        <v>58</v>
      </c>
      <c r="J338" s="3" t="s">
        <v>60</v>
      </c>
      <c r="K338" s="2" t="s">
        <v>4372</v>
      </c>
      <c r="L338" s="2" t="s">
        <v>4373</v>
      </c>
      <c r="M338" s="3" t="s">
        <v>1813</v>
      </c>
      <c r="O338" s="3" t="s">
        <v>64</v>
      </c>
      <c r="P338" s="3" t="s">
        <v>268</v>
      </c>
      <c r="R338" s="3" t="s">
        <v>66</v>
      </c>
      <c r="S338" s="4">
        <v>4</v>
      </c>
      <c r="T338" s="4">
        <v>4</v>
      </c>
      <c r="U338" s="5" t="s">
        <v>4374</v>
      </c>
      <c r="V338" s="5" t="s">
        <v>4374</v>
      </c>
      <c r="W338" s="5" t="s">
        <v>929</v>
      </c>
      <c r="X338" s="5" t="s">
        <v>929</v>
      </c>
      <c r="Y338" s="4">
        <v>477</v>
      </c>
      <c r="Z338" s="4">
        <v>450</v>
      </c>
      <c r="AA338" s="4">
        <v>552</v>
      </c>
      <c r="AB338" s="4">
        <v>2</v>
      </c>
      <c r="AC338" s="4">
        <v>4</v>
      </c>
      <c r="AD338" s="4">
        <v>16</v>
      </c>
      <c r="AE338" s="4">
        <v>22</v>
      </c>
      <c r="AF338" s="4">
        <v>8</v>
      </c>
      <c r="AG338" s="4">
        <v>8</v>
      </c>
      <c r="AH338" s="4">
        <v>4</v>
      </c>
      <c r="AI338" s="4">
        <v>4</v>
      </c>
      <c r="AJ338" s="4">
        <v>7</v>
      </c>
      <c r="AK338" s="4">
        <v>11</v>
      </c>
      <c r="AL338" s="4">
        <v>1</v>
      </c>
      <c r="AM338" s="4">
        <v>3</v>
      </c>
      <c r="AN338" s="4">
        <v>0</v>
      </c>
      <c r="AO338" s="4">
        <v>0</v>
      </c>
      <c r="AP338" s="3" t="s">
        <v>58</v>
      </c>
      <c r="AQ338" s="3" t="s">
        <v>58</v>
      </c>
      <c r="AS338" s="6" t="str">
        <f>HYPERLINK("https://creighton-primo.hosted.exlibrisgroup.com/primo-explore/search?tab=default_tab&amp;search_scope=EVERYTHING&amp;vid=01CRU&amp;lang=en_US&amp;offset=0&amp;query=any,contains,991002137889702656","Catalog Record")</f>
        <v>Catalog Record</v>
      </c>
      <c r="AT338" s="6" t="str">
        <f>HYPERLINK("http://www.worldcat.org/oclc/270335","WorldCat Record")</f>
        <v>WorldCat Record</v>
      </c>
      <c r="AU338" s="3" t="s">
        <v>4375</v>
      </c>
      <c r="AV338" s="3" t="s">
        <v>4376</v>
      </c>
      <c r="AW338" s="3" t="s">
        <v>4377</v>
      </c>
      <c r="AX338" s="3" t="s">
        <v>4377</v>
      </c>
      <c r="AY338" s="3" t="s">
        <v>4378</v>
      </c>
      <c r="AZ338" s="3" t="s">
        <v>74</v>
      </c>
      <c r="BC338" s="3" t="s">
        <v>4379</v>
      </c>
      <c r="BD338" s="3" t="s">
        <v>4380</v>
      </c>
    </row>
    <row r="339" spans="1:56" ht="34.5" customHeight="1" x14ac:dyDescent="0.25">
      <c r="A339" s="7" t="s">
        <v>58</v>
      </c>
      <c r="B339" s="2" t="s">
        <v>4381</v>
      </c>
      <c r="C339" s="2" t="s">
        <v>4382</v>
      </c>
      <c r="D339" s="2" t="s">
        <v>4383</v>
      </c>
      <c r="E339" s="3" t="s">
        <v>190</v>
      </c>
      <c r="F339" s="3" t="s">
        <v>69</v>
      </c>
      <c r="G339" s="3" t="s">
        <v>59</v>
      </c>
      <c r="H339" s="3" t="s">
        <v>58</v>
      </c>
      <c r="I339" s="3" t="s">
        <v>58</v>
      </c>
      <c r="J339" s="3" t="s">
        <v>60</v>
      </c>
      <c r="K339" s="2" t="s">
        <v>235</v>
      </c>
      <c r="L339" s="2" t="s">
        <v>4384</v>
      </c>
      <c r="M339" s="3" t="s">
        <v>3470</v>
      </c>
      <c r="O339" s="3" t="s">
        <v>64</v>
      </c>
      <c r="P339" s="3" t="s">
        <v>147</v>
      </c>
      <c r="Q339" s="2" t="s">
        <v>4385</v>
      </c>
      <c r="R339" s="3" t="s">
        <v>66</v>
      </c>
      <c r="S339" s="4">
        <v>2</v>
      </c>
      <c r="T339" s="4">
        <v>4</v>
      </c>
      <c r="U339" s="5" t="s">
        <v>3189</v>
      </c>
      <c r="V339" s="5" t="s">
        <v>3189</v>
      </c>
      <c r="W339" s="5" t="s">
        <v>68</v>
      </c>
      <c r="X339" s="5" t="s">
        <v>68</v>
      </c>
      <c r="Y339" s="4">
        <v>500</v>
      </c>
      <c r="Z339" s="4">
        <v>425</v>
      </c>
      <c r="AA339" s="4">
        <v>579</v>
      </c>
      <c r="AB339" s="4">
        <v>3</v>
      </c>
      <c r="AC339" s="4">
        <v>6</v>
      </c>
      <c r="AD339" s="4">
        <v>16</v>
      </c>
      <c r="AE339" s="4">
        <v>25</v>
      </c>
      <c r="AF339" s="4">
        <v>6</v>
      </c>
      <c r="AG339" s="4">
        <v>8</v>
      </c>
      <c r="AH339" s="4">
        <v>6</v>
      </c>
      <c r="AI339" s="4">
        <v>7</v>
      </c>
      <c r="AJ339" s="4">
        <v>6</v>
      </c>
      <c r="AK339" s="4">
        <v>10</v>
      </c>
      <c r="AL339" s="4">
        <v>2</v>
      </c>
      <c r="AM339" s="4">
        <v>5</v>
      </c>
      <c r="AN339" s="4">
        <v>0</v>
      </c>
      <c r="AO339" s="4">
        <v>0</v>
      </c>
      <c r="AP339" s="3" t="s">
        <v>58</v>
      </c>
      <c r="AQ339" s="3" t="s">
        <v>69</v>
      </c>
      <c r="AR339" s="6" t="str">
        <f>HYPERLINK("http://catalog.hathitrust.org/Record/000453389","HathiTrust Record")</f>
        <v>HathiTrust Record</v>
      </c>
      <c r="AS339" s="6" t="str">
        <f>HYPERLINK("https://creighton-primo.hosted.exlibrisgroup.com/primo-explore/search?tab=default_tab&amp;search_scope=EVERYTHING&amp;vid=01CRU&amp;lang=en_US&amp;offset=0&amp;query=any,contains,991003374519702656","Catalog Record")</f>
        <v>Catalog Record</v>
      </c>
      <c r="AT339" s="6" t="str">
        <f>HYPERLINK("http://www.worldcat.org/oclc/911246","WorldCat Record")</f>
        <v>WorldCat Record</v>
      </c>
      <c r="AU339" s="3" t="s">
        <v>4386</v>
      </c>
      <c r="AV339" s="3" t="s">
        <v>4387</v>
      </c>
      <c r="AW339" s="3" t="s">
        <v>4388</v>
      </c>
      <c r="AX339" s="3" t="s">
        <v>4388</v>
      </c>
      <c r="AY339" s="3" t="s">
        <v>4389</v>
      </c>
      <c r="AZ339" s="3" t="s">
        <v>74</v>
      </c>
      <c r="BC339" s="3" t="s">
        <v>4390</v>
      </c>
      <c r="BD339" s="3" t="s">
        <v>4391</v>
      </c>
    </row>
    <row r="340" spans="1:56" ht="34.5" customHeight="1" x14ac:dyDescent="0.25">
      <c r="A340" s="7" t="s">
        <v>58</v>
      </c>
      <c r="B340" s="2" t="s">
        <v>4381</v>
      </c>
      <c r="C340" s="2" t="s">
        <v>4382</v>
      </c>
      <c r="D340" s="2" t="s">
        <v>4383</v>
      </c>
      <c r="E340" s="3" t="s">
        <v>202</v>
      </c>
      <c r="F340" s="3" t="s">
        <v>69</v>
      </c>
      <c r="G340" s="3" t="s">
        <v>59</v>
      </c>
      <c r="H340" s="3" t="s">
        <v>58</v>
      </c>
      <c r="I340" s="3" t="s">
        <v>58</v>
      </c>
      <c r="J340" s="3" t="s">
        <v>60</v>
      </c>
      <c r="K340" s="2" t="s">
        <v>235</v>
      </c>
      <c r="L340" s="2" t="s">
        <v>4384</v>
      </c>
      <c r="M340" s="3" t="s">
        <v>3470</v>
      </c>
      <c r="O340" s="3" t="s">
        <v>64</v>
      </c>
      <c r="P340" s="3" t="s">
        <v>147</v>
      </c>
      <c r="Q340" s="2" t="s">
        <v>4385</v>
      </c>
      <c r="R340" s="3" t="s">
        <v>66</v>
      </c>
      <c r="S340" s="4">
        <v>2</v>
      </c>
      <c r="T340" s="4">
        <v>4</v>
      </c>
      <c r="U340" s="5" t="s">
        <v>3189</v>
      </c>
      <c r="V340" s="5" t="s">
        <v>3189</v>
      </c>
      <c r="W340" s="5" t="s">
        <v>68</v>
      </c>
      <c r="X340" s="5" t="s">
        <v>68</v>
      </c>
      <c r="Y340" s="4">
        <v>500</v>
      </c>
      <c r="Z340" s="4">
        <v>425</v>
      </c>
      <c r="AA340" s="4">
        <v>579</v>
      </c>
      <c r="AB340" s="4">
        <v>3</v>
      </c>
      <c r="AC340" s="4">
        <v>6</v>
      </c>
      <c r="AD340" s="4">
        <v>16</v>
      </c>
      <c r="AE340" s="4">
        <v>25</v>
      </c>
      <c r="AF340" s="4">
        <v>6</v>
      </c>
      <c r="AG340" s="4">
        <v>8</v>
      </c>
      <c r="AH340" s="4">
        <v>6</v>
      </c>
      <c r="AI340" s="4">
        <v>7</v>
      </c>
      <c r="AJ340" s="4">
        <v>6</v>
      </c>
      <c r="AK340" s="4">
        <v>10</v>
      </c>
      <c r="AL340" s="4">
        <v>2</v>
      </c>
      <c r="AM340" s="4">
        <v>5</v>
      </c>
      <c r="AN340" s="4">
        <v>0</v>
      </c>
      <c r="AO340" s="4">
        <v>0</v>
      </c>
      <c r="AP340" s="3" t="s">
        <v>58</v>
      </c>
      <c r="AQ340" s="3" t="s">
        <v>69</v>
      </c>
      <c r="AR340" s="6" t="str">
        <f>HYPERLINK("http://catalog.hathitrust.org/Record/000453389","HathiTrust Record")</f>
        <v>HathiTrust Record</v>
      </c>
      <c r="AS340" s="6" t="str">
        <f>HYPERLINK("https://creighton-primo.hosted.exlibrisgroup.com/primo-explore/search?tab=default_tab&amp;search_scope=EVERYTHING&amp;vid=01CRU&amp;lang=en_US&amp;offset=0&amp;query=any,contains,991003374519702656","Catalog Record")</f>
        <v>Catalog Record</v>
      </c>
      <c r="AT340" s="6" t="str">
        <f>HYPERLINK("http://www.worldcat.org/oclc/911246","WorldCat Record")</f>
        <v>WorldCat Record</v>
      </c>
      <c r="AU340" s="3" t="s">
        <v>4386</v>
      </c>
      <c r="AV340" s="3" t="s">
        <v>4387</v>
      </c>
      <c r="AW340" s="3" t="s">
        <v>4388</v>
      </c>
      <c r="AX340" s="3" t="s">
        <v>4388</v>
      </c>
      <c r="AY340" s="3" t="s">
        <v>4389</v>
      </c>
      <c r="AZ340" s="3" t="s">
        <v>74</v>
      </c>
      <c r="BC340" s="3" t="s">
        <v>4392</v>
      </c>
      <c r="BD340" s="3" t="s">
        <v>4393</v>
      </c>
    </row>
    <row r="341" spans="1:56" ht="34.5" customHeight="1" x14ac:dyDescent="0.25">
      <c r="A341" s="7" t="s">
        <v>58</v>
      </c>
      <c r="B341" s="2" t="s">
        <v>4394</v>
      </c>
      <c r="C341" s="2" t="s">
        <v>4395</v>
      </c>
      <c r="D341" s="2" t="s">
        <v>4396</v>
      </c>
      <c r="F341" s="3" t="s">
        <v>58</v>
      </c>
      <c r="G341" s="3" t="s">
        <v>59</v>
      </c>
      <c r="H341" s="3" t="s">
        <v>58</v>
      </c>
      <c r="I341" s="3" t="s">
        <v>58</v>
      </c>
      <c r="J341" s="3" t="s">
        <v>60</v>
      </c>
      <c r="K341" s="2" t="s">
        <v>3606</v>
      </c>
      <c r="L341" s="2" t="s">
        <v>4397</v>
      </c>
      <c r="M341" s="3" t="s">
        <v>712</v>
      </c>
      <c r="O341" s="3" t="s">
        <v>64</v>
      </c>
      <c r="P341" s="3" t="s">
        <v>84</v>
      </c>
      <c r="R341" s="3" t="s">
        <v>66</v>
      </c>
      <c r="S341" s="4">
        <v>3</v>
      </c>
      <c r="T341" s="4">
        <v>3</v>
      </c>
      <c r="U341" s="5" t="s">
        <v>4398</v>
      </c>
      <c r="V341" s="5" t="s">
        <v>4398</v>
      </c>
      <c r="W341" s="5" t="s">
        <v>68</v>
      </c>
      <c r="X341" s="5" t="s">
        <v>68</v>
      </c>
      <c r="Y341" s="4">
        <v>662</v>
      </c>
      <c r="Z341" s="4">
        <v>455</v>
      </c>
      <c r="AA341" s="4">
        <v>460</v>
      </c>
      <c r="AB341" s="4">
        <v>3</v>
      </c>
      <c r="AC341" s="4">
        <v>3</v>
      </c>
      <c r="AD341" s="4">
        <v>14</v>
      </c>
      <c r="AE341" s="4">
        <v>14</v>
      </c>
      <c r="AF341" s="4">
        <v>3</v>
      </c>
      <c r="AG341" s="4">
        <v>3</v>
      </c>
      <c r="AH341" s="4">
        <v>5</v>
      </c>
      <c r="AI341" s="4">
        <v>5</v>
      </c>
      <c r="AJ341" s="4">
        <v>6</v>
      </c>
      <c r="AK341" s="4">
        <v>6</v>
      </c>
      <c r="AL341" s="4">
        <v>2</v>
      </c>
      <c r="AM341" s="4">
        <v>2</v>
      </c>
      <c r="AN341" s="4">
        <v>0</v>
      </c>
      <c r="AO341" s="4">
        <v>0</v>
      </c>
      <c r="AP341" s="3" t="s">
        <v>58</v>
      </c>
      <c r="AQ341" s="3" t="s">
        <v>58</v>
      </c>
      <c r="AS341" s="6" t="str">
        <f>HYPERLINK("https://creighton-primo.hosted.exlibrisgroup.com/primo-explore/search?tab=default_tab&amp;search_scope=EVERYTHING&amp;vid=01CRU&amp;lang=en_US&amp;offset=0&amp;query=any,contains,991002849909702656","Catalog Record")</f>
        <v>Catalog Record</v>
      </c>
      <c r="AT341" s="6" t="str">
        <f>HYPERLINK("http://www.worldcat.org/oclc/486175","WorldCat Record")</f>
        <v>WorldCat Record</v>
      </c>
      <c r="AU341" s="3" t="s">
        <v>4399</v>
      </c>
      <c r="AV341" s="3" t="s">
        <v>4400</v>
      </c>
      <c r="AW341" s="3" t="s">
        <v>4401</v>
      </c>
      <c r="AX341" s="3" t="s">
        <v>4401</v>
      </c>
      <c r="AY341" s="3" t="s">
        <v>4402</v>
      </c>
      <c r="AZ341" s="3" t="s">
        <v>74</v>
      </c>
      <c r="BB341" s="3" t="s">
        <v>4403</v>
      </c>
      <c r="BC341" s="3" t="s">
        <v>4404</v>
      </c>
      <c r="BD341" s="3" t="s">
        <v>4405</v>
      </c>
    </row>
    <row r="342" spans="1:56" ht="34.5" customHeight="1" x14ac:dyDescent="0.25">
      <c r="A342" s="7" t="s">
        <v>58</v>
      </c>
      <c r="B342" s="2" t="s">
        <v>4406</v>
      </c>
      <c r="C342" s="2" t="s">
        <v>4407</v>
      </c>
      <c r="D342" s="2" t="s">
        <v>4408</v>
      </c>
      <c r="F342" s="3" t="s">
        <v>58</v>
      </c>
      <c r="G342" s="3" t="s">
        <v>59</v>
      </c>
      <c r="H342" s="3" t="s">
        <v>58</v>
      </c>
      <c r="I342" s="3" t="s">
        <v>58</v>
      </c>
      <c r="J342" s="3" t="s">
        <v>60</v>
      </c>
      <c r="K342" s="2" t="s">
        <v>4409</v>
      </c>
      <c r="L342" s="2" t="s">
        <v>4410</v>
      </c>
      <c r="M342" s="3" t="s">
        <v>1303</v>
      </c>
      <c r="N342" s="2" t="s">
        <v>4411</v>
      </c>
      <c r="O342" s="3" t="s">
        <v>64</v>
      </c>
      <c r="P342" s="3" t="s">
        <v>65</v>
      </c>
      <c r="R342" s="3" t="s">
        <v>66</v>
      </c>
      <c r="S342" s="4">
        <v>2</v>
      </c>
      <c r="T342" s="4">
        <v>2</v>
      </c>
      <c r="U342" s="5" t="s">
        <v>4412</v>
      </c>
      <c r="V342" s="5" t="s">
        <v>4412</v>
      </c>
      <c r="W342" s="5" t="s">
        <v>4413</v>
      </c>
      <c r="X342" s="5" t="s">
        <v>4413</v>
      </c>
      <c r="Y342" s="4">
        <v>108</v>
      </c>
      <c r="Z342" s="4">
        <v>96</v>
      </c>
      <c r="AA342" s="4">
        <v>520</v>
      </c>
      <c r="AB342" s="4">
        <v>2</v>
      </c>
      <c r="AC342" s="4">
        <v>4</v>
      </c>
      <c r="AD342" s="4">
        <v>1</v>
      </c>
      <c r="AE342" s="4">
        <v>11</v>
      </c>
      <c r="AF342" s="4">
        <v>0</v>
      </c>
      <c r="AG342" s="4">
        <v>2</v>
      </c>
      <c r="AH342" s="4">
        <v>0</v>
      </c>
      <c r="AI342" s="4">
        <v>3</v>
      </c>
      <c r="AJ342" s="4">
        <v>0</v>
      </c>
      <c r="AK342" s="4">
        <v>5</v>
      </c>
      <c r="AL342" s="4">
        <v>1</v>
      </c>
      <c r="AM342" s="4">
        <v>2</v>
      </c>
      <c r="AN342" s="4">
        <v>0</v>
      </c>
      <c r="AO342" s="4">
        <v>0</v>
      </c>
      <c r="AP342" s="3" t="s">
        <v>58</v>
      </c>
      <c r="AQ342" s="3" t="s">
        <v>58</v>
      </c>
      <c r="AS342" s="6" t="str">
        <f>HYPERLINK("https://creighton-primo.hosted.exlibrisgroup.com/primo-explore/search?tab=default_tab&amp;search_scope=EVERYTHING&amp;vid=01CRU&amp;lang=en_US&amp;offset=0&amp;query=any,contains,991004437909702656","Catalog Record")</f>
        <v>Catalog Record</v>
      </c>
      <c r="AT342" s="6" t="str">
        <f>HYPERLINK("http://www.worldcat.org/oclc/25322074","WorldCat Record")</f>
        <v>WorldCat Record</v>
      </c>
      <c r="AU342" s="3" t="s">
        <v>4414</v>
      </c>
      <c r="AV342" s="3" t="s">
        <v>4415</v>
      </c>
      <c r="AW342" s="3" t="s">
        <v>4416</v>
      </c>
      <c r="AX342" s="3" t="s">
        <v>4416</v>
      </c>
      <c r="AY342" s="3" t="s">
        <v>4417</v>
      </c>
      <c r="AZ342" s="3" t="s">
        <v>74</v>
      </c>
      <c r="BB342" s="3" t="s">
        <v>4418</v>
      </c>
      <c r="BC342" s="3" t="s">
        <v>4419</v>
      </c>
      <c r="BD342" s="3" t="s">
        <v>4420</v>
      </c>
    </row>
    <row r="343" spans="1:56" ht="34.5" customHeight="1" x14ac:dyDescent="0.25">
      <c r="A343" s="7" t="s">
        <v>58</v>
      </c>
      <c r="B343" s="2" t="s">
        <v>4421</v>
      </c>
      <c r="C343" s="2" t="s">
        <v>4422</v>
      </c>
      <c r="D343" s="2" t="s">
        <v>4423</v>
      </c>
      <c r="F343" s="3" t="s">
        <v>58</v>
      </c>
      <c r="G343" s="3" t="s">
        <v>59</v>
      </c>
      <c r="H343" s="3" t="s">
        <v>58</v>
      </c>
      <c r="I343" s="3" t="s">
        <v>58</v>
      </c>
      <c r="J343" s="3" t="s">
        <v>60</v>
      </c>
      <c r="K343" s="2" t="s">
        <v>4424</v>
      </c>
      <c r="L343" s="2" t="s">
        <v>4425</v>
      </c>
      <c r="M343" s="3" t="s">
        <v>712</v>
      </c>
      <c r="O343" s="3" t="s">
        <v>64</v>
      </c>
      <c r="P343" s="3" t="s">
        <v>84</v>
      </c>
      <c r="R343" s="3" t="s">
        <v>66</v>
      </c>
      <c r="S343" s="4">
        <v>7</v>
      </c>
      <c r="T343" s="4">
        <v>7</v>
      </c>
      <c r="U343" s="5" t="s">
        <v>410</v>
      </c>
      <c r="V343" s="5" t="s">
        <v>410</v>
      </c>
      <c r="W343" s="5" t="s">
        <v>4426</v>
      </c>
      <c r="X343" s="5" t="s">
        <v>4426</v>
      </c>
      <c r="Y343" s="4">
        <v>165</v>
      </c>
      <c r="Z343" s="4">
        <v>47</v>
      </c>
      <c r="AA343" s="4">
        <v>499</v>
      </c>
      <c r="AB343" s="4">
        <v>1</v>
      </c>
      <c r="AC343" s="4">
        <v>2</v>
      </c>
      <c r="AD343" s="4">
        <v>2</v>
      </c>
      <c r="AE343" s="4">
        <v>17</v>
      </c>
      <c r="AF343" s="4">
        <v>1</v>
      </c>
      <c r="AG343" s="4">
        <v>8</v>
      </c>
      <c r="AH343" s="4">
        <v>0</v>
      </c>
      <c r="AI343" s="4">
        <v>3</v>
      </c>
      <c r="AJ343" s="4">
        <v>2</v>
      </c>
      <c r="AK343" s="4">
        <v>10</v>
      </c>
      <c r="AL343" s="4">
        <v>0</v>
      </c>
      <c r="AM343" s="4">
        <v>1</v>
      </c>
      <c r="AN343" s="4">
        <v>0</v>
      </c>
      <c r="AO343" s="4">
        <v>0</v>
      </c>
      <c r="AP343" s="3" t="s">
        <v>58</v>
      </c>
      <c r="AQ343" s="3" t="s">
        <v>58</v>
      </c>
      <c r="AS343" s="6" t="str">
        <f>HYPERLINK("https://creighton-primo.hosted.exlibrisgroup.com/primo-explore/search?tab=default_tab&amp;search_scope=EVERYTHING&amp;vid=01CRU&amp;lang=en_US&amp;offset=0&amp;query=any,contains,991003211629702656","Catalog Record")</f>
        <v>Catalog Record</v>
      </c>
      <c r="AT343" s="6" t="str">
        <f>HYPERLINK("http://www.worldcat.org/oclc/737355","WorldCat Record")</f>
        <v>WorldCat Record</v>
      </c>
      <c r="AU343" s="3" t="s">
        <v>4427</v>
      </c>
      <c r="AV343" s="3" t="s">
        <v>4428</v>
      </c>
      <c r="AW343" s="3" t="s">
        <v>4429</v>
      </c>
      <c r="AX343" s="3" t="s">
        <v>4429</v>
      </c>
      <c r="AY343" s="3" t="s">
        <v>4430</v>
      </c>
      <c r="AZ343" s="3" t="s">
        <v>74</v>
      </c>
      <c r="BB343" s="3" t="s">
        <v>4431</v>
      </c>
      <c r="BC343" s="3" t="s">
        <v>4432</v>
      </c>
      <c r="BD343" s="3" t="s">
        <v>4433</v>
      </c>
    </row>
    <row r="344" spans="1:56" ht="34.5" customHeight="1" x14ac:dyDescent="0.25">
      <c r="A344" s="7" t="s">
        <v>58</v>
      </c>
      <c r="B344" s="2" t="s">
        <v>4434</v>
      </c>
      <c r="C344" s="2" t="s">
        <v>4435</v>
      </c>
      <c r="D344" s="2" t="s">
        <v>4436</v>
      </c>
      <c r="F344" s="3" t="s">
        <v>58</v>
      </c>
      <c r="G344" s="3" t="s">
        <v>59</v>
      </c>
      <c r="H344" s="3" t="s">
        <v>58</v>
      </c>
      <c r="I344" s="3" t="s">
        <v>58</v>
      </c>
      <c r="J344" s="3" t="s">
        <v>60</v>
      </c>
      <c r="K344" s="2" t="s">
        <v>4437</v>
      </c>
      <c r="L344" s="2" t="s">
        <v>4438</v>
      </c>
      <c r="M344" s="3" t="s">
        <v>382</v>
      </c>
      <c r="O344" s="3" t="s">
        <v>64</v>
      </c>
      <c r="P344" s="3" t="s">
        <v>147</v>
      </c>
      <c r="R344" s="3" t="s">
        <v>66</v>
      </c>
      <c r="S344" s="4">
        <v>7</v>
      </c>
      <c r="T344" s="4">
        <v>7</v>
      </c>
      <c r="U344" s="5" t="s">
        <v>148</v>
      </c>
      <c r="V344" s="5" t="s">
        <v>148</v>
      </c>
      <c r="W344" s="5" t="s">
        <v>4439</v>
      </c>
      <c r="X344" s="5" t="s">
        <v>4439</v>
      </c>
      <c r="Y344" s="4">
        <v>1237</v>
      </c>
      <c r="Z344" s="4">
        <v>972</v>
      </c>
      <c r="AA344" s="4">
        <v>1098</v>
      </c>
      <c r="AB344" s="4">
        <v>3</v>
      </c>
      <c r="AC344" s="4">
        <v>3</v>
      </c>
      <c r="AD344" s="4">
        <v>31</v>
      </c>
      <c r="AE344" s="4">
        <v>37</v>
      </c>
      <c r="AF344" s="4">
        <v>13</v>
      </c>
      <c r="AG344" s="4">
        <v>17</v>
      </c>
      <c r="AH344" s="4">
        <v>8</v>
      </c>
      <c r="AI344" s="4">
        <v>10</v>
      </c>
      <c r="AJ344" s="4">
        <v>17</v>
      </c>
      <c r="AK344" s="4">
        <v>19</v>
      </c>
      <c r="AL344" s="4">
        <v>2</v>
      </c>
      <c r="AM344" s="4">
        <v>2</v>
      </c>
      <c r="AN344" s="4">
        <v>0</v>
      </c>
      <c r="AO344" s="4">
        <v>0</v>
      </c>
      <c r="AP344" s="3" t="s">
        <v>58</v>
      </c>
      <c r="AQ344" s="3" t="s">
        <v>58</v>
      </c>
      <c r="AS344" s="6" t="str">
        <f>HYPERLINK("https://creighton-primo.hosted.exlibrisgroup.com/primo-explore/search?tab=default_tab&amp;search_scope=EVERYTHING&amp;vid=01CRU&amp;lang=en_US&amp;offset=0&amp;query=any,contains,991005405919702656","Catalog Record")</f>
        <v>Catalog Record</v>
      </c>
      <c r="AT344" s="6" t="str">
        <f>HYPERLINK("http://www.worldcat.org/oclc/12808804","WorldCat Record")</f>
        <v>WorldCat Record</v>
      </c>
      <c r="AU344" s="3" t="s">
        <v>4440</v>
      </c>
      <c r="AV344" s="3" t="s">
        <v>4441</v>
      </c>
      <c r="AW344" s="3" t="s">
        <v>4442</v>
      </c>
      <c r="AX344" s="3" t="s">
        <v>4442</v>
      </c>
      <c r="AY344" s="3" t="s">
        <v>4443</v>
      </c>
      <c r="AZ344" s="3" t="s">
        <v>74</v>
      </c>
      <c r="BB344" s="3" t="s">
        <v>4444</v>
      </c>
      <c r="BC344" s="3" t="s">
        <v>4445</v>
      </c>
      <c r="BD344" s="3" t="s">
        <v>4446</v>
      </c>
    </row>
    <row r="345" spans="1:56" ht="34.5" customHeight="1" x14ac:dyDescent="0.25">
      <c r="A345" s="7" t="s">
        <v>58</v>
      </c>
      <c r="B345" s="2" t="s">
        <v>4447</v>
      </c>
      <c r="C345" s="2" t="s">
        <v>4448</v>
      </c>
      <c r="D345" s="2" t="s">
        <v>4449</v>
      </c>
      <c r="F345" s="3" t="s">
        <v>58</v>
      </c>
      <c r="G345" s="3" t="s">
        <v>59</v>
      </c>
      <c r="H345" s="3" t="s">
        <v>58</v>
      </c>
      <c r="I345" s="3" t="s">
        <v>58</v>
      </c>
      <c r="J345" s="3" t="s">
        <v>60</v>
      </c>
      <c r="K345" s="2" t="s">
        <v>4450</v>
      </c>
      <c r="L345" s="2" t="s">
        <v>4451</v>
      </c>
      <c r="M345" s="3" t="s">
        <v>1506</v>
      </c>
      <c r="N345" s="2" t="s">
        <v>1430</v>
      </c>
      <c r="O345" s="3" t="s">
        <v>64</v>
      </c>
      <c r="P345" s="3" t="s">
        <v>4452</v>
      </c>
      <c r="Q345" s="2" t="s">
        <v>4453</v>
      </c>
      <c r="R345" s="3" t="s">
        <v>66</v>
      </c>
      <c r="S345" s="4">
        <v>6</v>
      </c>
      <c r="T345" s="4">
        <v>6</v>
      </c>
      <c r="U345" s="5" t="s">
        <v>2229</v>
      </c>
      <c r="V345" s="5" t="s">
        <v>2229</v>
      </c>
      <c r="W345" s="5" t="s">
        <v>102</v>
      </c>
      <c r="X345" s="5" t="s">
        <v>102</v>
      </c>
      <c r="Y345" s="4">
        <v>36</v>
      </c>
      <c r="Z345" s="4">
        <v>6</v>
      </c>
      <c r="AA345" s="4">
        <v>519</v>
      </c>
      <c r="AB345" s="4">
        <v>1</v>
      </c>
      <c r="AC345" s="4">
        <v>3</v>
      </c>
      <c r="AD345" s="4">
        <v>0</v>
      </c>
      <c r="AE345" s="4">
        <v>15</v>
      </c>
      <c r="AF345" s="4">
        <v>0</v>
      </c>
      <c r="AG345" s="4">
        <v>4</v>
      </c>
      <c r="AH345" s="4">
        <v>0</v>
      </c>
      <c r="AI345" s="4">
        <v>3</v>
      </c>
      <c r="AJ345" s="4">
        <v>0</v>
      </c>
      <c r="AK345" s="4">
        <v>7</v>
      </c>
      <c r="AL345" s="4">
        <v>0</v>
      </c>
      <c r="AM345" s="4">
        <v>2</v>
      </c>
      <c r="AN345" s="4">
        <v>0</v>
      </c>
      <c r="AO345" s="4">
        <v>0</v>
      </c>
      <c r="AP345" s="3" t="s">
        <v>58</v>
      </c>
      <c r="AQ345" s="3" t="s">
        <v>58</v>
      </c>
      <c r="AS345" s="6" t="str">
        <f>HYPERLINK("https://creighton-primo.hosted.exlibrisgroup.com/primo-explore/search?tab=default_tab&amp;search_scope=EVERYTHING&amp;vid=01CRU&amp;lang=en_US&amp;offset=0&amp;query=any,contains,991004707779702656","Catalog Record")</f>
        <v>Catalog Record</v>
      </c>
      <c r="AT345" s="6" t="str">
        <f>HYPERLINK("http://www.worldcat.org/oclc/4731021","WorldCat Record")</f>
        <v>WorldCat Record</v>
      </c>
      <c r="AU345" s="3" t="s">
        <v>4454</v>
      </c>
      <c r="AV345" s="3" t="s">
        <v>4455</v>
      </c>
      <c r="AW345" s="3" t="s">
        <v>4456</v>
      </c>
      <c r="AX345" s="3" t="s">
        <v>4456</v>
      </c>
      <c r="AY345" s="3" t="s">
        <v>4457</v>
      </c>
      <c r="AZ345" s="3" t="s">
        <v>74</v>
      </c>
      <c r="BB345" s="3" t="s">
        <v>4458</v>
      </c>
      <c r="BC345" s="3" t="s">
        <v>4459</v>
      </c>
      <c r="BD345" s="3" t="s">
        <v>4460</v>
      </c>
    </row>
    <row r="346" spans="1:56" ht="34.5" customHeight="1" x14ac:dyDescent="0.25">
      <c r="A346" s="7" t="s">
        <v>58</v>
      </c>
      <c r="B346" s="2" t="s">
        <v>4461</v>
      </c>
      <c r="C346" s="2" t="s">
        <v>4462</v>
      </c>
      <c r="D346" s="2" t="s">
        <v>4463</v>
      </c>
      <c r="F346" s="3" t="s">
        <v>58</v>
      </c>
      <c r="G346" s="3" t="s">
        <v>59</v>
      </c>
      <c r="H346" s="3" t="s">
        <v>58</v>
      </c>
      <c r="I346" s="3" t="s">
        <v>58</v>
      </c>
      <c r="J346" s="3" t="s">
        <v>60</v>
      </c>
      <c r="K346" s="2" t="s">
        <v>1286</v>
      </c>
      <c r="L346" s="2" t="s">
        <v>4464</v>
      </c>
      <c r="M346" s="3" t="s">
        <v>99</v>
      </c>
      <c r="N346" s="2" t="s">
        <v>4465</v>
      </c>
      <c r="O346" s="3" t="s">
        <v>64</v>
      </c>
      <c r="P346" s="3" t="s">
        <v>252</v>
      </c>
      <c r="R346" s="3" t="s">
        <v>66</v>
      </c>
      <c r="S346" s="4">
        <v>1</v>
      </c>
      <c r="T346" s="4">
        <v>1</v>
      </c>
      <c r="U346" s="5" t="s">
        <v>4466</v>
      </c>
      <c r="V346" s="5" t="s">
        <v>4466</v>
      </c>
      <c r="W346" s="5" t="s">
        <v>4466</v>
      </c>
      <c r="X346" s="5" t="s">
        <v>4466</v>
      </c>
      <c r="Y346" s="4">
        <v>214</v>
      </c>
      <c r="Z346" s="4">
        <v>191</v>
      </c>
      <c r="AA346" s="4">
        <v>195</v>
      </c>
      <c r="AB346" s="4">
        <v>2</v>
      </c>
      <c r="AC346" s="4">
        <v>2</v>
      </c>
      <c r="AD346" s="4">
        <v>9</v>
      </c>
      <c r="AE346" s="4">
        <v>9</v>
      </c>
      <c r="AF346" s="4">
        <v>2</v>
      </c>
      <c r="AG346" s="4">
        <v>2</v>
      </c>
      <c r="AH346" s="4">
        <v>3</v>
      </c>
      <c r="AI346" s="4">
        <v>3</v>
      </c>
      <c r="AJ346" s="4">
        <v>4</v>
      </c>
      <c r="AK346" s="4">
        <v>4</v>
      </c>
      <c r="AL346" s="4">
        <v>1</v>
      </c>
      <c r="AM346" s="4">
        <v>1</v>
      </c>
      <c r="AN346" s="4">
        <v>0</v>
      </c>
      <c r="AO346" s="4">
        <v>0</v>
      </c>
      <c r="AP346" s="3" t="s">
        <v>58</v>
      </c>
      <c r="AQ346" s="3" t="s">
        <v>69</v>
      </c>
      <c r="AR346" s="6" t="str">
        <f>HYPERLINK("http://catalog.hathitrust.org/Record/000221629","HathiTrust Record")</f>
        <v>HathiTrust Record</v>
      </c>
      <c r="AS346" s="6" t="str">
        <f>HYPERLINK("https://creighton-primo.hosted.exlibrisgroup.com/primo-explore/search?tab=default_tab&amp;search_scope=EVERYTHING&amp;vid=01CRU&amp;lang=en_US&amp;offset=0&amp;query=any,contains,991005239519702656","Catalog Record")</f>
        <v>Catalog Record</v>
      </c>
      <c r="AT346" s="6" t="str">
        <f>HYPERLINK("http://www.worldcat.org/oclc/6772665","WorldCat Record")</f>
        <v>WorldCat Record</v>
      </c>
      <c r="AU346" s="3" t="s">
        <v>4467</v>
      </c>
      <c r="AV346" s="3" t="s">
        <v>4468</v>
      </c>
      <c r="AW346" s="3" t="s">
        <v>4469</v>
      </c>
      <c r="AX346" s="3" t="s">
        <v>4469</v>
      </c>
      <c r="AY346" s="3" t="s">
        <v>4470</v>
      </c>
      <c r="AZ346" s="3" t="s">
        <v>74</v>
      </c>
      <c r="BB346" s="3" t="s">
        <v>4471</v>
      </c>
      <c r="BC346" s="3" t="s">
        <v>4472</v>
      </c>
      <c r="BD346" s="3" t="s">
        <v>4473</v>
      </c>
    </row>
    <row r="347" spans="1:56" ht="34.5" customHeight="1" x14ac:dyDescent="0.25">
      <c r="A347" s="7" t="s">
        <v>58</v>
      </c>
      <c r="B347" s="2" t="s">
        <v>4474</v>
      </c>
      <c r="C347" s="2" t="s">
        <v>4475</v>
      </c>
      <c r="D347" s="2" t="s">
        <v>4476</v>
      </c>
      <c r="F347" s="3" t="s">
        <v>58</v>
      </c>
      <c r="G347" s="3" t="s">
        <v>59</v>
      </c>
      <c r="H347" s="3" t="s">
        <v>58</v>
      </c>
      <c r="I347" s="3" t="s">
        <v>58</v>
      </c>
      <c r="J347" s="3" t="s">
        <v>60</v>
      </c>
      <c r="K347" s="2" t="s">
        <v>4477</v>
      </c>
      <c r="L347" s="2" t="s">
        <v>4478</v>
      </c>
      <c r="M347" s="3" t="s">
        <v>712</v>
      </c>
      <c r="O347" s="3" t="s">
        <v>64</v>
      </c>
      <c r="P347" s="3" t="s">
        <v>955</v>
      </c>
      <c r="Q347" s="2" t="s">
        <v>2228</v>
      </c>
      <c r="R347" s="3" t="s">
        <v>66</v>
      </c>
      <c r="S347" s="4">
        <v>3</v>
      </c>
      <c r="T347" s="4">
        <v>3</v>
      </c>
      <c r="U347" s="5" t="s">
        <v>4479</v>
      </c>
      <c r="V347" s="5" t="s">
        <v>4479</v>
      </c>
      <c r="W347" s="5" t="s">
        <v>102</v>
      </c>
      <c r="X347" s="5" t="s">
        <v>102</v>
      </c>
      <c r="Y347" s="4">
        <v>534</v>
      </c>
      <c r="Z347" s="4">
        <v>408</v>
      </c>
      <c r="AA347" s="4">
        <v>418</v>
      </c>
      <c r="AB347" s="4">
        <v>3</v>
      </c>
      <c r="AC347" s="4">
        <v>3</v>
      </c>
      <c r="AD347" s="4">
        <v>19</v>
      </c>
      <c r="AE347" s="4">
        <v>19</v>
      </c>
      <c r="AF347" s="4">
        <v>7</v>
      </c>
      <c r="AG347" s="4">
        <v>7</v>
      </c>
      <c r="AH347" s="4">
        <v>4</v>
      </c>
      <c r="AI347" s="4">
        <v>4</v>
      </c>
      <c r="AJ347" s="4">
        <v>10</v>
      </c>
      <c r="AK347" s="4">
        <v>10</v>
      </c>
      <c r="AL347" s="4">
        <v>2</v>
      </c>
      <c r="AM347" s="4">
        <v>2</v>
      </c>
      <c r="AN347" s="4">
        <v>0</v>
      </c>
      <c r="AO347" s="4">
        <v>0</v>
      </c>
      <c r="AP347" s="3" t="s">
        <v>58</v>
      </c>
      <c r="AQ347" s="3" t="s">
        <v>69</v>
      </c>
      <c r="AR347" s="6" t="str">
        <f>HYPERLINK("http://catalog.hathitrust.org/Record/000453466","HathiTrust Record")</f>
        <v>HathiTrust Record</v>
      </c>
      <c r="AS347" s="6" t="str">
        <f>HYPERLINK("https://creighton-primo.hosted.exlibrisgroup.com/primo-explore/search?tab=default_tab&amp;search_scope=EVERYTHING&amp;vid=01CRU&amp;lang=en_US&amp;offset=0&amp;query=any,contains,991002312529702656","Catalog Record")</f>
        <v>Catalog Record</v>
      </c>
      <c r="AT347" s="6" t="str">
        <f>HYPERLINK("http://www.worldcat.org/oclc/319838","WorldCat Record")</f>
        <v>WorldCat Record</v>
      </c>
      <c r="AU347" s="3" t="s">
        <v>4480</v>
      </c>
      <c r="AV347" s="3" t="s">
        <v>4481</v>
      </c>
      <c r="AW347" s="3" t="s">
        <v>4482</v>
      </c>
      <c r="AX347" s="3" t="s">
        <v>4482</v>
      </c>
      <c r="AY347" s="3" t="s">
        <v>4483</v>
      </c>
      <c r="AZ347" s="3" t="s">
        <v>74</v>
      </c>
      <c r="BB347" s="3" t="s">
        <v>4484</v>
      </c>
      <c r="BC347" s="3" t="s">
        <v>4485</v>
      </c>
      <c r="BD347" s="3" t="s">
        <v>4486</v>
      </c>
    </row>
    <row r="348" spans="1:56" ht="34.5" customHeight="1" x14ac:dyDescent="0.25">
      <c r="A348" s="7" t="s">
        <v>58</v>
      </c>
      <c r="B348" s="2" t="s">
        <v>4487</v>
      </c>
      <c r="C348" s="2" t="s">
        <v>4488</v>
      </c>
      <c r="D348" s="2" t="s">
        <v>4489</v>
      </c>
      <c r="F348" s="3" t="s">
        <v>58</v>
      </c>
      <c r="G348" s="3" t="s">
        <v>59</v>
      </c>
      <c r="H348" s="3" t="s">
        <v>58</v>
      </c>
      <c r="I348" s="3" t="s">
        <v>58</v>
      </c>
      <c r="J348" s="3" t="s">
        <v>60</v>
      </c>
      <c r="K348" s="2" t="s">
        <v>4490</v>
      </c>
      <c r="L348" s="2" t="s">
        <v>4491</v>
      </c>
      <c r="M348" s="3" t="s">
        <v>4492</v>
      </c>
      <c r="O348" s="3" t="s">
        <v>64</v>
      </c>
      <c r="P348" s="3" t="s">
        <v>84</v>
      </c>
      <c r="R348" s="3" t="s">
        <v>66</v>
      </c>
      <c r="S348" s="4">
        <v>1</v>
      </c>
      <c r="T348" s="4">
        <v>1</v>
      </c>
      <c r="U348" s="5" t="s">
        <v>1289</v>
      </c>
      <c r="V348" s="5" t="s">
        <v>1289</v>
      </c>
      <c r="W348" s="5" t="s">
        <v>68</v>
      </c>
      <c r="X348" s="5" t="s">
        <v>68</v>
      </c>
      <c r="Y348" s="4">
        <v>454</v>
      </c>
      <c r="Z348" s="4">
        <v>352</v>
      </c>
      <c r="AA348" s="4">
        <v>354</v>
      </c>
      <c r="AB348" s="4">
        <v>2</v>
      </c>
      <c r="AC348" s="4">
        <v>2</v>
      </c>
      <c r="AD348" s="4">
        <v>10</v>
      </c>
      <c r="AE348" s="4">
        <v>10</v>
      </c>
      <c r="AF348" s="4">
        <v>5</v>
      </c>
      <c r="AG348" s="4">
        <v>5</v>
      </c>
      <c r="AH348" s="4">
        <v>1</v>
      </c>
      <c r="AI348" s="4">
        <v>1</v>
      </c>
      <c r="AJ348" s="4">
        <v>3</v>
      </c>
      <c r="AK348" s="4">
        <v>3</v>
      </c>
      <c r="AL348" s="4">
        <v>1</v>
      </c>
      <c r="AM348" s="4">
        <v>1</v>
      </c>
      <c r="AN348" s="4">
        <v>0</v>
      </c>
      <c r="AO348" s="4">
        <v>0</v>
      </c>
      <c r="AP348" s="3" t="s">
        <v>58</v>
      </c>
      <c r="AQ348" s="3" t="s">
        <v>69</v>
      </c>
      <c r="AR348" s="6" t="str">
        <f>HYPERLINK("http://catalog.hathitrust.org/Record/000453410","HathiTrust Record")</f>
        <v>HathiTrust Record</v>
      </c>
      <c r="AS348" s="6" t="str">
        <f>HYPERLINK("https://creighton-primo.hosted.exlibrisgroup.com/primo-explore/search?tab=default_tab&amp;search_scope=EVERYTHING&amp;vid=01CRU&amp;lang=en_US&amp;offset=0&amp;query=any,contains,991003772489702656","Catalog Record")</f>
        <v>Catalog Record</v>
      </c>
      <c r="AT348" s="6" t="str">
        <f>HYPERLINK("http://www.worldcat.org/oclc/1474449","WorldCat Record")</f>
        <v>WorldCat Record</v>
      </c>
      <c r="AU348" s="3" t="s">
        <v>4493</v>
      </c>
      <c r="AV348" s="3" t="s">
        <v>4494</v>
      </c>
      <c r="AW348" s="3" t="s">
        <v>4495</v>
      </c>
      <c r="AX348" s="3" t="s">
        <v>4495</v>
      </c>
      <c r="AY348" s="3" t="s">
        <v>4496</v>
      </c>
      <c r="AZ348" s="3" t="s">
        <v>74</v>
      </c>
      <c r="BC348" s="3" t="s">
        <v>4497</v>
      </c>
      <c r="BD348" s="3" t="s">
        <v>4498</v>
      </c>
    </row>
    <row r="349" spans="1:56" ht="34.5" customHeight="1" x14ac:dyDescent="0.25">
      <c r="A349" s="7" t="s">
        <v>58</v>
      </c>
      <c r="B349" s="2" t="s">
        <v>4499</v>
      </c>
      <c r="C349" s="2" t="s">
        <v>4500</v>
      </c>
      <c r="D349" s="2" t="s">
        <v>4501</v>
      </c>
      <c r="F349" s="3" t="s">
        <v>58</v>
      </c>
      <c r="G349" s="3" t="s">
        <v>59</v>
      </c>
      <c r="H349" s="3" t="s">
        <v>58</v>
      </c>
      <c r="I349" s="3" t="s">
        <v>58</v>
      </c>
      <c r="J349" s="3" t="s">
        <v>60</v>
      </c>
      <c r="K349" s="2" t="s">
        <v>4502</v>
      </c>
      <c r="L349" s="2" t="s">
        <v>4503</v>
      </c>
      <c r="M349" s="3" t="s">
        <v>4504</v>
      </c>
      <c r="N349" s="2" t="s">
        <v>284</v>
      </c>
      <c r="O349" s="3" t="s">
        <v>64</v>
      </c>
      <c r="P349" s="3" t="s">
        <v>65</v>
      </c>
      <c r="R349" s="3" t="s">
        <v>66</v>
      </c>
      <c r="S349" s="4">
        <v>1</v>
      </c>
      <c r="T349" s="4">
        <v>1</v>
      </c>
      <c r="U349" s="5" t="s">
        <v>4505</v>
      </c>
      <c r="V349" s="5" t="s">
        <v>4505</v>
      </c>
      <c r="W349" s="5" t="s">
        <v>4505</v>
      </c>
      <c r="X349" s="5" t="s">
        <v>4505</v>
      </c>
      <c r="Y349" s="4">
        <v>696</v>
      </c>
      <c r="Z349" s="4">
        <v>662</v>
      </c>
      <c r="AA349" s="4">
        <v>761</v>
      </c>
      <c r="AB349" s="4">
        <v>6</v>
      </c>
      <c r="AC349" s="4">
        <v>6</v>
      </c>
      <c r="AD349" s="4">
        <v>21</v>
      </c>
      <c r="AE349" s="4">
        <v>25</v>
      </c>
      <c r="AF349" s="4">
        <v>7</v>
      </c>
      <c r="AG349" s="4">
        <v>10</v>
      </c>
      <c r="AH349" s="4">
        <v>3</v>
      </c>
      <c r="AI349" s="4">
        <v>6</v>
      </c>
      <c r="AJ349" s="4">
        <v>10</v>
      </c>
      <c r="AK349" s="4">
        <v>11</v>
      </c>
      <c r="AL349" s="4">
        <v>4</v>
      </c>
      <c r="AM349" s="4">
        <v>4</v>
      </c>
      <c r="AN349" s="4">
        <v>0</v>
      </c>
      <c r="AO349" s="4">
        <v>0</v>
      </c>
      <c r="AP349" s="3" t="s">
        <v>58</v>
      </c>
      <c r="AQ349" s="3" t="s">
        <v>58</v>
      </c>
      <c r="AS349" s="6" t="str">
        <f>HYPERLINK("https://creighton-primo.hosted.exlibrisgroup.com/primo-explore/search?tab=default_tab&amp;search_scope=EVERYTHING&amp;vid=01CRU&amp;lang=en_US&amp;offset=0&amp;query=any,contains,991004002029702656","Catalog Record")</f>
        <v>Catalog Record</v>
      </c>
      <c r="AT349" s="6" t="str">
        <f>HYPERLINK("http://www.worldcat.org/oclc/50494846","WorldCat Record")</f>
        <v>WorldCat Record</v>
      </c>
      <c r="AU349" s="3" t="s">
        <v>4506</v>
      </c>
      <c r="AV349" s="3" t="s">
        <v>4507</v>
      </c>
      <c r="AW349" s="3" t="s">
        <v>4508</v>
      </c>
      <c r="AX349" s="3" t="s">
        <v>4508</v>
      </c>
      <c r="AY349" s="3" t="s">
        <v>4509</v>
      </c>
      <c r="AZ349" s="3" t="s">
        <v>74</v>
      </c>
      <c r="BB349" s="3" t="s">
        <v>4510</v>
      </c>
      <c r="BC349" s="3" t="s">
        <v>4511</v>
      </c>
      <c r="BD349" s="3" t="s">
        <v>4512</v>
      </c>
    </row>
    <row r="350" spans="1:56" ht="34.5" customHeight="1" x14ac:dyDescent="0.25">
      <c r="A350" s="7" t="s">
        <v>58</v>
      </c>
      <c r="B350" s="2" t="s">
        <v>4513</v>
      </c>
      <c r="C350" s="2" t="s">
        <v>4514</v>
      </c>
      <c r="D350" s="2" t="s">
        <v>4515</v>
      </c>
      <c r="F350" s="3" t="s">
        <v>58</v>
      </c>
      <c r="G350" s="3" t="s">
        <v>59</v>
      </c>
      <c r="H350" s="3" t="s">
        <v>58</v>
      </c>
      <c r="I350" s="3" t="s">
        <v>58</v>
      </c>
      <c r="J350" s="3" t="s">
        <v>60</v>
      </c>
      <c r="K350" s="2" t="s">
        <v>4516</v>
      </c>
      <c r="L350" s="2" t="s">
        <v>4517</v>
      </c>
      <c r="M350" s="3" t="s">
        <v>4518</v>
      </c>
      <c r="O350" s="3" t="s">
        <v>64</v>
      </c>
      <c r="P350" s="3" t="s">
        <v>670</v>
      </c>
      <c r="Q350" s="2" t="s">
        <v>4519</v>
      </c>
      <c r="R350" s="3" t="s">
        <v>66</v>
      </c>
      <c r="S350" s="4">
        <v>2</v>
      </c>
      <c r="T350" s="4">
        <v>2</v>
      </c>
      <c r="U350" s="5" t="s">
        <v>4520</v>
      </c>
      <c r="V350" s="5" t="s">
        <v>4520</v>
      </c>
      <c r="W350" s="5" t="s">
        <v>68</v>
      </c>
      <c r="X350" s="5" t="s">
        <v>68</v>
      </c>
      <c r="Y350" s="4">
        <v>220</v>
      </c>
      <c r="Z350" s="4">
        <v>166</v>
      </c>
      <c r="AA350" s="4">
        <v>188</v>
      </c>
      <c r="AB350" s="4">
        <v>2</v>
      </c>
      <c r="AC350" s="4">
        <v>2</v>
      </c>
      <c r="AD350" s="4">
        <v>5</v>
      </c>
      <c r="AE350" s="4">
        <v>7</v>
      </c>
      <c r="AF350" s="4">
        <v>1</v>
      </c>
      <c r="AG350" s="4">
        <v>2</v>
      </c>
      <c r="AH350" s="4">
        <v>2</v>
      </c>
      <c r="AI350" s="4">
        <v>3</v>
      </c>
      <c r="AJ350" s="4">
        <v>2</v>
      </c>
      <c r="AK350" s="4">
        <v>2</v>
      </c>
      <c r="AL350" s="4">
        <v>1</v>
      </c>
      <c r="AM350" s="4">
        <v>1</v>
      </c>
      <c r="AN350" s="4">
        <v>0</v>
      </c>
      <c r="AO350" s="4">
        <v>0</v>
      </c>
      <c r="AP350" s="3" t="s">
        <v>69</v>
      </c>
      <c r="AQ350" s="3" t="s">
        <v>58</v>
      </c>
      <c r="AR350" s="6" t="str">
        <f>HYPERLINK("http://catalog.hathitrust.org/Record/000453576","HathiTrust Record")</f>
        <v>HathiTrust Record</v>
      </c>
      <c r="AS350" s="6" t="str">
        <f>HYPERLINK("https://creighton-primo.hosted.exlibrisgroup.com/primo-explore/search?tab=default_tab&amp;search_scope=EVERYTHING&amp;vid=01CRU&amp;lang=en_US&amp;offset=0&amp;query=any,contains,991002752959702656","Catalog Record")</f>
        <v>Catalog Record</v>
      </c>
      <c r="AT350" s="6" t="str">
        <f>HYPERLINK("http://www.worldcat.org/oclc/425449","WorldCat Record")</f>
        <v>WorldCat Record</v>
      </c>
      <c r="AU350" s="3" t="s">
        <v>4521</v>
      </c>
      <c r="AV350" s="3" t="s">
        <v>4522</v>
      </c>
      <c r="AW350" s="3" t="s">
        <v>4523</v>
      </c>
      <c r="AX350" s="3" t="s">
        <v>4523</v>
      </c>
      <c r="AY350" s="3" t="s">
        <v>4524</v>
      </c>
      <c r="AZ350" s="3" t="s">
        <v>74</v>
      </c>
      <c r="BC350" s="3" t="s">
        <v>4525</v>
      </c>
      <c r="BD350" s="3" t="s">
        <v>4526</v>
      </c>
    </row>
    <row r="351" spans="1:56" ht="34.5" customHeight="1" x14ac:dyDescent="0.25">
      <c r="A351" s="7" t="s">
        <v>58</v>
      </c>
      <c r="B351" s="2" t="s">
        <v>4527</v>
      </c>
      <c r="C351" s="2" t="s">
        <v>4528</v>
      </c>
      <c r="D351" s="2" t="s">
        <v>4529</v>
      </c>
      <c r="F351" s="3" t="s">
        <v>58</v>
      </c>
      <c r="G351" s="3" t="s">
        <v>59</v>
      </c>
      <c r="H351" s="3" t="s">
        <v>58</v>
      </c>
      <c r="I351" s="3" t="s">
        <v>58</v>
      </c>
      <c r="J351" s="3" t="s">
        <v>60</v>
      </c>
      <c r="K351" s="2" t="s">
        <v>2630</v>
      </c>
      <c r="L351" s="2" t="s">
        <v>4530</v>
      </c>
      <c r="M351" s="3" t="s">
        <v>607</v>
      </c>
      <c r="O351" s="3" t="s">
        <v>64</v>
      </c>
      <c r="P351" s="3" t="s">
        <v>147</v>
      </c>
      <c r="Q351" s="2" t="s">
        <v>4531</v>
      </c>
      <c r="R351" s="3" t="s">
        <v>66</v>
      </c>
      <c r="S351" s="4">
        <v>1</v>
      </c>
      <c r="T351" s="4">
        <v>1</v>
      </c>
      <c r="U351" s="5" t="s">
        <v>1289</v>
      </c>
      <c r="V351" s="5" t="s">
        <v>1289</v>
      </c>
      <c r="W351" s="5" t="s">
        <v>68</v>
      </c>
      <c r="X351" s="5" t="s">
        <v>68</v>
      </c>
      <c r="Y351" s="4">
        <v>281</v>
      </c>
      <c r="Z351" s="4">
        <v>273</v>
      </c>
      <c r="AA351" s="4">
        <v>611</v>
      </c>
      <c r="AB351" s="4">
        <v>3</v>
      </c>
      <c r="AC351" s="4">
        <v>6</v>
      </c>
      <c r="AD351" s="4">
        <v>12</v>
      </c>
      <c r="AE351" s="4">
        <v>26</v>
      </c>
      <c r="AF351" s="4">
        <v>6</v>
      </c>
      <c r="AG351" s="4">
        <v>10</v>
      </c>
      <c r="AH351" s="4">
        <v>3</v>
      </c>
      <c r="AI351" s="4">
        <v>6</v>
      </c>
      <c r="AJ351" s="4">
        <v>4</v>
      </c>
      <c r="AK351" s="4">
        <v>13</v>
      </c>
      <c r="AL351" s="4">
        <v>2</v>
      </c>
      <c r="AM351" s="4">
        <v>4</v>
      </c>
      <c r="AN351" s="4">
        <v>0</v>
      </c>
      <c r="AO351" s="4">
        <v>0</v>
      </c>
      <c r="AP351" s="3" t="s">
        <v>58</v>
      </c>
      <c r="AQ351" s="3" t="s">
        <v>69</v>
      </c>
      <c r="AR351" s="6" t="str">
        <f>HYPERLINK("http://catalog.hathitrust.org/Record/006219682","HathiTrust Record")</f>
        <v>HathiTrust Record</v>
      </c>
      <c r="AS351" s="6" t="str">
        <f>HYPERLINK("https://creighton-primo.hosted.exlibrisgroup.com/primo-explore/search?tab=default_tab&amp;search_scope=EVERYTHING&amp;vid=01CRU&amp;lang=en_US&amp;offset=0&amp;query=any,contains,991002893579702656","Catalog Record")</f>
        <v>Catalog Record</v>
      </c>
      <c r="AT351" s="6" t="str">
        <f>HYPERLINK("http://www.worldcat.org/oclc/512739","WorldCat Record")</f>
        <v>WorldCat Record</v>
      </c>
      <c r="AU351" s="3" t="s">
        <v>4532</v>
      </c>
      <c r="AV351" s="3" t="s">
        <v>4533</v>
      </c>
      <c r="AW351" s="3" t="s">
        <v>4534</v>
      </c>
      <c r="AX351" s="3" t="s">
        <v>4534</v>
      </c>
      <c r="AY351" s="3" t="s">
        <v>4535</v>
      </c>
      <c r="AZ351" s="3" t="s">
        <v>74</v>
      </c>
      <c r="BC351" s="3" t="s">
        <v>4536</v>
      </c>
      <c r="BD351" s="3" t="s">
        <v>4537</v>
      </c>
    </row>
    <row r="352" spans="1:56" ht="34.5" customHeight="1" x14ac:dyDescent="0.25">
      <c r="A352" s="7" t="s">
        <v>58</v>
      </c>
      <c r="B352" s="2" t="s">
        <v>4538</v>
      </c>
      <c r="C352" s="2" t="s">
        <v>4539</v>
      </c>
      <c r="D352" s="2" t="s">
        <v>4540</v>
      </c>
      <c r="F352" s="3" t="s">
        <v>58</v>
      </c>
      <c r="G352" s="3" t="s">
        <v>59</v>
      </c>
      <c r="H352" s="3" t="s">
        <v>58</v>
      </c>
      <c r="I352" s="3" t="s">
        <v>58</v>
      </c>
      <c r="J352" s="3" t="s">
        <v>60</v>
      </c>
      <c r="K352" s="2" t="s">
        <v>4541</v>
      </c>
      <c r="L352" s="2" t="s">
        <v>4542</v>
      </c>
      <c r="M352" s="3" t="s">
        <v>1891</v>
      </c>
      <c r="O352" s="3" t="s">
        <v>64</v>
      </c>
      <c r="P352" s="3" t="s">
        <v>84</v>
      </c>
      <c r="R352" s="3" t="s">
        <v>66</v>
      </c>
      <c r="S352" s="4">
        <v>7</v>
      </c>
      <c r="T352" s="4">
        <v>7</v>
      </c>
      <c r="U352" s="5" t="s">
        <v>4543</v>
      </c>
      <c r="V352" s="5" t="s">
        <v>4543</v>
      </c>
      <c r="W352" s="5" t="s">
        <v>4544</v>
      </c>
      <c r="X352" s="5" t="s">
        <v>4544</v>
      </c>
      <c r="Y352" s="4">
        <v>613</v>
      </c>
      <c r="Z352" s="4">
        <v>585</v>
      </c>
      <c r="AA352" s="4">
        <v>1179</v>
      </c>
      <c r="AB352" s="4">
        <v>3</v>
      </c>
      <c r="AC352" s="4">
        <v>8</v>
      </c>
      <c r="AD352" s="4">
        <v>18</v>
      </c>
      <c r="AE352" s="4">
        <v>37</v>
      </c>
      <c r="AF352" s="4">
        <v>6</v>
      </c>
      <c r="AG352" s="4">
        <v>13</v>
      </c>
      <c r="AH352" s="4">
        <v>4</v>
      </c>
      <c r="AI352" s="4">
        <v>8</v>
      </c>
      <c r="AJ352" s="4">
        <v>11</v>
      </c>
      <c r="AK352" s="4">
        <v>16</v>
      </c>
      <c r="AL352" s="4">
        <v>2</v>
      </c>
      <c r="AM352" s="4">
        <v>7</v>
      </c>
      <c r="AN352" s="4">
        <v>0</v>
      </c>
      <c r="AO352" s="4">
        <v>1</v>
      </c>
      <c r="AP352" s="3" t="s">
        <v>58</v>
      </c>
      <c r="AQ352" s="3" t="s">
        <v>69</v>
      </c>
      <c r="AR352" s="6" t="str">
        <f>HYPERLINK("http://catalog.hathitrust.org/Record/003601115","HathiTrust Record")</f>
        <v>HathiTrust Record</v>
      </c>
      <c r="AS352" s="6" t="str">
        <f>HYPERLINK("https://creighton-primo.hosted.exlibrisgroup.com/primo-explore/search?tab=default_tab&amp;search_scope=EVERYTHING&amp;vid=01CRU&amp;lang=en_US&amp;offset=0&amp;query=any,contains,991003679059702656","Catalog Record")</f>
        <v>Catalog Record</v>
      </c>
      <c r="AT352" s="6" t="str">
        <f>HYPERLINK("http://www.worldcat.org/oclc/47746392","WorldCat Record")</f>
        <v>WorldCat Record</v>
      </c>
      <c r="AU352" s="3" t="s">
        <v>4545</v>
      </c>
      <c r="AV352" s="3" t="s">
        <v>4546</v>
      </c>
      <c r="AW352" s="3" t="s">
        <v>4547</v>
      </c>
      <c r="AX352" s="3" t="s">
        <v>4547</v>
      </c>
      <c r="AY352" s="3" t="s">
        <v>4548</v>
      </c>
      <c r="AZ352" s="3" t="s">
        <v>74</v>
      </c>
      <c r="BB352" s="3" t="s">
        <v>4549</v>
      </c>
      <c r="BC352" s="3" t="s">
        <v>4550</v>
      </c>
      <c r="BD352" s="3" t="s">
        <v>4551</v>
      </c>
    </row>
  </sheetData>
  <protectedRanges>
    <protectedRange sqref="A2:A352" name="Range1"/>
    <protectedRange sqref="A1" name="Range1_1"/>
  </protectedRanges>
  <dataValidations count="1">
    <dataValidation type="list" allowBlank="1" showInputMessage="1" showErrorMessage="1" sqref="A2:A352" xr:uid="{B8C31A9A-6D5D-41FF-9DAC-4DBE283A6484}">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F94FB5AC-7D91-438F-B7E8-F9C2A7F9181B}"/>
</file>

<file path=customXml/itemProps2.xml><?xml version="1.0" encoding="utf-8"?>
<ds:datastoreItem xmlns:ds="http://schemas.openxmlformats.org/officeDocument/2006/customXml" ds:itemID="{AEBF4D05-6F91-4C7E-A723-9886D10AE80C}"/>
</file>

<file path=customXml/itemProps3.xml><?xml version="1.0" encoding="utf-8"?>
<ds:datastoreItem xmlns:ds="http://schemas.openxmlformats.org/officeDocument/2006/customXml" ds:itemID="{F5A421F6-07C8-450D-8720-A96A856FCD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2022-03-04T01:45:06Z</dcterms:created>
  <dcterms:modified xsi:type="dcterms:W3CDTF">2022-03-04T01:46:34Z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286200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