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0B2763C5-B13C-4EC4-B443-0E1C92B9C0DC}" xr6:coauthVersionLast="47" xr6:coauthVersionMax="47" xr10:uidLastSave="{00000000-0000-0000-0000-000000000000}"/>
  <bookViews>
    <workbookView xWindow="-120" yWindow="-120" windowWidth="29040" windowHeight="15840" xr2:uid="{9B3CCEE8-4774-4DC1-A556-BFF72D8A7B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66" i="1" l="1"/>
  <c r="AS166" i="1"/>
  <c r="AR166" i="1"/>
  <c r="AT165" i="1"/>
  <c r="AS165" i="1"/>
  <c r="AR165" i="1"/>
  <c r="AT164" i="1"/>
  <c r="AS164" i="1"/>
  <c r="AR164" i="1"/>
  <c r="AT163" i="1"/>
  <c r="AS163" i="1"/>
  <c r="AR163" i="1"/>
  <c r="AT162" i="1"/>
  <c r="AS162" i="1"/>
  <c r="AT161" i="1"/>
  <c r="AS161" i="1"/>
  <c r="AT160" i="1"/>
  <c r="AS160" i="1"/>
  <c r="AT159" i="1"/>
  <c r="AS159" i="1"/>
  <c r="AT158" i="1"/>
  <c r="AS158" i="1"/>
  <c r="AT157" i="1"/>
  <c r="AS157" i="1"/>
  <c r="AT156" i="1"/>
  <c r="AS156" i="1"/>
  <c r="AR156" i="1"/>
  <c r="AT155" i="1"/>
  <c r="AS155" i="1"/>
  <c r="AR155" i="1"/>
  <c r="AT154" i="1"/>
  <c r="AS154" i="1"/>
  <c r="AT153" i="1"/>
  <c r="AS153" i="1"/>
  <c r="AT152" i="1"/>
  <c r="AS152" i="1"/>
  <c r="AR152" i="1"/>
  <c r="AT151" i="1"/>
  <c r="AS151" i="1"/>
  <c r="AR151" i="1"/>
  <c r="AT150" i="1"/>
  <c r="AS150" i="1"/>
  <c r="AT149" i="1"/>
  <c r="AS149" i="1"/>
  <c r="AT148" i="1"/>
  <c r="AS148" i="1"/>
  <c r="AR148" i="1"/>
  <c r="AT147" i="1"/>
  <c r="AS147" i="1"/>
  <c r="AR147" i="1"/>
  <c r="AT146" i="1"/>
  <c r="AS146" i="1"/>
  <c r="AR146" i="1"/>
  <c r="AT145" i="1"/>
  <c r="AS145" i="1"/>
  <c r="AR145" i="1"/>
  <c r="AT144" i="1"/>
  <c r="AS144" i="1"/>
  <c r="AR144" i="1"/>
  <c r="AT143" i="1"/>
  <c r="AS143" i="1"/>
  <c r="AR143" i="1"/>
  <c r="AT142" i="1"/>
  <c r="AS142" i="1"/>
  <c r="AR142" i="1"/>
  <c r="AT141" i="1"/>
  <c r="AS141" i="1"/>
  <c r="AR141" i="1"/>
  <c r="AT140" i="1"/>
  <c r="AS140" i="1"/>
  <c r="AR140" i="1"/>
  <c r="AT139" i="1"/>
  <c r="AS139" i="1"/>
  <c r="AT138" i="1"/>
  <c r="AS138" i="1"/>
  <c r="AR138" i="1"/>
  <c r="AT137" i="1"/>
  <c r="AS137" i="1"/>
  <c r="AR137" i="1"/>
  <c r="AT136" i="1"/>
  <c r="AS136" i="1"/>
  <c r="AR136" i="1"/>
  <c r="AT135" i="1"/>
  <c r="AS135" i="1"/>
  <c r="AR135" i="1"/>
  <c r="AT134" i="1"/>
  <c r="AS134" i="1"/>
  <c r="AR134" i="1"/>
  <c r="AT133" i="1"/>
  <c r="AS133" i="1"/>
  <c r="AR133" i="1"/>
  <c r="AT132" i="1"/>
  <c r="AS132" i="1"/>
  <c r="AR132" i="1"/>
  <c r="AT131" i="1"/>
  <c r="AS131" i="1"/>
  <c r="AT130" i="1"/>
  <c r="AS130" i="1"/>
  <c r="AR130" i="1"/>
  <c r="AT129" i="1"/>
  <c r="AS129" i="1"/>
  <c r="AR129" i="1"/>
  <c r="AT128" i="1"/>
  <c r="AS128" i="1"/>
  <c r="AR128" i="1"/>
  <c r="AT127" i="1"/>
  <c r="AS127" i="1"/>
  <c r="AR127" i="1"/>
  <c r="AT126" i="1"/>
  <c r="AS126" i="1"/>
  <c r="AR126" i="1"/>
  <c r="AT125" i="1"/>
  <c r="AS125" i="1"/>
  <c r="AR125" i="1"/>
  <c r="AT124" i="1"/>
  <c r="AS124" i="1"/>
  <c r="AR124" i="1"/>
  <c r="AT123" i="1"/>
  <c r="AS123" i="1"/>
  <c r="AT122" i="1"/>
  <c r="AS122" i="1"/>
  <c r="AR122" i="1"/>
  <c r="AT121" i="1"/>
  <c r="AS121" i="1"/>
  <c r="AR121" i="1"/>
  <c r="AT120" i="1"/>
  <c r="AS120" i="1"/>
  <c r="AR120" i="1"/>
  <c r="AT119" i="1"/>
  <c r="AS119" i="1"/>
  <c r="AT118" i="1"/>
  <c r="AS118" i="1"/>
  <c r="AT117" i="1"/>
  <c r="AS117" i="1"/>
  <c r="AT116" i="1"/>
  <c r="AS116" i="1"/>
  <c r="AT115" i="1"/>
  <c r="AS115" i="1"/>
  <c r="AR115" i="1"/>
  <c r="AT114" i="1"/>
  <c r="AS114" i="1"/>
  <c r="AR114" i="1"/>
  <c r="AT113" i="1"/>
  <c r="AS113" i="1"/>
  <c r="AT112" i="1"/>
  <c r="AS112" i="1"/>
  <c r="AR112" i="1"/>
  <c r="AT111" i="1"/>
  <c r="AS111" i="1"/>
  <c r="AT110" i="1"/>
  <c r="AS110" i="1"/>
  <c r="AT109" i="1"/>
  <c r="AS109" i="1"/>
  <c r="AT108" i="1"/>
  <c r="AS108" i="1"/>
  <c r="AT107" i="1"/>
  <c r="AS107" i="1"/>
  <c r="AT106" i="1"/>
  <c r="AS106" i="1"/>
  <c r="AT105" i="1"/>
  <c r="AS105" i="1"/>
  <c r="AT104" i="1"/>
  <c r="AS104" i="1"/>
  <c r="AR104" i="1"/>
  <c r="AT103" i="1"/>
  <c r="AS103" i="1"/>
  <c r="AR103" i="1"/>
  <c r="AT102" i="1"/>
  <c r="AS102" i="1"/>
  <c r="AR102" i="1"/>
  <c r="AT101" i="1"/>
  <c r="AS101" i="1"/>
  <c r="AR101" i="1"/>
  <c r="AT100" i="1"/>
  <c r="AS100" i="1"/>
  <c r="AT99" i="1"/>
  <c r="AS99" i="1"/>
  <c r="AR99" i="1"/>
  <c r="AT98" i="1"/>
  <c r="AS98" i="1"/>
  <c r="AR98" i="1"/>
  <c r="AT97" i="1"/>
  <c r="AS97" i="1"/>
  <c r="AT96" i="1"/>
  <c r="AS96" i="1"/>
  <c r="AR96" i="1"/>
  <c r="AT95" i="1"/>
  <c r="AS95" i="1"/>
  <c r="AR95" i="1"/>
  <c r="AT94" i="1"/>
  <c r="AS94" i="1"/>
  <c r="AT93" i="1"/>
  <c r="AS93" i="1"/>
  <c r="AR93" i="1"/>
  <c r="AT92" i="1"/>
  <c r="AS92" i="1"/>
  <c r="AR92" i="1"/>
  <c r="AT91" i="1"/>
  <c r="AS91" i="1"/>
  <c r="AR91" i="1"/>
  <c r="AT90" i="1"/>
  <c r="AS90" i="1"/>
  <c r="AT89" i="1"/>
  <c r="AS89" i="1"/>
  <c r="AT88" i="1"/>
  <c r="AS88" i="1"/>
  <c r="AR88" i="1"/>
  <c r="AT87" i="1"/>
  <c r="AS87" i="1"/>
  <c r="AT86" i="1"/>
  <c r="AS86" i="1"/>
  <c r="AT85" i="1"/>
  <c r="AS85" i="1"/>
  <c r="AT84" i="1"/>
  <c r="AS84" i="1"/>
  <c r="AR84" i="1"/>
  <c r="AT83" i="1"/>
  <c r="AS83" i="1"/>
  <c r="AR83" i="1"/>
  <c r="AT82" i="1"/>
  <c r="AS82" i="1"/>
  <c r="AT81" i="1"/>
  <c r="AS81" i="1"/>
  <c r="AR81" i="1"/>
  <c r="AT80" i="1"/>
  <c r="AS80" i="1"/>
  <c r="AR80" i="1"/>
  <c r="AT79" i="1"/>
  <c r="AS79" i="1"/>
  <c r="AT78" i="1"/>
  <c r="AS78" i="1"/>
  <c r="AR78" i="1"/>
  <c r="AT77" i="1"/>
  <c r="AS77" i="1"/>
  <c r="AR77" i="1"/>
  <c r="AT76" i="1"/>
  <c r="AS76" i="1"/>
  <c r="AR76" i="1"/>
  <c r="AT75" i="1"/>
  <c r="AS75" i="1"/>
  <c r="AT74" i="1"/>
  <c r="AS74" i="1"/>
  <c r="AR74" i="1"/>
  <c r="AT73" i="1"/>
  <c r="AS73" i="1"/>
  <c r="AR73" i="1"/>
  <c r="AT72" i="1"/>
  <c r="AS72" i="1"/>
  <c r="AR72" i="1"/>
  <c r="AT71" i="1"/>
  <c r="AS71" i="1"/>
  <c r="AT70" i="1"/>
  <c r="AS70" i="1"/>
  <c r="AR70" i="1"/>
  <c r="AT69" i="1"/>
  <c r="AS69" i="1"/>
  <c r="AT68" i="1"/>
  <c r="AS68" i="1"/>
  <c r="AR68" i="1"/>
  <c r="AT67" i="1"/>
  <c r="AS67" i="1"/>
  <c r="AT66" i="1"/>
  <c r="AS66" i="1"/>
  <c r="AT65" i="1"/>
  <c r="AS65" i="1"/>
  <c r="AR65" i="1"/>
  <c r="AT64" i="1"/>
  <c r="AS64" i="1"/>
  <c r="AR64" i="1"/>
  <c r="AT63" i="1"/>
  <c r="AS63" i="1"/>
  <c r="AR63" i="1"/>
  <c r="AT62" i="1"/>
  <c r="AS62" i="1"/>
  <c r="AT61" i="1"/>
  <c r="AS61" i="1"/>
  <c r="AT60" i="1"/>
  <c r="AS60" i="1"/>
  <c r="AT59" i="1"/>
  <c r="AS59" i="1"/>
  <c r="AR59" i="1"/>
  <c r="AT58" i="1"/>
  <c r="AS58" i="1"/>
  <c r="AR58" i="1"/>
  <c r="AT57" i="1"/>
  <c r="AS57" i="1"/>
  <c r="AT56" i="1"/>
  <c r="AS56" i="1"/>
  <c r="AR56" i="1"/>
  <c r="AT55" i="1"/>
  <c r="AS55" i="1"/>
  <c r="AR55" i="1"/>
  <c r="AT54" i="1"/>
  <c r="AS54" i="1"/>
  <c r="AR54" i="1"/>
  <c r="AT53" i="1"/>
  <c r="AS53" i="1"/>
  <c r="AR53" i="1"/>
  <c r="AT52" i="1"/>
  <c r="AS52" i="1"/>
  <c r="AT51" i="1"/>
  <c r="AS51" i="1"/>
  <c r="AT50" i="1"/>
  <c r="AS50" i="1"/>
  <c r="AR50" i="1"/>
  <c r="AT49" i="1"/>
  <c r="AS49" i="1"/>
  <c r="AR49" i="1"/>
  <c r="AT48" i="1"/>
  <c r="AS48" i="1"/>
  <c r="AT47" i="1"/>
  <c r="AS47" i="1"/>
  <c r="AR47" i="1"/>
  <c r="AT46" i="1"/>
  <c r="AS46" i="1"/>
  <c r="AT45" i="1"/>
  <c r="AS45" i="1"/>
  <c r="AR45" i="1"/>
  <c r="AT44" i="1"/>
  <c r="AS44" i="1"/>
  <c r="AR44" i="1"/>
  <c r="AT43" i="1"/>
  <c r="AS43" i="1"/>
  <c r="AT42" i="1"/>
  <c r="AS42" i="1"/>
  <c r="AT41" i="1"/>
  <c r="AS41" i="1"/>
  <c r="AR41" i="1"/>
  <c r="AT40" i="1"/>
  <c r="AS40" i="1"/>
  <c r="AR40" i="1"/>
  <c r="AT39" i="1"/>
  <c r="AS39" i="1"/>
  <c r="AT38" i="1"/>
  <c r="AS38" i="1"/>
  <c r="AT37" i="1"/>
  <c r="AS37" i="1"/>
  <c r="AR37" i="1"/>
  <c r="AT36" i="1"/>
  <c r="AS36" i="1"/>
  <c r="AR36" i="1"/>
  <c r="AT35" i="1"/>
  <c r="AS35" i="1"/>
  <c r="AT34" i="1"/>
  <c r="AS34" i="1"/>
  <c r="AT33" i="1"/>
  <c r="AS33" i="1"/>
  <c r="AR33" i="1"/>
  <c r="AT32" i="1"/>
  <c r="AS32" i="1"/>
  <c r="AT31" i="1"/>
  <c r="AS31" i="1"/>
  <c r="AR31" i="1"/>
  <c r="AT30" i="1"/>
  <c r="AS30" i="1"/>
  <c r="AR30" i="1"/>
  <c r="AT29" i="1"/>
  <c r="AS29" i="1"/>
  <c r="AT28" i="1"/>
  <c r="AS28" i="1"/>
  <c r="AR28" i="1"/>
  <c r="AT27" i="1"/>
  <c r="AS27" i="1"/>
  <c r="AR27" i="1"/>
  <c r="AT26" i="1"/>
  <c r="AS26" i="1"/>
  <c r="AT25" i="1"/>
  <c r="AS25" i="1"/>
  <c r="AR25" i="1"/>
  <c r="AT24" i="1"/>
  <c r="AS24" i="1"/>
  <c r="AR24" i="1"/>
  <c r="AT23" i="1"/>
  <c r="AS23" i="1"/>
  <c r="AT22" i="1"/>
  <c r="AS22" i="1"/>
  <c r="AR22" i="1"/>
  <c r="AT21" i="1"/>
  <c r="AS21" i="1"/>
  <c r="AR21" i="1"/>
  <c r="AT20" i="1"/>
  <c r="AS20" i="1"/>
  <c r="AR20" i="1"/>
  <c r="AT19" i="1"/>
  <c r="AS19" i="1"/>
  <c r="AT18" i="1"/>
  <c r="AS18" i="1"/>
  <c r="AR18" i="1"/>
  <c r="AT17" i="1"/>
  <c r="AS17" i="1"/>
  <c r="AR17" i="1"/>
  <c r="AT16" i="1"/>
  <c r="AS16" i="1"/>
  <c r="AT15" i="1"/>
  <c r="AS15" i="1"/>
  <c r="AT14" i="1"/>
  <c r="AS14" i="1"/>
  <c r="AR14" i="1"/>
  <c r="AT13" i="1"/>
  <c r="AS13" i="1"/>
  <c r="AR13" i="1"/>
  <c r="AT12" i="1"/>
  <c r="AS12" i="1"/>
  <c r="AR12" i="1"/>
  <c r="AT11" i="1"/>
  <c r="AS11" i="1"/>
  <c r="AR11" i="1"/>
  <c r="AT10" i="1"/>
  <c r="AS10" i="1"/>
  <c r="AR10" i="1"/>
  <c r="AT9" i="1"/>
  <c r="AS9" i="1"/>
  <c r="AR9" i="1"/>
  <c r="AT8" i="1"/>
  <c r="AS8" i="1"/>
  <c r="AT7" i="1"/>
  <c r="AS7" i="1"/>
  <c r="AR7" i="1"/>
  <c r="AT6" i="1"/>
  <c r="AS6" i="1"/>
  <c r="AR6" i="1"/>
  <c r="AT5" i="1"/>
  <c r="AS5" i="1"/>
  <c r="AR5" i="1"/>
  <c r="AT4" i="1"/>
  <c r="AS4" i="1"/>
  <c r="AR4" i="1"/>
  <c r="AT3" i="1"/>
  <c r="AS3" i="1"/>
  <c r="AT2" i="1"/>
  <c r="AS2" i="1"/>
  <c r="AR2" i="1"/>
</calcChain>
</file>

<file path=xl/sharedStrings.xml><?xml version="1.0" encoding="utf-8"?>
<sst xmlns="http://schemas.openxmlformats.org/spreadsheetml/2006/main" count="5003" uniqueCount="2284">
  <si>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</si>
  <si>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</si>
  <si>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</si>
  <si>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</si>
  <si>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</si>
  <si>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</si>
  <si>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</si>
  <si>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</si>
  <si>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</si>
  <si>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</si>
  <si>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</si>
  <si>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</si>
  <si>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</si>
  <si>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</si>
  <si>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</si>
  <si>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</si>
  <si>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</si>
  <si>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</si>
  <si>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</si>
  <si>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</si>
  <si>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</si>
  <si>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</si>
  <si>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</si>
  <si>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</si>
  <si>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</si>
  <si>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</si>
  <si>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</si>
  <si>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</si>
  <si>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</si>
  <si>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 xml:space="preserve">All Comparator Library Holdings 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</si>
  <si>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</si>
  <si>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</si>
  <si>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</si>
  <si>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</si>
  <si>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</si>
  <si>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</si>
  <si>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</si>
  <si>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</si>
  <si>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</si>
  <si>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</si>
  <si>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</si>
  <si>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</si>
  <si>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</si>
  <si>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</si>
  <si>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</si>
  <si>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</si>
  <si>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</si>
  <si>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</si>
  <si>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</si>
  <si>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</si>
  <si>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</si>
  <si>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</si>
  <si>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</si>
  <si>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</si>
  <si>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</si>
  <si>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NC1005 .S413</t>
  </si>
  <si>
    <t>0                      NC 1005000S  413</t>
  </si>
  <si>
    <t>Great drawings of the masters. Text by Rolf Hänsler.[Translated from the German by Gillian Brydone.</t>
  </si>
  <si>
    <t>No</t>
  </si>
  <si>
    <t>1</t>
  </si>
  <si>
    <t>0</t>
  </si>
  <si>
    <t>Schuler, J. E. (Josef Egon)</t>
  </si>
  <si>
    <t>New York, Putnam, [1963]</t>
  </si>
  <si>
    <t>1963</t>
  </si>
  <si>
    <t>1st American ed.]</t>
  </si>
  <si>
    <t>eng</t>
  </si>
  <si>
    <t>nyu</t>
  </si>
  <si>
    <t xml:space="preserve">NC </t>
  </si>
  <si>
    <t>2006-11-08</t>
  </si>
  <si>
    <t>1992-02-26</t>
  </si>
  <si>
    <t>Yes</t>
  </si>
  <si>
    <t>327746717:eng</t>
  </si>
  <si>
    <t>1227612</t>
  </si>
  <si>
    <t>991003633569702656</t>
  </si>
  <si>
    <t>2268312780002656</t>
  </si>
  <si>
    <t>BOOK</t>
  </si>
  <si>
    <t>32285000949270</t>
  </si>
  <si>
    <t>893711591</t>
  </si>
  <si>
    <t>NC1020 .S3</t>
  </si>
  <si>
    <t>0                      NC 1020000S  3</t>
  </si>
  <si>
    <t>The pocket book of great drawings / Paul J. Sachs.</t>
  </si>
  <si>
    <t>Sachs, Paul J. (Paul Joseph), 1878-1965.</t>
  </si>
  <si>
    <t>New York : Pocket Books, [1951]</t>
  </si>
  <si>
    <t>1951</t>
  </si>
  <si>
    <t>___</t>
  </si>
  <si>
    <t>Pocket book ; 765</t>
  </si>
  <si>
    <t>1999-07-06</t>
  </si>
  <si>
    <t>1993-05-20</t>
  </si>
  <si>
    <t>1874411:eng</t>
  </si>
  <si>
    <t>926014</t>
  </si>
  <si>
    <t>991003388869702656</t>
  </si>
  <si>
    <t>2262962600002656</t>
  </si>
  <si>
    <t>32285001691350</t>
  </si>
  <si>
    <t>893611000</t>
  </si>
  <si>
    <t>NC1030.R8 B8</t>
  </si>
  <si>
    <t>0                      NC 1030000R  8                  B  8</t>
  </si>
  <si>
    <t>Rubens drawings [by] L. Burchard and R. A. d'Hulst.</t>
  </si>
  <si>
    <t>V.2</t>
  </si>
  <si>
    <t>Burchard, Ludwig, 1886-1960.</t>
  </si>
  <si>
    <t>Brussels, Arcade Press, 1963.</t>
  </si>
  <si>
    <t xml:space="preserve">be </t>
  </si>
  <si>
    <t>Monographs of the "Nationaal Centrum voor de Plastische Kunsten van de XVIde en XVIIde.", 2.</t>
  </si>
  <si>
    <t>1999-03-30</t>
  </si>
  <si>
    <t>1997-07-18</t>
  </si>
  <si>
    <t>10032423800:eng</t>
  </si>
  <si>
    <t>1666457</t>
  </si>
  <si>
    <t>991003861169702656</t>
  </si>
  <si>
    <t>2270747600002656</t>
  </si>
  <si>
    <t>32285002965183</t>
  </si>
  <si>
    <t>893810226</t>
  </si>
  <si>
    <t>V.1</t>
  </si>
  <si>
    <t>32285002965175</t>
  </si>
  <si>
    <t>893806318</t>
  </si>
  <si>
    <t>NC1035 .V33</t>
  </si>
  <si>
    <t>0                      NC 1035000V  33</t>
  </si>
  <si>
    <t>French drawings from the 15th century through Géricault / text by Jean Vallery-Radot.</t>
  </si>
  <si>
    <t>Vallery-Radot, Jean, 1890-1971.</t>
  </si>
  <si>
    <t>New York : Shorewood Publishers, [c1964]</t>
  </si>
  <si>
    <t>1964</t>
  </si>
  <si>
    <t>Drawings of the masters</t>
  </si>
  <si>
    <t>1993-10-10</t>
  </si>
  <si>
    <t>1992-01-14</t>
  </si>
  <si>
    <t>1572222:eng</t>
  </si>
  <si>
    <t>542711</t>
  </si>
  <si>
    <t>991002957619702656</t>
  </si>
  <si>
    <t>2266640440002656</t>
  </si>
  <si>
    <t>32285000884808</t>
  </si>
  <si>
    <t>893348159</t>
  </si>
  <si>
    <t>NC1050.S7 S2</t>
  </si>
  <si>
    <t>0                      NC 1050000S  7                  S  2</t>
  </si>
  <si>
    <t>Spanish drawings from the 10th to the 19th century. Text by F. J. Sánchez Cantón.</t>
  </si>
  <si>
    <t>Sánchez Cantón, F. J. (Francisco Javier), 1891-1971.</t>
  </si>
  <si>
    <t>New York, Shorewood Publishers [1964]</t>
  </si>
  <si>
    <t>2006-07-05</t>
  </si>
  <si>
    <t>1572253:eng</t>
  </si>
  <si>
    <t>542727</t>
  </si>
  <si>
    <t>991002957839702656</t>
  </si>
  <si>
    <t>2266659050002656</t>
  </si>
  <si>
    <t>32285002965209</t>
  </si>
  <si>
    <t>893786793</t>
  </si>
  <si>
    <t>NC1055.L5 P58 1945</t>
  </si>
  <si>
    <t>0                      NC 1055000L  5                  P  58          1945</t>
  </si>
  <si>
    <t>The drawings of Leonardo da Vinci / with an introd. and notes by A. E. Popham.</t>
  </si>
  <si>
    <t>Leonardo, da Vinci, 1452-1519.</t>
  </si>
  <si>
    <t>New York : Harcourt, Brace &amp; World, c1945.</t>
  </si>
  <si>
    <t>1945</t>
  </si>
  <si>
    <t xml:space="preserve">xx </t>
  </si>
  <si>
    <t>Harvest books, 58</t>
  </si>
  <si>
    <t>2006-12-10</t>
  </si>
  <si>
    <t>417806:eng</t>
  </si>
  <si>
    <t>1927865</t>
  </si>
  <si>
    <t>991003940039702656</t>
  </si>
  <si>
    <t>2256976920002656</t>
  </si>
  <si>
    <t>32285000914068</t>
  </si>
  <si>
    <t>893806448</t>
  </si>
  <si>
    <t>NC1055.R4 S5</t>
  </si>
  <si>
    <t>0                      NC 1055000R  4                  S  5</t>
  </si>
  <si>
    <t>Drawings of Rembrandt : with a selection of drawings by his pupils and followers / with an introd., commentary, and supplementary material by Seymour Slive.</t>
  </si>
  <si>
    <t>Rembrandt Harmenszoon van Rijn, 1606-1669.</t>
  </si>
  <si>
    <t>New York : Dover, 1965.</t>
  </si>
  <si>
    <t>1965</t>
  </si>
  <si>
    <t>1999-03-21</t>
  </si>
  <si>
    <t>1993-06-07</t>
  </si>
  <si>
    <t>8910531686:eng</t>
  </si>
  <si>
    <t>711420</t>
  </si>
  <si>
    <t>991000801469702656</t>
  </si>
  <si>
    <t>2269830370002656</t>
  </si>
  <si>
    <t>9780486214863</t>
  </si>
  <si>
    <t>32285001719847</t>
  </si>
  <si>
    <t>893333785</t>
  </si>
  <si>
    <t>1993-10-25</t>
  </si>
  <si>
    <t>1992-03-13</t>
  </si>
  <si>
    <t>32285000999507</t>
  </si>
  <si>
    <t>893315245</t>
  </si>
  <si>
    <t>NC1070 .K4</t>
  </si>
  <si>
    <t>0                      NC 1070000K  4</t>
  </si>
  <si>
    <t>Drawings by American artists, selected &amp; edited by Norman Kent, with an introduction by Rockwell Kent.</t>
  </si>
  <si>
    <t>Kent, Norman, 1903-1972, editor.</t>
  </si>
  <si>
    <t>New York, Watson-Guptill Publications, inc., 1947.</t>
  </si>
  <si>
    <t>1947</t>
  </si>
  <si>
    <t>Creative arts library</t>
  </si>
  <si>
    <t>1996-07-25</t>
  </si>
  <si>
    <t>1996-07-24</t>
  </si>
  <si>
    <t>1705514:eng</t>
  </si>
  <si>
    <t>697277</t>
  </si>
  <si>
    <t>991003157729702656</t>
  </si>
  <si>
    <t>2264579770002656</t>
  </si>
  <si>
    <t>32285002121696</t>
  </si>
  <si>
    <t>893617052</t>
  </si>
  <si>
    <t>NC1075 .K38</t>
  </si>
  <si>
    <t>0                      NC 1075000K  38</t>
  </si>
  <si>
    <t>Rockwellkentiana; few words and many pictures by R.K. and, by Carl Zigrosser, a bibliography and list of prints.</t>
  </si>
  <si>
    <t>Kent, Rockwell, 1882-1971.</t>
  </si>
  <si>
    <t>New York, Harcourt, Brace and Company, 1933.</t>
  </si>
  <si>
    <t>1933</t>
  </si>
  <si>
    <t>2002-03-20</t>
  </si>
  <si>
    <t>225573053:eng</t>
  </si>
  <si>
    <t>483691</t>
  </si>
  <si>
    <t>991002843789702656</t>
  </si>
  <si>
    <t>2256353950002656</t>
  </si>
  <si>
    <t>32285002965233</t>
  </si>
  <si>
    <t>893498610</t>
  </si>
  <si>
    <t>NC1075.B522 A45</t>
  </si>
  <si>
    <t>0                      NC 1075000B  522                A  45</t>
  </si>
  <si>
    <t>Benton drawings; a collection of drawings.</t>
  </si>
  <si>
    <t>Benton, Thomas Hart, 1889-1975.</t>
  </si>
  <si>
    <t>Columbia, University of Missouri Press [1968]</t>
  </si>
  <si>
    <t>1968</t>
  </si>
  <si>
    <t>mou</t>
  </si>
  <si>
    <t>2010-08-15</t>
  </si>
  <si>
    <t>1568460:eng</t>
  </si>
  <si>
    <t>441305</t>
  </si>
  <si>
    <t>991002785019702656</t>
  </si>
  <si>
    <t>2256882470002656</t>
  </si>
  <si>
    <t>32285002965225</t>
  </si>
  <si>
    <t>893704518</t>
  </si>
  <si>
    <t>NC1075.S47 S6</t>
  </si>
  <si>
    <t>0                      NC 1075000S  47                 S  6</t>
  </si>
  <si>
    <t>Ben Shahn: his graphic art. Text by James Thrall Soby.</t>
  </si>
  <si>
    <t>Shahn, Ben, 1898-1969.</t>
  </si>
  <si>
    <t>New York, G. Braziller, 1957.</t>
  </si>
  <si>
    <t>1957</t>
  </si>
  <si>
    <t>2008-12-12</t>
  </si>
  <si>
    <t>2290654793:eng</t>
  </si>
  <si>
    <t>444376</t>
  </si>
  <si>
    <t>991002793399702656</t>
  </si>
  <si>
    <t>2265170000002656</t>
  </si>
  <si>
    <t>32285002965241</t>
  </si>
  <si>
    <t>893899234</t>
  </si>
  <si>
    <t>NC1075.W36 A45 1981</t>
  </si>
  <si>
    <t>0                      NC 1075000W  36                 A  45          1981</t>
  </si>
  <si>
    <t>Ernest W. Watson's Sketch diary : with instructive text on brush and pencil techniques / Ernest W. Watson.</t>
  </si>
  <si>
    <t>Watson, Ernest William, 1884-1969.</t>
  </si>
  <si>
    <t>New York : Van Nostrand Reinhold, 1981, c1965.</t>
  </si>
  <si>
    <t>1981</t>
  </si>
  <si>
    <t>1999-01-21</t>
  </si>
  <si>
    <t>1992-01-17</t>
  </si>
  <si>
    <t>2393387:eng</t>
  </si>
  <si>
    <t>8278426</t>
  </si>
  <si>
    <t>991005224739702656</t>
  </si>
  <si>
    <t>2264504550002656</t>
  </si>
  <si>
    <t>9780442264208</t>
  </si>
  <si>
    <t>32285000915354</t>
  </si>
  <si>
    <t>893536484</t>
  </si>
  <si>
    <t>NC108 .A77 1980</t>
  </si>
  <si>
    <t>0                      NC 0108000A  77          1980</t>
  </si>
  <si>
    <t>Realist drawings &amp; watercolors : contemporary American works on paper / John Arthur.</t>
  </si>
  <si>
    <t>Arthur, John, 1939-</t>
  </si>
  <si>
    <t>Boston, [Mass.] : New York Graphic Society, c1980.</t>
  </si>
  <si>
    <t>1980</t>
  </si>
  <si>
    <t>1st ed.</t>
  </si>
  <si>
    <t>mau</t>
  </si>
  <si>
    <t>1992-12-08</t>
  </si>
  <si>
    <t>112003211:eng</t>
  </si>
  <si>
    <t>6708817</t>
  </si>
  <si>
    <t>991005029299702656</t>
  </si>
  <si>
    <t>2254799380002656</t>
  </si>
  <si>
    <t>9780821211021</t>
  </si>
  <si>
    <t>32285001413409</t>
  </si>
  <si>
    <t>893430733</t>
  </si>
  <si>
    <t>NC108 .F56 1999</t>
  </si>
  <si>
    <t>0                      NC 0108000F  56          1999</t>
  </si>
  <si>
    <t>Contemporary American realist drawings : the Jalane and Richard Davidson collection at the Art Institute of Chicago / by Ruth Fine, Raymond Hernández-Durán and Mark Pascale.</t>
  </si>
  <si>
    <t>Fine, Ruth, 1941-</t>
  </si>
  <si>
    <t>Chicago, Ill. : The Art Institute ; New York : Distributed by Hudson Hills Press, c1999.</t>
  </si>
  <si>
    <t>1999</t>
  </si>
  <si>
    <t>ilu</t>
  </si>
  <si>
    <t>2002-11-12</t>
  </si>
  <si>
    <t>475778924:eng</t>
  </si>
  <si>
    <t>43066052</t>
  </si>
  <si>
    <t>991003891769702656</t>
  </si>
  <si>
    <t>2261839530002656</t>
  </si>
  <si>
    <t>9780865591806</t>
  </si>
  <si>
    <t>32285004662820</t>
  </si>
  <si>
    <t>893435626</t>
  </si>
  <si>
    <t>NC1115 .B7 1911</t>
  </si>
  <si>
    <t>0                      NC 1115000B  7           1911</t>
  </si>
  <si>
    <t>William Blake, mystic; a study, by Adeline M. Butterworth; together with Young's Night thoughts: nights I &amp; II with illustrations by William Blake and frontispiece Death's door, from Blair's 'The grave.'</t>
  </si>
  <si>
    <t>Butterworth, Adeline M.</t>
  </si>
  <si>
    <t>Liverpool, The Liverpool Booksellers Co., ltd.; [etc., etc.] 1911.</t>
  </si>
  <si>
    <t>1911</t>
  </si>
  <si>
    <t>enk</t>
  </si>
  <si>
    <t>2006-06-20</t>
  </si>
  <si>
    <t>1766001:eng</t>
  </si>
  <si>
    <t>635949</t>
  </si>
  <si>
    <t>991003084869702656</t>
  </si>
  <si>
    <t>2256225580002656</t>
  </si>
  <si>
    <t>32285002965290</t>
  </si>
  <si>
    <t>893893359</t>
  </si>
  <si>
    <t>NC1115.B72 D3</t>
  </si>
  <si>
    <t>0                      NC 1115000B  72                 D  3</t>
  </si>
  <si>
    <t>Blake's Grave; a prophetic book, being William Blake's illustrations for Robert Blair's The grave, arranged as Blake directed. With a commentary by S. Foster Damon.</t>
  </si>
  <si>
    <t>Blake, William, 1757-1827.</t>
  </si>
  <si>
    <t>Providence, Brown University Press, 1963.</t>
  </si>
  <si>
    <t>riu</t>
  </si>
  <si>
    <t>Brown University bicentennial publications. Studies in the fields of general scholarship</t>
  </si>
  <si>
    <t>2001-02-20</t>
  </si>
  <si>
    <t>366675569:eng</t>
  </si>
  <si>
    <t>172807</t>
  </si>
  <si>
    <t>991005353549702656</t>
  </si>
  <si>
    <t>2270324810002656</t>
  </si>
  <si>
    <t>32285002965308</t>
  </si>
  <si>
    <t>893351132</t>
  </si>
  <si>
    <t>NC1115.B72 D34</t>
  </si>
  <si>
    <t>0                      NC 1115000B  72                 D  34</t>
  </si>
  <si>
    <t>Blake's Job; William Blake's Illustrations of the book of Job. With an introd. and commentary by S. Foster Damon.</t>
  </si>
  <si>
    <t>Providence, Brown University Press, 1966.</t>
  </si>
  <si>
    <t>1966</t>
  </si>
  <si>
    <t>2009-10-26</t>
  </si>
  <si>
    <t>1150897081:eng</t>
  </si>
  <si>
    <t>276915</t>
  </si>
  <si>
    <t>991002171319702656</t>
  </si>
  <si>
    <t>2259896340002656</t>
  </si>
  <si>
    <t>32285002965316</t>
  </si>
  <si>
    <t>893866889</t>
  </si>
  <si>
    <t>NC1115.H65 O6</t>
  </si>
  <si>
    <t>0                      NC 1115000H  65                 O  6</t>
  </si>
  <si>
    <t>The drawings of William Hogarth, by A.P. Oppé.</t>
  </si>
  <si>
    <t>Hogarth, William, 1697-1764.</t>
  </si>
  <si>
    <t>London, Phaidon Press, 1948.</t>
  </si>
  <si>
    <t>1948</t>
  </si>
  <si>
    <t>1998-08-12</t>
  </si>
  <si>
    <t>432036430:eng</t>
  </si>
  <si>
    <t>480534</t>
  </si>
  <si>
    <t>991002837139702656</t>
  </si>
  <si>
    <t>2268831590002656</t>
  </si>
  <si>
    <t>32285002965365</t>
  </si>
  <si>
    <t>893233487</t>
  </si>
  <si>
    <t>NC1135.G384 R4</t>
  </si>
  <si>
    <t>0                      NC 1135000G  384                R  4</t>
  </si>
  <si>
    <t>Gauguin drawings [by] John Rewald.</t>
  </si>
  <si>
    <t>Gauguin, Paul, 1848-1903.</t>
  </si>
  <si>
    <t>New York, T. Yoseloff [1958]</t>
  </si>
  <si>
    <t>1958</t>
  </si>
  <si>
    <t>A Bittner art book</t>
  </si>
  <si>
    <t>2000-11-08</t>
  </si>
  <si>
    <t>2973921109:eng</t>
  </si>
  <si>
    <t>676538</t>
  </si>
  <si>
    <t>991003134409702656</t>
  </si>
  <si>
    <t>2270116330002656</t>
  </si>
  <si>
    <t>32285002965399</t>
  </si>
  <si>
    <t>893239910</t>
  </si>
  <si>
    <t>NC1150 .B2613</t>
  </si>
  <si>
    <t>0                      NC 1150000B  2613</t>
  </si>
  <si>
    <t>Great drawings of the Louvre Museum, the Italian drawings [by] Roseline Bacou with the collaboration of Françoise Viatte. [Translated from the French by Victoria Benedict]</t>
  </si>
  <si>
    <t>Bacou, Roseline.</t>
  </si>
  <si>
    <t>New York, G. Braziller [1968]</t>
  </si>
  <si>
    <t>2006-10-24</t>
  </si>
  <si>
    <t>8960873017:eng</t>
  </si>
  <si>
    <t>55616</t>
  </si>
  <si>
    <t>991000134209702656</t>
  </si>
  <si>
    <t>2258231310002656</t>
  </si>
  <si>
    <t>32285002965415</t>
  </si>
  <si>
    <t>893438041</t>
  </si>
  <si>
    <t>NC1185.G6 M273 1947</t>
  </si>
  <si>
    <t>0                      NC 1185000G  6                  M  273         1947</t>
  </si>
  <si>
    <t>Goya drawings from the Prado / Introd. by André Malraux. Translated by Edward Sackville-West.</t>
  </si>
  <si>
    <t>Goya, Francisco, 1746-1828.</t>
  </si>
  <si>
    <t>London : Horizon, 1947.</t>
  </si>
  <si>
    <t>2006-09-28</t>
  </si>
  <si>
    <t>1991-12-10</t>
  </si>
  <si>
    <t>3855419126:eng</t>
  </si>
  <si>
    <t>1240232</t>
  </si>
  <si>
    <t>991003642179702656</t>
  </si>
  <si>
    <t>2258012240002656</t>
  </si>
  <si>
    <t>32285000886621</t>
  </si>
  <si>
    <t>893793853</t>
  </si>
  <si>
    <t>NC1320 .F8</t>
  </si>
  <si>
    <t>0                      NC 1320000F  8</t>
  </si>
  <si>
    <t>Comics : anatomy of a mass medium / [by] Reinhold Reitberger [and] Wolfgang Fuchs. [Translated from the German by Nadia Fowler.</t>
  </si>
  <si>
    <t>Fuchs, Wolfgang J., 1945-</t>
  </si>
  <si>
    <t>Boston : Little, Brown, [1972]</t>
  </si>
  <si>
    <t>1972</t>
  </si>
  <si>
    <t>1999-03-25</t>
  </si>
  <si>
    <t>1993-03-19</t>
  </si>
  <si>
    <t>10269483242:eng</t>
  </si>
  <si>
    <t>524031</t>
  </si>
  <si>
    <t>991002915739702656</t>
  </si>
  <si>
    <t>2261311710002656</t>
  </si>
  <si>
    <t>32285001575843</t>
  </si>
  <si>
    <t>893774189</t>
  </si>
  <si>
    <t>NC1320 .H34</t>
  </si>
  <si>
    <t>0                      NC 1320000H  34</t>
  </si>
  <si>
    <t>The cartoon, communication to the quick / Randall P. Harrison.</t>
  </si>
  <si>
    <t>Harrison, Randall, 1929-</t>
  </si>
  <si>
    <t>Beverly Hills : Sage Publications, c1981.</t>
  </si>
  <si>
    <t>cau</t>
  </si>
  <si>
    <t>The Sage commtext series ; v. 7</t>
  </si>
  <si>
    <t>1992-03-01</t>
  </si>
  <si>
    <t>27351741:eng</t>
  </si>
  <si>
    <t>7463097</t>
  </si>
  <si>
    <t>991005116649702656</t>
  </si>
  <si>
    <t>2264270440002656</t>
  </si>
  <si>
    <t>9780803916210</t>
  </si>
  <si>
    <t>32285000979285</t>
  </si>
  <si>
    <t>893242235</t>
  </si>
  <si>
    <t>NC1320 .N38 1975</t>
  </si>
  <si>
    <t>0                      NC 1320000N  38          1975</t>
  </si>
  <si>
    <t>Cartooning / Roy Paul Nelson.</t>
  </si>
  <si>
    <t>Nelson, Roy Paul.</t>
  </si>
  <si>
    <t>Chicago : H. Regnery, c1975.</t>
  </si>
  <si>
    <t>1975</t>
  </si>
  <si>
    <t>1998-01-27</t>
  </si>
  <si>
    <t>1992-04-01</t>
  </si>
  <si>
    <t>3856313552:eng</t>
  </si>
  <si>
    <t>2010219</t>
  </si>
  <si>
    <t>991003977629702656</t>
  </si>
  <si>
    <t>2265814010002656</t>
  </si>
  <si>
    <t>9780809282128</t>
  </si>
  <si>
    <t>32285001050730</t>
  </si>
  <si>
    <t>893445962</t>
  </si>
  <si>
    <t>NC1320 .N4</t>
  </si>
  <si>
    <t>0                      NC 1320000N  4</t>
  </si>
  <si>
    <t>Fell's guide to the art of cartooning.</t>
  </si>
  <si>
    <t>New York, Fell, c1962.</t>
  </si>
  <si>
    <t>1962</t>
  </si>
  <si>
    <t>1999-02-03</t>
  </si>
  <si>
    <t>2211747:eng</t>
  </si>
  <si>
    <t>1327894</t>
  </si>
  <si>
    <t>991003695779702656</t>
  </si>
  <si>
    <t>2258589710002656</t>
  </si>
  <si>
    <t>32285002965449</t>
  </si>
  <si>
    <t>893611336</t>
  </si>
  <si>
    <t>NC137.F66 A4 1990</t>
  </si>
  <si>
    <t>0                      NC 0137000F  66                 A  4           1990</t>
  </si>
  <si>
    <t>Mathematical impressions / Anatolii T. Fomenko with the writing assistance of Richard Lipkin.</t>
  </si>
  <si>
    <t>Fomenko, A. T.</t>
  </si>
  <si>
    <t>Providence, R.I. : American Mathematical Society, c1990.</t>
  </si>
  <si>
    <t>1990</t>
  </si>
  <si>
    <t>2008-04-27</t>
  </si>
  <si>
    <t>1991-09-27</t>
  </si>
  <si>
    <t>5610061417:eng</t>
  </si>
  <si>
    <t>22381081</t>
  </si>
  <si>
    <t>991001772009702656</t>
  </si>
  <si>
    <t>2270698070002656</t>
  </si>
  <si>
    <t>9780821801628</t>
  </si>
  <si>
    <t>32285000725100</t>
  </si>
  <si>
    <t>893322245</t>
  </si>
  <si>
    <t>NC139.C32 S67 2002</t>
  </si>
  <si>
    <t>0                      NC 0139000C  32                 S  67          2002</t>
  </si>
  <si>
    <t>Paul Cadmus : the male nude / Justin Spring.</t>
  </si>
  <si>
    <t>Spring, Justin.</t>
  </si>
  <si>
    <t>New York, N.Y. : Universe, 2002.</t>
  </si>
  <si>
    <t>2002</t>
  </si>
  <si>
    <t>2003-08-19</t>
  </si>
  <si>
    <t>891202706:eng</t>
  </si>
  <si>
    <t>50955057</t>
  </si>
  <si>
    <t>991004101239702656</t>
  </si>
  <si>
    <t>2258774890002656</t>
  </si>
  <si>
    <t>9780789305893</t>
  </si>
  <si>
    <t>32285004759774</t>
  </si>
  <si>
    <t>893531981</t>
  </si>
  <si>
    <t>NC139.D56 A4 1979</t>
  </si>
  <si>
    <t>0                      NC 0139000D  56                 A  4           1979</t>
  </si>
  <si>
    <t>Jim Dine figure drawings, 1975-1979 : published on the occasion of an exhibition organized by the Art Museum and Galleries, California State University, Long Beach, October 15-November 11, 1979 / Constance W. Glenn.</t>
  </si>
  <si>
    <t>Dine, Jim, 1935-</t>
  </si>
  <si>
    <t>New York : Harper &amp; Row, c1979.</t>
  </si>
  <si>
    <t>1979</t>
  </si>
  <si>
    <t>Icon editions</t>
  </si>
  <si>
    <t>2006-11-25</t>
  </si>
  <si>
    <t>1991-10-07</t>
  </si>
  <si>
    <t>9381616261:eng</t>
  </si>
  <si>
    <t>5917149</t>
  </si>
  <si>
    <t>991004899389702656</t>
  </si>
  <si>
    <t>2254829920002656</t>
  </si>
  <si>
    <t>9780064301022</t>
  </si>
  <si>
    <t>32285000772375</t>
  </si>
  <si>
    <t>893338245</t>
  </si>
  <si>
    <t>NC139.M6 L55 1983</t>
  </si>
  <si>
    <t>0                      NC 0139000M  6                  L  55          1983</t>
  </si>
  <si>
    <t>Thomas Moran in Utah / by Gaell Lindstrom.</t>
  </si>
  <si>
    <t>Lindstrom, Gaell.</t>
  </si>
  <si>
    <t>Logan, Utah : Utah State University, 1983.</t>
  </si>
  <si>
    <t>1983</t>
  </si>
  <si>
    <t>utu</t>
  </si>
  <si>
    <t>Utah State University. Faculty Association. Faculty honor lecture ; 68th</t>
  </si>
  <si>
    <t>1999-01-28</t>
  </si>
  <si>
    <t>1993-05-18</t>
  </si>
  <si>
    <t>3298177:eng</t>
  </si>
  <si>
    <t>10297090</t>
  </si>
  <si>
    <t>991000347489702656</t>
  </si>
  <si>
    <t>2255661400002656</t>
  </si>
  <si>
    <t>32285001659647</t>
  </si>
  <si>
    <t>893314842</t>
  </si>
  <si>
    <t>NC139.P6 A4 1992</t>
  </si>
  <si>
    <t>0                      NC 0139000P  6                  A  4           1992</t>
  </si>
  <si>
    <t>Jackson Pollock, "psychoanalytic" drawings / Claude Cernuschi ; foreword by Michael P. Mezzatesta.</t>
  </si>
  <si>
    <t>Cernuschi, Claude, 1961-</t>
  </si>
  <si>
    <t>Durham : Duke University Press in association with the Duke University Museum of Art, 1992.</t>
  </si>
  <si>
    <t>1992</t>
  </si>
  <si>
    <t>ncu</t>
  </si>
  <si>
    <t>2006-04-10</t>
  </si>
  <si>
    <t>1993-05-13</t>
  </si>
  <si>
    <t>3856546454:eng</t>
  </si>
  <si>
    <t>25007518</t>
  </si>
  <si>
    <t>991001970079702656</t>
  </si>
  <si>
    <t>2256374070002656</t>
  </si>
  <si>
    <t>9780822312505</t>
  </si>
  <si>
    <t>32285001581452</t>
  </si>
  <si>
    <t>893334775</t>
  </si>
  <si>
    <t>NC139.P6 R6</t>
  </si>
  <si>
    <t>0                      NC 0139000P  6                  R  6</t>
  </si>
  <si>
    <t>Jackson Pollock: works on paper. [Text by] Bernice Rose.</t>
  </si>
  <si>
    <t>Pollock, Jackson, 1912-1956.</t>
  </si>
  <si>
    <t>New York, Museum of Modern Art, in association with the Drawing Society; distributed by New York Graphic Society, Greenwich, Conn. [1969]</t>
  </si>
  <si>
    <t>1969</t>
  </si>
  <si>
    <t>1997-07-03</t>
  </si>
  <si>
    <t>3901260421:eng</t>
  </si>
  <si>
    <t>63294</t>
  </si>
  <si>
    <t>991000188449702656</t>
  </si>
  <si>
    <t>2256150210002656</t>
  </si>
  <si>
    <t>32285002864295</t>
  </si>
  <si>
    <t>893865176</t>
  </si>
  <si>
    <t>NC139.R4 P57 1972</t>
  </si>
  <si>
    <t>0                      NC 0139000R  4                  P  57          1972</t>
  </si>
  <si>
    <t>Frederic Remington : 173 drawings and illustrations / selected and with an introd. by Henry C. Pitz.</t>
  </si>
  <si>
    <t>Remington, Frederic, 1861-1909.</t>
  </si>
  <si>
    <t>New York : Dover Publications, c1972.</t>
  </si>
  <si>
    <t>1999-05-04</t>
  </si>
  <si>
    <t>1998-12-03</t>
  </si>
  <si>
    <t>8909955629:eng</t>
  </si>
  <si>
    <t>579110</t>
  </si>
  <si>
    <t>991003012759702656</t>
  </si>
  <si>
    <t>2255733970002656</t>
  </si>
  <si>
    <t>9780486207148</t>
  </si>
  <si>
    <t>32285003493292</t>
  </si>
  <si>
    <t>893704799</t>
  </si>
  <si>
    <t>NC139.R56 A4 1979</t>
  </si>
  <si>
    <t>0                      NC 0139000R  56                 A  4           1979</t>
  </si>
  <si>
    <t>Drawings and digressions / by Larry Rivers, with Carol Brightman.</t>
  </si>
  <si>
    <t>Rivers, Larry, 1925-2002.</t>
  </si>
  <si>
    <t>New York : Crown Publishers, c1979.</t>
  </si>
  <si>
    <t>1996-09-22</t>
  </si>
  <si>
    <t>1993-05-24</t>
  </si>
  <si>
    <t>15265493:eng</t>
  </si>
  <si>
    <t>5102085</t>
  </si>
  <si>
    <t>991004779399702656</t>
  </si>
  <si>
    <t>2269163670002656</t>
  </si>
  <si>
    <t>9780517534304</t>
  </si>
  <si>
    <t>32285001692200</t>
  </si>
  <si>
    <t>893606466</t>
  </si>
  <si>
    <t>NC139.S565 A4 1985</t>
  </si>
  <si>
    <t>0                      NC 0139000S  565                A  4           1985</t>
  </si>
  <si>
    <t>The drawings of David Smith / Trinkett Clark ; organized and circulated by the International Exhibitions Foundation.</t>
  </si>
  <si>
    <t>Clark, Trinkett.</t>
  </si>
  <si>
    <t>Washington, D.C. : The Foundation, c1985.</t>
  </si>
  <si>
    <t>1985</t>
  </si>
  <si>
    <t>dcu</t>
  </si>
  <si>
    <t>1994-11-29</t>
  </si>
  <si>
    <t>6909187:eng</t>
  </si>
  <si>
    <t>13558924</t>
  </si>
  <si>
    <t>991000844699702656</t>
  </si>
  <si>
    <t>2272441750002656</t>
  </si>
  <si>
    <t>9780883970850</t>
  </si>
  <si>
    <t>32285001659662</t>
  </si>
  <si>
    <t>893351680</t>
  </si>
  <si>
    <t>NC1426 .D3 1971</t>
  </si>
  <si>
    <t>0                      NC 1426000D  3           1971</t>
  </si>
  <si>
    <t>Comix: a history of comic books in America.</t>
  </si>
  <si>
    <t>Daniels, Les, 1943-2011.</t>
  </si>
  <si>
    <t>[New York] Outerbridge &amp; Dienstfrey; distributed by E. P. Dutton [1971]</t>
  </si>
  <si>
    <t>1971</t>
  </si>
  <si>
    <t>1992-12-16</t>
  </si>
  <si>
    <t>1992-02-11</t>
  </si>
  <si>
    <t>1384693:eng</t>
  </si>
  <si>
    <t>240907</t>
  </si>
  <si>
    <t>991001907199702656</t>
  </si>
  <si>
    <t>2272295150002656</t>
  </si>
  <si>
    <t>9780876900345</t>
  </si>
  <si>
    <t>32285000946482</t>
  </si>
  <si>
    <t>893879285</t>
  </si>
  <si>
    <t>NC1428 .N423 1975</t>
  </si>
  <si>
    <t>0                      NC 1428000N  423         1975</t>
  </si>
  <si>
    <t>The New Yorker album of drawings, 1925-1975.</t>
  </si>
  <si>
    <t>New York : Viking Press, 1975.</t>
  </si>
  <si>
    <t>1996-03-07</t>
  </si>
  <si>
    <t>1991-02-11</t>
  </si>
  <si>
    <t>5609005526:eng</t>
  </si>
  <si>
    <t>1273446</t>
  </si>
  <si>
    <t>991003662599702656</t>
  </si>
  <si>
    <t>2267762480002656</t>
  </si>
  <si>
    <t>9780670509270</t>
  </si>
  <si>
    <t>32285000299361</t>
  </si>
  <si>
    <t>893318235</t>
  </si>
  <si>
    <t>NC1428 .N47 1995</t>
  </si>
  <si>
    <t>0                      NC 1428000N  47          1995</t>
  </si>
  <si>
    <t>The art of the New Yorker, 1925-1995 / Lee Lorenz.</t>
  </si>
  <si>
    <t>Lorenz, Lee.</t>
  </si>
  <si>
    <t>New York : A. Knopf : Distributed by Random House, 1995.</t>
  </si>
  <si>
    <t>1995</t>
  </si>
  <si>
    <t>2006-10-09</t>
  </si>
  <si>
    <t>1995-11-27</t>
  </si>
  <si>
    <t>34359861:eng</t>
  </si>
  <si>
    <t>31934660</t>
  </si>
  <si>
    <t>991002448809702656</t>
  </si>
  <si>
    <t>2255228710002656</t>
  </si>
  <si>
    <t>9780679436799</t>
  </si>
  <si>
    <t>32285002106671</t>
  </si>
  <si>
    <t>893697793</t>
  </si>
  <si>
    <t>NC1429 .S43832</t>
  </si>
  <si>
    <t>0                      NC 1429000S  43832</t>
  </si>
  <si>
    <t>Peanuts treasury / by Charles M. Schulz ; Foreword by Johnny Hart.</t>
  </si>
  <si>
    <t>Schulz, Charles M. (Charles Monroe), 1922-2000.</t>
  </si>
  <si>
    <t>New York : Holt, Rinehart and Winston, [1968]</t>
  </si>
  <si>
    <t>[1st ed.]</t>
  </si>
  <si>
    <t>2003-09-12</t>
  </si>
  <si>
    <t>69759845:eng</t>
  </si>
  <si>
    <t>443592</t>
  </si>
  <si>
    <t>991002791509702656</t>
  </si>
  <si>
    <t>2264349930002656</t>
  </si>
  <si>
    <t>32285000979996</t>
  </si>
  <si>
    <t>893233418</t>
  </si>
  <si>
    <t>NC1429.D237 H4</t>
  </si>
  <si>
    <t>0                      NC 1429000D  237                H  4</t>
  </si>
  <si>
    <t>As Ding saw Hoover / by Jay N. Darling. Edited by John M. Henry. With introd. by W. W. Waymack.</t>
  </si>
  <si>
    <t>Darling, Jay N. (Jay Norwood), 1876-1962.</t>
  </si>
  <si>
    <t>Ames : Iowa State College Press, [1954]</t>
  </si>
  <si>
    <t>1954</t>
  </si>
  <si>
    <t>2001-04-12</t>
  </si>
  <si>
    <t>2156111:eng</t>
  </si>
  <si>
    <t>1247641</t>
  </si>
  <si>
    <t>991003646219702656</t>
  </si>
  <si>
    <t>2263576740002656</t>
  </si>
  <si>
    <t>32285001690733</t>
  </si>
  <si>
    <t>893352970</t>
  </si>
  <si>
    <t>NC1429.H527 A2 1991</t>
  </si>
  <si>
    <t>0                      NC 1429000H  527                A  2           1991</t>
  </si>
  <si>
    <t>Hirschfeld : art and recollections from eight decades / Al Hirschfeld.</t>
  </si>
  <si>
    <t>Hirschfeld, Al.</t>
  </si>
  <si>
    <t>New York : Scribner ; Toronto : Maxwell Macmillan Canada ; New York : Maxwell Macmillan International, c1991.</t>
  </si>
  <si>
    <t>1991</t>
  </si>
  <si>
    <t>2007-02-16</t>
  </si>
  <si>
    <t>1992-04-14</t>
  </si>
  <si>
    <t>3943585245:eng</t>
  </si>
  <si>
    <t>23732687</t>
  </si>
  <si>
    <t>991001882079702656</t>
  </si>
  <si>
    <t>2265457980002656</t>
  </si>
  <si>
    <t>9780684193656</t>
  </si>
  <si>
    <t>32285001035160</t>
  </si>
  <si>
    <t>893244487</t>
  </si>
  <si>
    <t>NC1429.N3 K4</t>
  </si>
  <si>
    <t>0                      NC 1429000N  3                  K  4</t>
  </si>
  <si>
    <t>The art and politics of Thomas Nast.</t>
  </si>
  <si>
    <t>Keller, Morton.</t>
  </si>
  <si>
    <t>New York : Oxford University Press, 1968.</t>
  </si>
  <si>
    <t>2007-09-21</t>
  </si>
  <si>
    <t>1990-04-25</t>
  </si>
  <si>
    <t>414853:eng</t>
  </si>
  <si>
    <t>441139</t>
  </si>
  <si>
    <t>991002784259702656</t>
  </si>
  <si>
    <t>2257172850002656</t>
  </si>
  <si>
    <t>32285000119098</t>
  </si>
  <si>
    <t>893874012</t>
  </si>
  <si>
    <t>NC1429.N3 S34 1974</t>
  </si>
  <si>
    <t>0                      NC 1429000N  3                  S  34          1974</t>
  </si>
  <si>
    <t>Thomas Nast : cartoons and illustrations / with text by Thomas Nast St. Hill.</t>
  </si>
  <si>
    <t>Nast, Thomas, 1840-1902.</t>
  </si>
  <si>
    <t>New York : Dover Publications, [1974]</t>
  </si>
  <si>
    <t>1974</t>
  </si>
  <si>
    <t>47217345:eng</t>
  </si>
  <si>
    <t>979016</t>
  </si>
  <si>
    <t>991003442799702656</t>
  </si>
  <si>
    <t>2259631920002656</t>
  </si>
  <si>
    <t>9780486230672</t>
  </si>
  <si>
    <t>32285000119106</t>
  </si>
  <si>
    <t>893711370</t>
  </si>
  <si>
    <t>NC1470 .W9 1973</t>
  </si>
  <si>
    <t>0                      NC 1470000W  9           1973</t>
  </si>
  <si>
    <t>The cartoon history of Britain / Michael Wynn Jones ; with a foreword by Michael Cummings.</t>
  </si>
  <si>
    <t>Wynn Jones, Michael.</t>
  </si>
  <si>
    <t>New York : Macmillan, [1973, c1971]</t>
  </si>
  <si>
    <t>1973</t>
  </si>
  <si>
    <t>[1st American ed.]</t>
  </si>
  <si>
    <t>2005-08-03</t>
  </si>
  <si>
    <t>1491746:eng</t>
  </si>
  <si>
    <t>638917</t>
  </si>
  <si>
    <t>991004626669702656</t>
  </si>
  <si>
    <t>2257457740002656</t>
  </si>
  <si>
    <t>32285005099238</t>
  </si>
  <si>
    <t>893904946</t>
  </si>
  <si>
    <t>NC1478 .P8</t>
  </si>
  <si>
    <t>0                      NC 1478000P  8</t>
  </si>
  <si>
    <t>The best cartoons from Punch : collected for Americans from England's famous humorous weekly / edited by Marvin Rosenberg and William Cole.</t>
  </si>
  <si>
    <t>Punch (London, England)</t>
  </si>
  <si>
    <t>[New York] : Simon and Schuster, 1952.</t>
  </si>
  <si>
    <t>1952</t>
  </si>
  <si>
    <t>1993-09-16</t>
  </si>
  <si>
    <t>1993-04-14</t>
  </si>
  <si>
    <t>793000832:eng</t>
  </si>
  <si>
    <t>647076</t>
  </si>
  <si>
    <t>991003097409702656</t>
  </si>
  <si>
    <t>2260554890002656</t>
  </si>
  <si>
    <t>32285001618908</t>
  </si>
  <si>
    <t>893422172</t>
  </si>
  <si>
    <t>NC1479.H6 M8 1966</t>
  </si>
  <si>
    <t>0                      NC 1479000H  6                  M  8           1966</t>
  </si>
  <si>
    <t>London á la mode / drawings and captions by Paul Hogarth. Text by Malcolm Muggeridge.</t>
  </si>
  <si>
    <t>Hogarth, Paul, 1917-2001.</t>
  </si>
  <si>
    <t>New York : Hill and Wang, 1966.</t>
  </si>
  <si>
    <t>2004-12-16</t>
  </si>
  <si>
    <t>196718956:eng</t>
  </si>
  <si>
    <t>426884</t>
  </si>
  <si>
    <t>991004439399702656</t>
  </si>
  <si>
    <t>2265253740002656</t>
  </si>
  <si>
    <t>32285005018071</t>
  </si>
  <si>
    <t>893782245</t>
  </si>
  <si>
    <t>NC1499.D3 M25</t>
  </si>
  <si>
    <t>0                      NC 1499000D  3                  M  25</t>
  </si>
  <si>
    <t>Drawings. [Text by] K. E. Maison.</t>
  </si>
  <si>
    <t>Daumier, Honoré, 1808-1879.</t>
  </si>
  <si>
    <t>New York, T. Yoseloff [1960]</t>
  </si>
  <si>
    <t>1960</t>
  </si>
  <si>
    <t>2009-10-13</t>
  </si>
  <si>
    <t>1485770:eng</t>
  </si>
  <si>
    <t>514230</t>
  </si>
  <si>
    <t>991002895849702656</t>
  </si>
  <si>
    <t>2261987370002656</t>
  </si>
  <si>
    <t>32285002965548</t>
  </si>
  <si>
    <t>893698404</t>
  </si>
  <si>
    <t>NC1509.G78 A4 1980</t>
  </si>
  <si>
    <t>0                      NC 1509000G  78                 A  4           1980</t>
  </si>
  <si>
    <t>Grosz/Heartfield, the artist as social critic : October 1-November 8, 1980, [University Gallery, University of Minnesota].</t>
  </si>
  <si>
    <t>New York : Holmes &amp; Meier ; Minneapolis : The Gallery, c1980.</t>
  </si>
  <si>
    <t>mnu</t>
  </si>
  <si>
    <t>2003-10-08</t>
  </si>
  <si>
    <t>1992-02-19</t>
  </si>
  <si>
    <t>941820036:eng</t>
  </si>
  <si>
    <t>7053679</t>
  </si>
  <si>
    <t>991005072449702656</t>
  </si>
  <si>
    <t>2266394150002656</t>
  </si>
  <si>
    <t>32285000981596</t>
  </si>
  <si>
    <t>893332361</t>
  </si>
  <si>
    <t>NC1509.G78 H47 1985</t>
  </si>
  <si>
    <t>0                      NC 1509000G  78                 H  47          1985</t>
  </si>
  <si>
    <t>George Grosz / [by] Hans Hess.</t>
  </si>
  <si>
    <t>Hess, Hans, 1907-1975.</t>
  </si>
  <si>
    <t>New Haven ; London : Yale University Press, 1985, c1974.</t>
  </si>
  <si>
    <t>ctu</t>
  </si>
  <si>
    <t>2006-09-18</t>
  </si>
  <si>
    <t>8907112074:eng</t>
  </si>
  <si>
    <t>12173241</t>
  </si>
  <si>
    <t>991000651669702656</t>
  </si>
  <si>
    <t>2268995000002656</t>
  </si>
  <si>
    <t>9780300034080</t>
  </si>
  <si>
    <t>32285000981604</t>
  </si>
  <si>
    <t>893865555</t>
  </si>
  <si>
    <t>NC1763.T4 E3</t>
  </si>
  <si>
    <t>0                      NC 1763000T  4                  E  3</t>
  </si>
  <si>
    <t>The Educational technology cartoon book : cartoons from Educational technology magazine.</t>
  </si>
  <si>
    <t>Englewood Cliffs, N.J. : Educational Technology Publications, [1970]</t>
  </si>
  <si>
    <t>1970</t>
  </si>
  <si>
    <t>nju</t>
  </si>
  <si>
    <t>1998-09-22</t>
  </si>
  <si>
    <t>1993-06-03</t>
  </si>
  <si>
    <t>536703:eng</t>
  </si>
  <si>
    <t>261660</t>
  </si>
  <si>
    <t>991002050659702656</t>
  </si>
  <si>
    <t>2266710580002656</t>
  </si>
  <si>
    <t>9780877780007</t>
  </si>
  <si>
    <t>32285005139182</t>
  </si>
  <si>
    <t>893684895</t>
  </si>
  <si>
    <t>NC1765 .B4213 1994</t>
  </si>
  <si>
    <t>0                      NC 1765000B  4213        1994</t>
  </si>
  <si>
    <t>Cartoons : one hundred years of cinema animation / by Giannalberto Bendazzi ; [translated by Anna Taraboletti-Segre].</t>
  </si>
  <si>
    <t>Bendazzi, Giannalberto.</t>
  </si>
  <si>
    <t>Bloomington, Ind. : Indiana University Press, c1994.</t>
  </si>
  <si>
    <t>1994</t>
  </si>
  <si>
    <t>inu</t>
  </si>
  <si>
    <t>2002-09-23</t>
  </si>
  <si>
    <t>1996-12-16</t>
  </si>
  <si>
    <t>16237687:eng</t>
  </si>
  <si>
    <t>30780989</t>
  </si>
  <si>
    <t>991002368499702656</t>
  </si>
  <si>
    <t>2264409210002656</t>
  </si>
  <si>
    <t>9780253209375</t>
  </si>
  <si>
    <t>32285002393675</t>
  </si>
  <si>
    <t>893879833</t>
  </si>
  <si>
    <t>NC1765 .H26 1970</t>
  </si>
  <si>
    <t>0                      NC 1765000H  26          1970</t>
  </si>
  <si>
    <t>Art in movement : new directions in animation / by John Halas, in collaboration with Roger Manvell.</t>
  </si>
  <si>
    <t>Halas, John.</t>
  </si>
  <si>
    <t>New York : Hastings House, [1970]</t>
  </si>
  <si>
    <t>Visual communication books</t>
  </si>
  <si>
    <t>2001-09-09</t>
  </si>
  <si>
    <t>1993-11-02</t>
  </si>
  <si>
    <t>865031371:eng</t>
  </si>
  <si>
    <t>106306</t>
  </si>
  <si>
    <t>991000632469702656</t>
  </si>
  <si>
    <t>2263958910002656</t>
  </si>
  <si>
    <t>9780803803442</t>
  </si>
  <si>
    <t>32285001795797</t>
  </si>
  <si>
    <t>893407377</t>
  </si>
  <si>
    <t>NC1765 .H28</t>
  </si>
  <si>
    <t>0                      NC 1765000H  28</t>
  </si>
  <si>
    <t>Design in motion / [by] John Halas [and] Roger Manvell.</t>
  </si>
  <si>
    <t>New York : Hastings House, [1962]</t>
  </si>
  <si>
    <t>1993-10-29</t>
  </si>
  <si>
    <t>1432950:eng</t>
  </si>
  <si>
    <t>501496</t>
  </si>
  <si>
    <t>991002873859702656</t>
  </si>
  <si>
    <t>2256692330002656</t>
  </si>
  <si>
    <t>32285001795656</t>
  </si>
  <si>
    <t>893591902</t>
  </si>
  <si>
    <t>NC1765 .S63 1989</t>
  </si>
  <si>
    <t>0                      NC 1765000S  63          1989</t>
  </si>
  <si>
    <t>Enchanted drawings : the history of animation / Charles Solomon.</t>
  </si>
  <si>
    <t>Solomon, Charles.</t>
  </si>
  <si>
    <t>New York : Knopf, 1989.</t>
  </si>
  <si>
    <t>1989</t>
  </si>
  <si>
    <t>1999-07-07</t>
  </si>
  <si>
    <t>1999-09-07</t>
  </si>
  <si>
    <t>1006941739:eng</t>
  </si>
  <si>
    <t>19811383</t>
  </si>
  <si>
    <t>991001501959702656</t>
  </si>
  <si>
    <t>2262596350002656</t>
  </si>
  <si>
    <t>9780394546841</t>
  </si>
  <si>
    <t>32285003264636</t>
  </si>
  <si>
    <t>893778838</t>
  </si>
  <si>
    <t>NC1766.U52 W3737 1988</t>
  </si>
  <si>
    <t>0                      NC 1766000U  52                 W  3737        1988</t>
  </si>
  <si>
    <t>That's all folks! : the art of Warner Bros. animation / Steve Schneider ; foreword by Ray Bradbury.</t>
  </si>
  <si>
    <t>Schneider, Steve.</t>
  </si>
  <si>
    <t>New York : H. Holt, c1988.</t>
  </si>
  <si>
    <t>1988</t>
  </si>
  <si>
    <t>1998-04-09</t>
  </si>
  <si>
    <t>1989-10-23</t>
  </si>
  <si>
    <t>836708369:eng</t>
  </si>
  <si>
    <t>18350940</t>
  </si>
  <si>
    <t>991001335299702656</t>
  </si>
  <si>
    <t>2262637800002656</t>
  </si>
  <si>
    <t>9780805008890</t>
  </si>
  <si>
    <t>32285000001775</t>
  </si>
  <si>
    <t>893897716</t>
  </si>
  <si>
    <t>NC1807.B4 O55 1970</t>
  </si>
  <si>
    <t>0                      NC 1807000B  4                  O  55          1970</t>
  </si>
  <si>
    <t>La Belle Époque : Belgian posters, watercolors and drawings from the collection of L. Wittamer-De Camps / introduction and catalogue by Yolande Oostens-Wittamer ; preface by Emile Langui ; circulated by International Exhibitions Foundation, 1970-1971.</t>
  </si>
  <si>
    <t>Oostens-Wittamer, Yolande.</t>
  </si>
  <si>
    <t>[New York] : Grossman, [1970]</t>
  </si>
  <si>
    <t>2005-11-01</t>
  </si>
  <si>
    <t>371530474:eng</t>
  </si>
  <si>
    <t>96348</t>
  </si>
  <si>
    <t>991000587079702656</t>
  </si>
  <si>
    <t>2271324100002656</t>
  </si>
  <si>
    <t>32285001690907</t>
  </si>
  <si>
    <t>893802907</t>
  </si>
  <si>
    <t>NC1810 .G3413 1974</t>
  </si>
  <si>
    <t>0                      NC 1810000G  3413        1974</t>
  </si>
  <si>
    <t>The poster in history. With an essay on the development of poster art by Carlo Arturo Quintavalle. Translated by Alfred and Bruni Mayor.</t>
  </si>
  <si>
    <t>Gallo, Max, 1932-2017.</t>
  </si>
  <si>
    <t>New York, American Heritage Pub. Co.; distributed by McGraw-Hill [1974]</t>
  </si>
  <si>
    <t>1995-10-03</t>
  </si>
  <si>
    <t>1609639:eng</t>
  </si>
  <si>
    <t>754451</t>
  </si>
  <si>
    <t>991003229559702656</t>
  </si>
  <si>
    <t>2267546960002656</t>
  </si>
  <si>
    <t>9780070227354</t>
  </si>
  <si>
    <t>32285002024718</t>
  </si>
  <si>
    <t>893233940</t>
  </si>
  <si>
    <t>NC1850.T6 A4 1991</t>
  </si>
  <si>
    <t>0                      NC 1850000T  6                  A  4           1991</t>
  </si>
  <si>
    <t>Toulouse-Lautrec : the complete posters / Russell Ash.</t>
  </si>
  <si>
    <t>Ash, Russell.</t>
  </si>
  <si>
    <t>[London] : Pavilion, [1991]</t>
  </si>
  <si>
    <t>1993-11-09</t>
  </si>
  <si>
    <t>1992-10-13</t>
  </si>
  <si>
    <t>3699164117:eng</t>
  </si>
  <si>
    <t>26502253</t>
  </si>
  <si>
    <t>991002067959702656</t>
  </si>
  <si>
    <t>2256794980002656</t>
  </si>
  <si>
    <t>9781851455171</t>
  </si>
  <si>
    <t>32285001317592</t>
  </si>
  <si>
    <t>893879461</t>
  </si>
  <si>
    <t>NC228 .S73 1987</t>
  </si>
  <si>
    <t>0                      NC 0228000S  73          1987</t>
  </si>
  <si>
    <t>Drawing in England from Hilliard to Hogarth / by Lindsay Stainton and Christopher White.</t>
  </si>
  <si>
    <t>Stainton, Lindsay.</t>
  </si>
  <si>
    <t>Cambridge [Cambridgeshire] ; New York : Cambridge University Press, 1987.</t>
  </si>
  <si>
    <t>1987</t>
  </si>
  <si>
    <t>2009-04-21</t>
  </si>
  <si>
    <t>10823568:eng</t>
  </si>
  <si>
    <t>15549293</t>
  </si>
  <si>
    <t>991005312159702656</t>
  </si>
  <si>
    <t>2266747610002656</t>
  </si>
  <si>
    <t>9780521346511</t>
  </si>
  <si>
    <t>32285005517254</t>
  </si>
  <si>
    <t>893619783</t>
  </si>
  <si>
    <t>NC233.B5 R6</t>
  </si>
  <si>
    <t>0                      NC 0233000B  5                  R  6</t>
  </si>
  <si>
    <t>Blake's illustrations to the Divine comedy.</t>
  </si>
  <si>
    <t>Roe, Alfred S. (Alfred Seelye), 1844-1917.</t>
  </si>
  <si>
    <t>Princeton, Princeton University Press, 1953.</t>
  </si>
  <si>
    <t>1953</t>
  </si>
  <si>
    <t>1999-03-15</t>
  </si>
  <si>
    <t>1560899:eng</t>
  </si>
  <si>
    <t>537582</t>
  </si>
  <si>
    <t>991002948459702656</t>
  </si>
  <si>
    <t>2263134710002656</t>
  </si>
  <si>
    <t>32285002864311</t>
  </si>
  <si>
    <t>893530680</t>
  </si>
  <si>
    <t>NC242.B3 E27 1972c</t>
  </si>
  <si>
    <t>0                      NC 0242000B  3                  E  27          1972c</t>
  </si>
  <si>
    <t>Aubrey and the dying lady : a Beardsley riddle.</t>
  </si>
  <si>
    <t>Easton, Malcolm.</t>
  </si>
  <si>
    <t>London : Secker and Warburg, 1972.</t>
  </si>
  <si>
    <t>1997-10-01</t>
  </si>
  <si>
    <t>1994-04-06</t>
  </si>
  <si>
    <t>1640968:eng</t>
  </si>
  <si>
    <t>610068</t>
  </si>
  <si>
    <t>991003050359702656</t>
  </si>
  <si>
    <t>2267914950002656</t>
  </si>
  <si>
    <t>9780436140709</t>
  </si>
  <si>
    <t>32285001874154</t>
  </si>
  <si>
    <t>893809806</t>
  </si>
  <si>
    <t>NC242.B3 R4</t>
  </si>
  <si>
    <t>0                      NC 0242000B  3                  R  4</t>
  </si>
  <si>
    <t>Aubrey Beardsley [by] Brian Reade. Introduction by John Rothenstein.</t>
  </si>
  <si>
    <t>Beardsley, Aubrey, 1872-1898.</t>
  </si>
  <si>
    <t>New York, Viking Press [1967]</t>
  </si>
  <si>
    <t>1967</t>
  </si>
  <si>
    <t>A studio book</t>
  </si>
  <si>
    <t>1997-12-19</t>
  </si>
  <si>
    <t>2070136509:eng</t>
  </si>
  <si>
    <t>378893</t>
  </si>
  <si>
    <t>991002614059702656</t>
  </si>
  <si>
    <t>2264325750002656</t>
  </si>
  <si>
    <t>32285002864337</t>
  </si>
  <si>
    <t>893698006</t>
  </si>
  <si>
    <t>NC242.B3 W39 1976</t>
  </si>
  <si>
    <t>0                      NC 0242000B  3                  W  39          1976</t>
  </si>
  <si>
    <t>Aubrey Beardsley, imp of the perverse / Stanley Weintraub.</t>
  </si>
  <si>
    <t>Weintraub, Stanley, 1929-2019.</t>
  </si>
  <si>
    <t>University Park, Pa. : Pennsylvania State University Press, c1976.</t>
  </si>
  <si>
    <t>1976</t>
  </si>
  <si>
    <t>pau</t>
  </si>
  <si>
    <t>1994-03-03</t>
  </si>
  <si>
    <t>3943437441:eng</t>
  </si>
  <si>
    <t>2118568</t>
  </si>
  <si>
    <t>991004018339702656</t>
  </si>
  <si>
    <t>2265357500002656</t>
  </si>
  <si>
    <t>9780271012155</t>
  </si>
  <si>
    <t>32285001659696</t>
  </si>
  <si>
    <t>893531882</t>
  </si>
  <si>
    <t>NC242.B3 Z38 1990</t>
  </si>
  <si>
    <t>0                      NC 0242000B  3                  Z  38          1990</t>
  </si>
  <si>
    <t>Aubrey Beardsley and Victorian sexual politics / Linda Gertner Zatlin.</t>
  </si>
  <si>
    <t>Zatlin, Linda Gertner.</t>
  </si>
  <si>
    <t>Oxford [England] : Clarendon Press ; New York : Oxford University Press, 1990.</t>
  </si>
  <si>
    <t>Clarendon studies in the history of art</t>
  </si>
  <si>
    <t>1994-04-11</t>
  </si>
  <si>
    <t>1991-04-09</t>
  </si>
  <si>
    <t>22696581:eng</t>
  </si>
  <si>
    <t>20593081</t>
  </si>
  <si>
    <t>991001591719702656</t>
  </si>
  <si>
    <t>2271518870002656</t>
  </si>
  <si>
    <t>9780198175063</t>
  </si>
  <si>
    <t>32285000566876</t>
  </si>
  <si>
    <t>893772678</t>
  </si>
  <si>
    <t>NC242.B55 K38 1970</t>
  </si>
  <si>
    <t>0                      NC 0242000B  55                 K  38          1970</t>
  </si>
  <si>
    <t>Drawings of William Blake : 92 pencil studies / selection, introd. and commentary, by Sir Geoffrey Keynes.</t>
  </si>
  <si>
    <t>New York : Dover Publications, [1970]</t>
  </si>
  <si>
    <t>2006-10-25</t>
  </si>
  <si>
    <t>2003-09-03</t>
  </si>
  <si>
    <t>492422:eng</t>
  </si>
  <si>
    <t>104185</t>
  </si>
  <si>
    <t>991004113459702656</t>
  </si>
  <si>
    <t>2260649500002656</t>
  </si>
  <si>
    <t>9780486223032</t>
  </si>
  <si>
    <t>32285004781273</t>
  </si>
  <si>
    <t>893349619</t>
  </si>
  <si>
    <t>NC242.C3 D3</t>
  </si>
  <si>
    <t>0                      NC 0242000C  3                  D  3</t>
  </si>
  <si>
    <t>Randolph Caldecott, 1846-1886 / an appreciation by Mary Gould Davis.</t>
  </si>
  <si>
    <t>Davis, Mary Gould, 1882-1956.</t>
  </si>
  <si>
    <t>Philadelphia ; New York : J.B. Lippincott company, [1946]</t>
  </si>
  <si>
    <t>1946</t>
  </si>
  <si>
    <t>2007-11-08</t>
  </si>
  <si>
    <t>1995-03-10</t>
  </si>
  <si>
    <t>4241425591:eng</t>
  </si>
  <si>
    <t>657774</t>
  </si>
  <si>
    <t>991003112359702656</t>
  </si>
  <si>
    <t>2259875350002656</t>
  </si>
  <si>
    <t>32285002020187</t>
  </si>
  <si>
    <t>893530857</t>
  </si>
  <si>
    <t>NC242.M7 A53 2002</t>
  </si>
  <si>
    <t>0                      NC 0242000M  7                  A  53          2002</t>
  </si>
  <si>
    <t>London's war : the shelter drawings of Henry Moore / Julian Andrews.</t>
  </si>
  <si>
    <t>Andrews, Julian, 1934-2010</t>
  </si>
  <si>
    <t>Aldershot ; Burlington, Vt. : Lund Humphries, 2002.</t>
  </si>
  <si>
    <t>2005-03-22</t>
  </si>
  <si>
    <t>355648348:eng</t>
  </si>
  <si>
    <t>50525454</t>
  </si>
  <si>
    <t>991004492809702656</t>
  </si>
  <si>
    <t>2258815690002656</t>
  </si>
  <si>
    <t>9780853318446</t>
  </si>
  <si>
    <t>32285005043731</t>
  </si>
  <si>
    <t>893442673</t>
  </si>
  <si>
    <t>NC242.R8 W34 1985</t>
  </si>
  <si>
    <t>0                      NC 0242000R  8                  W  34          1985</t>
  </si>
  <si>
    <t>The drawings of John Ruskin / Paul H. Walton.</t>
  </si>
  <si>
    <t>Walton, Paul H.</t>
  </si>
  <si>
    <t>New York : Hacker Art Books, 1985, c1972.</t>
  </si>
  <si>
    <t>2006-09-19</t>
  </si>
  <si>
    <t>1995-10-30</t>
  </si>
  <si>
    <t>1678446:eng</t>
  </si>
  <si>
    <t>12041565</t>
  </si>
  <si>
    <t>991000627029702656</t>
  </si>
  <si>
    <t>2263833290002656</t>
  </si>
  <si>
    <t>9780878172986</t>
  </si>
  <si>
    <t>32285002099603</t>
  </si>
  <si>
    <t>893771804</t>
  </si>
  <si>
    <t>NC245.S34 K353 2003</t>
  </si>
  <si>
    <t>0                      NC 0245000S  34                 K  353         2003</t>
  </si>
  <si>
    <t>Egon Schiele : drawings and watercolors / Jane Kallir ; edited by Ivan Vartanian.</t>
  </si>
  <si>
    <t>Kallir, Jane.</t>
  </si>
  <si>
    <t>London ; New York : Thames &amp; Hudson, 2003.</t>
  </si>
  <si>
    <t>2003</t>
  </si>
  <si>
    <t>2009-12-10</t>
  </si>
  <si>
    <t>2003-09-02</t>
  </si>
  <si>
    <t>3943660986:eng</t>
  </si>
  <si>
    <t>51439000</t>
  </si>
  <si>
    <t>991004101499702656</t>
  </si>
  <si>
    <t>2268620830002656</t>
  </si>
  <si>
    <t>9780500511169</t>
  </si>
  <si>
    <t>32285004780853</t>
  </si>
  <si>
    <t>893429662</t>
  </si>
  <si>
    <t>NC246 .L55 1986</t>
  </si>
  <si>
    <t>0                      NC 0246000L  55          1986</t>
  </si>
  <si>
    <t>Impressionist drawings : from British public and private collections / Christopher Lloyd and Richard Thomson.</t>
  </si>
  <si>
    <t>Lloyd, Christopher, 1945-</t>
  </si>
  <si>
    <t>Oxford : Phaidon Press and the Arts Council, 1986.</t>
  </si>
  <si>
    <t>1986</t>
  </si>
  <si>
    <t>480999891:eng</t>
  </si>
  <si>
    <t>14242801</t>
  </si>
  <si>
    <t>991000928639702656</t>
  </si>
  <si>
    <t>2270156450002656</t>
  </si>
  <si>
    <t>9780714824185</t>
  </si>
  <si>
    <t>32285001659753</t>
  </si>
  <si>
    <t>893778380</t>
  </si>
  <si>
    <t>NC246 .N48 1974</t>
  </si>
  <si>
    <t>0                      NC 0246000N  48          1974</t>
  </si>
  <si>
    <t>Seurat to Matisse: drawing in France; selections from the collection of the Museum of Modern Art. Edited by William S. Lieberman. --</t>
  </si>
  <si>
    <t>Museum of Modern Art (New York, N.Y.)</t>
  </si>
  <si>
    <t>New York : Museum of Modern Art, [1974]</t>
  </si>
  <si>
    <t>1999-01-19</t>
  </si>
  <si>
    <t>951288407:eng</t>
  </si>
  <si>
    <t>1031001</t>
  </si>
  <si>
    <t>991003483429702656</t>
  </si>
  <si>
    <t>2265413440002656</t>
  </si>
  <si>
    <t>9780870705892</t>
  </si>
  <si>
    <t>32285000077700</t>
  </si>
  <si>
    <t>893711399</t>
  </si>
  <si>
    <t>NC246 .W27 1991</t>
  </si>
  <si>
    <t>0                      NC 0246000W  27          1991</t>
  </si>
  <si>
    <t>Impressionist and post-impressionist drawing / Nicholas Wadley.</t>
  </si>
  <si>
    <t>Wadley, Nicholas.</t>
  </si>
  <si>
    <t>New York : Dutton Studio Books ; London : L. King, 1991.</t>
  </si>
  <si>
    <t>1992-08-31</t>
  </si>
  <si>
    <t>27198353:eng</t>
  </si>
  <si>
    <t>24584819</t>
  </si>
  <si>
    <t>991001945269702656</t>
  </si>
  <si>
    <t>2258736230002656</t>
  </si>
  <si>
    <t>9780525933625</t>
  </si>
  <si>
    <t>32285001199834</t>
  </si>
  <si>
    <t>893497563</t>
  </si>
  <si>
    <t>NC248.G46 L6 1971</t>
  </si>
  <si>
    <t>0                      NC 0248000G  46                 L  6           1971</t>
  </si>
  <si>
    <t>Alberto Giacometti drawings / [by] James Lord.</t>
  </si>
  <si>
    <t>Giacometti, Alberto, 1901-1966.</t>
  </si>
  <si>
    <t>Greenwich, Conn. : New York Graphic Society, [1971]</t>
  </si>
  <si>
    <t>A Paul Bianchini book</t>
  </si>
  <si>
    <t>2010-07-03</t>
  </si>
  <si>
    <t>1997-05-27</t>
  </si>
  <si>
    <t>10226938607:eng</t>
  </si>
  <si>
    <t>209395</t>
  </si>
  <si>
    <t>991001256939702656</t>
  </si>
  <si>
    <t>2270772110002656</t>
  </si>
  <si>
    <t>9780821203811</t>
  </si>
  <si>
    <t>32285002696713</t>
  </si>
  <si>
    <t>893516054</t>
  </si>
  <si>
    <t>NC248.I5 M6</t>
  </si>
  <si>
    <t>0                      NC 0248000I  5                  M  6</t>
  </si>
  <si>
    <t>Ingres centennial exhibition, 1867-1967 : drawings, watercolors, and oil sketches from American collections, Fogg Art Museum, Harvard University, February 12-April 9, 1967 / [catalogue by Agnes Mongan and Hans Naef]</t>
  </si>
  <si>
    <t>Ingres, Jean-Auguste-Dominique, 1780-1867.</t>
  </si>
  <si>
    <t>Greenwich, Conn. : Distibuted by New York Graphic Society, [1967]</t>
  </si>
  <si>
    <t>2007-02-26</t>
  </si>
  <si>
    <t>3855495010:eng</t>
  </si>
  <si>
    <t>170576</t>
  </si>
  <si>
    <t>991000974449702656</t>
  </si>
  <si>
    <t>2269236640002656</t>
  </si>
  <si>
    <t>32285001659779</t>
  </si>
  <si>
    <t>893419944</t>
  </si>
  <si>
    <t>NC248.P5 A4 1981</t>
  </si>
  <si>
    <t>0                      NC 0248000P  5                  A  4           1981</t>
  </si>
  <si>
    <t>Master drawings by Picasso / Gary Tinterow.</t>
  </si>
  <si>
    <t>Tinterow, Gary.</t>
  </si>
  <si>
    <t>Cambridge, Mass. : Fogg Art Museum, c1981.</t>
  </si>
  <si>
    <t>2006-04-11</t>
  </si>
  <si>
    <t>1993-06-16</t>
  </si>
  <si>
    <t>464815:eng</t>
  </si>
  <si>
    <t>7464281</t>
  </si>
  <si>
    <t>991005117419702656</t>
  </si>
  <si>
    <t>2262310450002656</t>
  </si>
  <si>
    <t>9780916724436</t>
  </si>
  <si>
    <t>32285001696672</t>
  </si>
  <si>
    <t>893701042</t>
  </si>
  <si>
    <t>NC248.R34 A4 1987</t>
  </si>
  <si>
    <t>0                      NC 0248000R  34                 A  4           1987</t>
  </si>
  <si>
    <t>Odilon Redon : pastels / introduction and commentaries by Roseline Bacou ; translated by Beatrice Rehl.</t>
  </si>
  <si>
    <t>New York : G. Braziller, c1987.</t>
  </si>
  <si>
    <t>1995-09-16</t>
  </si>
  <si>
    <t>9489797068:eng</t>
  </si>
  <si>
    <t>15793907</t>
  </si>
  <si>
    <t>991001066659702656</t>
  </si>
  <si>
    <t>2258237510002656</t>
  </si>
  <si>
    <t>9780807611807</t>
  </si>
  <si>
    <t>32285001659795</t>
  </si>
  <si>
    <t>893237848</t>
  </si>
  <si>
    <t>NC248.S4 F7313 1984</t>
  </si>
  <si>
    <t>0                      NC 0248000S  4                  F  7313        1984</t>
  </si>
  <si>
    <t>Georges Seurat, drawings / [edited] by Erich Franz and Bernd Growe.</t>
  </si>
  <si>
    <t>Seurat, Georges, 1859-1891.</t>
  </si>
  <si>
    <t>Boston : Little, Brown, c1984.</t>
  </si>
  <si>
    <t>1984</t>
  </si>
  <si>
    <t>1st English language ed.</t>
  </si>
  <si>
    <t>2003-09-11</t>
  </si>
  <si>
    <t>1991-12-16</t>
  </si>
  <si>
    <t>4915414413:eng</t>
  </si>
  <si>
    <t>11244324</t>
  </si>
  <si>
    <t>991000511849702656</t>
  </si>
  <si>
    <t>2269235380002656</t>
  </si>
  <si>
    <t>9780821215753</t>
  </si>
  <si>
    <t>32285000891043</t>
  </si>
  <si>
    <t>893444347</t>
  </si>
  <si>
    <t>NC251.D65 A4813</t>
  </si>
  <si>
    <t>0                      NC 0251000D  65                 A  4813</t>
  </si>
  <si>
    <t>Children : sketches, stories, and thoughts about children / Ernst von Dombrowski ; translated from the German by Norma and Garold Davis.</t>
  </si>
  <si>
    <t>Dombrowski, Ernst von, 1896-1985.</t>
  </si>
  <si>
    <t>Provo, Utah : Brigham Young University Press, c1976.</t>
  </si>
  <si>
    <t>60494958:eng</t>
  </si>
  <si>
    <t>1975259</t>
  </si>
  <si>
    <t>991003961339702656</t>
  </si>
  <si>
    <t>2266858630002656</t>
  </si>
  <si>
    <t>9780842507868</t>
  </si>
  <si>
    <t>32285002864410</t>
  </si>
  <si>
    <t>893718288</t>
  </si>
  <si>
    <t>NC251.G66 L48 1971</t>
  </si>
  <si>
    <t>0                      NC 0251000G  66                 L  48          1971</t>
  </si>
  <si>
    <t>George Grosz: art and politics in the Weimar Republic.</t>
  </si>
  <si>
    <t>Lewis, Beth Irwin, 1934-</t>
  </si>
  <si>
    <t>Madison, University of Wisconsin Press [1971]</t>
  </si>
  <si>
    <t>wiu</t>
  </si>
  <si>
    <t>1996-08-06</t>
  </si>
  <si>
    <t>1337091:eng</t>
  </si>
  <si>
    <t>149201</t>
  </si>
  <si>
    <t>991000855169702656</t>
  </si>
  <si>
    <t>2260545840002656</t>
  </si>
  <si>
    <t>9780299059019</t>
  </si>
  <si>
    <t>32285002271418</t>
  </si>
  <si>
    <t>893696221</t>
  </si>
  <si>
    <t>NC251.K6 A6 2000</t>
  </si>
  <si>
    <t>0                      NC 0251000K  6                  A  6           2000</t>
  </si>
  <si>
    <t>"Ich will wirken in dieser Zeit" : Auswahl aus den Tagebüchern und Briefen, aus Graphik, Zeichnungen und Plastik / Käthe Kollwitz ; Einführung von Friedrich Ahlers-Hestermann ; herausgegeben von Hans Kollwitz.</t>
  </si>
  <si>
    <t>Kollwitz, Käthe, 1867-1945.</t>
  </si>
  <si>
    <t>Frankfurt am Main : Ullstein, 2000, c1952.</t>
  </si>
  <si>
    <t>2000</t>
  </si>
  <si>
    <t>Neuauflage</t>
  </si>
  <si>
    <t>ger</t>
  </si>
  <si>
    <t xml:space="preserve">gw </t>
  </si>
  <si>
    <t>Ullstein ; 35905/1690</t>
  </si>
  <si>
    <t>2006-02-20</t>
  </si>
  <si>
    <t>2003-04-28</t>
  </si>
  <si>
    <t>1151012411:ger</t>
  </si>
  <si>
    <t>28332191</t>
  </si>
  <si>
    <t>991004033129702656</t>
  </si>
  <si>
    <t>2260838580002656</t>
  </si>
  <si>
    <t>9783548359052</t>
  </si>
  <si>
    <t>32285004744081</t>
  </si>
  <si>
    <t>893687271</t>
  </si>
  <si>
    <t>NC255 .N45</t>
  </si>
  <si>
    <t>0                      NC 0255000N  45</t>
  </si>
  <si>
    <t>The Italian Renaissance / [catalogue by] Jacob Bean [curator of drawings, Metropolitan Museum of Art, and] Felice Stampfle [curator of drawings and prints, Pierpont Morgan Library.</t>
  </si>
  <si>
    <t>Metropolitan Museum of Art (New York, N.Y.)</t>
  </si>
  <si>
    <t>New York] Metropolitan Museum of Art, Pierpont Morgan Library; distributed by New York Graphic Society, Greenwich, Conn. [1965]</t>
  </si>
  <si>
    <t>Drawings from New York collections ; 1</t>
  </si>
  <si>
    <t>158431195:eng</t>
  </si>
  <si>
    <t>544221</t>
  </si>
  <si>
    <t>991002961899702656</t>
  </si>
  <si>
    <t>2268109680002656</t>
  </si>
  <si>
    <t>32285002696721</t>
  </si>
  <si>
    <t>893886965</t>
  </si>
  <si>
    <t>NC255 .O42</t>
  </si>
  <si>
    <t>0                      NC 0255000O  42</t>
  </si>
  <si>
    <t>Italian drawings, 1780-1890 / by Roberta J. M. Olson.</t>
  </si>
  <si>
    <t>Olson, Roberta J. M.</t>
  </si>
  <si>
    <t>New York : American Federation of Arts, c1980.</t>
  </si>
  <si>
    <t>2006-09-14</t>
  </si>
  <si>
    <t>1162692:eng</t>
  </si>
  <si>
    <t>5892522</t>
  </si>
  <si>
    <t>991004894899702656</t>
  </si>
  <si>
    <t>2265542080002656</t>
  </si>
  <si>
    <t>9780253119636</t>
  </si>
  <si>
    <t>32285001659811</t>
  </si>
  <si>
    <t>893600341</t>
  </si>
  <si>
    <t>NC257.B8 H57 1988</t>
  </si>
  <si>
    <t>0                      NC 0257000B  8                  H  57          1988</t>
  </si>
  <si>
    <t>Michelangelo and his drawings / Michael Hirst.</t>
  </si>
  <si>
    <t>Hirst, Michael.</t>
  </si>
  <si>
    <t>New Haven : Yale University Press, c1988, 1989 printing.</t>
  </si>
  <si>
    <t>2008-10-12</t>
  </si>
  <si>
    <t>1990-05-17</t>
  </si>
  <si>
    <t>3768809595:eng</t>
  </si>
  <si>
    <t>19413617</t>
  </si>
  <si>
    <t>991001459839702656</t>
  </si>
  <si>
    <t>2269717730002656</t>
  </si>
  <si>
    <t>9780300043914</t>
  </si>
  <si>
    <t>32285000152826</t>
  </si>
  <si>
    <t>893420335</t>
  </si>
  <si>
    <t>NC257.B8 P48 1991</t>
  </si>
  <si>
    <t>0                      NC 0257000B  8                  P  48          1991</t>
  </si>
  <si>
    <t>Michelangelo's drawings : the science of attribution / Alexander Perrig ; translated by Michael Joyce.</t>
  </si>
  <si>
    <t>Perrig, Alexander.</t>
  </si>
  <si>
    <t>New Haven : Yale University Press, c1991.</t>
  </si>
  <si>
    <t>1998-03-17</t>
  </si>
  <si>
    <t>836723991:eng</t>
  </si>
  <si>
    <t>22178838</t>
  </si>
  <si>
    <t>991001750239702656</t>
  </si>
  <si>
    <t>2260698460002656</t>
  </si>
  <si>
    <t>9780300039481</t>
  </si>
  <si>
    <t>32285001199842</t>
  </si>
  <si>
    <t>893232223</t>
  </si>
  <si>
    <t>NC257.L4 A4 2003</t>
  </si>
  <si>
    <t>0                      NC 0257000L  4                  A  4           2003</t>
  </si>
  <si>
    <t>Leonardo da Vinci, master draftsman / edited by Carmen C. Bambach ; with contributions by Carmen C. Bambach ... [et al.] ; with the assistance of Rachel Stern and Alison Manges.</t>
  </si>
  <si>
    <t>New York : Metropolitan Museum of Art ; New Haven : Yale University Press, c2003.</t>
  </si>
  <si>
    <t>2003-12-11</t>
  </si>
  <si>
    <t>1406900256:eng</t>
  </si>
  <si>
    <t>50959084</t>
  </si>
  <si>
    <t>991004014579702656</t>
  </si>
  <si>
    <t>2255354350002656</t>
  </si>
  <si>
    <t>9780300098785</t>
  </si>
  <si>
    <t>32285004846035</t>
  </si>
  <si>
    <t>893519151</t>
  </si>
  <si>
    <t>NC257.M6 A413 1993</t>
  </si>
  <si>
    <t>0                      NC 0257000M  6                  A  413         1993</t>
  </si>
  <si>
    <t>The unknown Modigliani : drawings from the collection of Paul Alexandre / Nöel Alexandre ; [translated by Christine Baker and Michael Raeburn].</t>
  </si>
  <si>
    <t>Alexandre, Noël.</t>
  </si>
  <si>
    <t>New York : H.N. Abrams, 1993.</t>
  </si>
  <si>
    <t>1993</t>
  </si>
  <si>
    <t>2003-12-22</t>
  </si>
  <si>
    <t>1994-06-02</t>
  </si>
  <si>
    <t>353425:eng</t>
  </si>
  <si>
    <t>27894411</t>
  </si>
  <si>
    <t>991002164529702656</t>
  </si>
  <si>
    <t>2261314140002656</t>
  </si>
  <si>
    <t>9780810936423</t>
  </si>
  <si>
    <t>32285001920619</t>
  </si>
  <si>
    <t>893898438</t>
  </si>
  <si>
    <t>NC263.E83 S3 1990</t>
  </si>
  <si>
    <t>0                      NC 0263000E  83                 S  3           1990</t>
  </si>
  <si>
    <t>Visions of symmetry : notebooks, periodic drawings, and related work of M.C. Escher / Doris Schattschneider.</t>
  </si>
  <si>
    <t>Schattschneider, Doris.</t>
  </si>
  <si>
    <t>New York : W.H. Freeman, c1990.</t>
  </si>
  <si>
    <t>1998-03-18</t>
  </si>
  <si>
    <t>1991-02-14</t>
  </si>
  <si>
    <t>11749875:eng</t>
  </si>
  <si>
    <t>21523602</t>
  </si>
  <si>
    <t>991001700939702656</t>
  </si>
  <si>
    <t>2259123190002656</t>
  </si>
  <si>
    <t>9780716721260</t>
  </si>
  <si>
    <t>32285000464932</t>
  </si>
  <si>
    <t>893503608</t>
  </si>
  <si>
    <t>NC263.R4 A4 1991</t>
  </si>
  <si>
    <t>0                      NC 0263000R  4                  A  4           1991</t>
  </si>
  <si>
    <t>Rembrandt, the master &amp; his workshop : drawings &amp; etchings / Holm Bevers, Peter Schatborn &amp; Barbara Welzel.</t>
  </si>
  <si>
    <t>New Haven : Yale University Press ; London : National Gallery publication, c1991.</t>
  </si>
  <si>
    <t>1992-11-09</t>
  </si>
  <si>
    <t>3856200993:eng</t>
  </si>
  <si>
    <t>24603383</t>
  </si>
  <si>
    <t>991001946789702656</t>
  </si>
  <si>
    <t>2256923180002656</t>
  </si>
  <si>
    <t>9780300051513</t>
  </si>
  <si>
    <t>32285001360667</t>
  </si>
  <si>
    <t>893804053</t>
  </si>
  <si>
    <t>NC263.R4 B613 1970</t>
  </si>
  <si>
    <t>0                      NC 0263000R  4                  B  613         1970</t>
  </si>
  <si>
    <t>Rembrandt / [translated by Victoria Benedict]</t>
  </si>
  <si>
    <t>Bonnier, Henry.</t>
  </si>
  <si>
    <t>New York : G. Braziller, [1970, c1968]</t>
  </si>
  <si>
    <t>The Great draughtsmen</t>
  </si>
  <si>
    <t>1999-02-10</t>
  </si>
  <si>
    <t>1992-03-18</t>
  </si>
  <si>
    <t>1231755:eng</t>
  </si>
  <si>
    <t>115064</t>
  </si>
  <si>
    <t>991000655429702656</t>
  </si>
  <si>
    <t>2260048930002656</t>
  </si>
  <si>
    <t>32285001023588</t>
  </si>
  <si>
    <t>893339757</t>
  </si>
  <si>
    <t>NC269.C42 L3213</t>
  </si>
  <si>
    <t>0                      NC 0269000C  42                 L  3213</t>
  </si>
  <si>
    <t>Marc Chagall : drawings and water colors for the ballet / [text by] Jacques Lassiagne. [Translated from the French by Joyce Reeves]</t>
  </si>
  <si>
    <t>Chagall, Marc, 1887-1985.</t>
  </si>
  <si>
    <t>New York : Tudor Pub. Co., [1969]</t>
  </si>
  <si>
    <t>1994-11-11</t>
  </si>
  <si>
    <t>3901909704:eng</t>
  </si>
  <si>
    <t>52587</t>
  </si>
  <si>
    <t>991000127419702656</t>
  </si>
  <si>
    <t>2259188110002656</t>
  </si>
  <si>
    <t>32285001696631</t>
  </si>
  <si>
    <t>893877825</t>
  </si>
  <si>
    <t>NC291 .H8</t>
  </si>
  <si>
    <t>0                      NC 0291000H  8</t>
  </si>
  <si>
    <t>Swiss drawings; masterpieces of five centuries. Introd. and notes by Walter Hugelshofer. Organized by the Pro Helvetia Foundation.</t>
  </si>
  <si>
    <t>Hugelshofer, Walter, 1899-</t>
  </si>
  <si>
    <t>Washington, Smithsonian Institution Press, 1967.</t>
  </si>
  <si>
    <t>Smithsonian publication, 4716</t>
  </si>
  <si>
    <t>2006-09-26</t>
  </si>
  <si>
    <t>1864495:eng</t>
  </si>
  <si>
    <t>885702</t>
  </si>
  <si>
    <t>991003352189702656</t>
  </si>
  <si>
    <t>2257441200002656</t>
  </si>
  <si>
    <t>32285002864519</t>
  </si>
  <si>
    <t>893623409</t>
  </si>
  <si>
    <t>NC52 .P513 1982</t>
  </si>
  <si>
    <t>0                      NC 0052000P  513         1982</t>
  </si>
  <si>
    <t>Master drawings : from cave art to Picasso / Terisio Pignatti ; captions by Maria Agnese Chiari.</t>
  </si>
  <si>
    <t>Pignatti, Terisio, 1920-2004.</t>
  </si>
  <si>
    <t>New York : Abrams, 1982.</t>
  </si>
  <si>
    <t>1982</t>
  </si>
  <si>
    <t>1999-02-20</t>
  </si>
  <si>
    <t>180122638:eng</t>
  </si>
  <si>
    <t>8345992</t>
  </si>
  <si>
    <t>991005232909702656</t>
  </si>
  <si>
    <t>2263179590002656</t>
  </si>
  <si>
    <t>9780810916630</t>
  </si>
  <si>
    <t>32285001659787</t>
  </si>
  <si>
    <t>893332639</t>
  </si>
  <si>
    <t>NC650 .T43</t>
  </si>
  <si>
    <t>0                      NC 0650000T  43</t>
  </si>
  <si>
    <t>Freehand drawing : a primer.</t>
  </si>
  <si>
    <t>Thiel, Philip.</t>
  </si>
  <si>
    <t>Seattle, University of Washington Press, 1965.</t>
  </si>
  <si>
    <t>wau</t>
  </si>
  <si>
    <t>2007-05-11</t>
  </si>
  <si>
    <t>12610399:eng</t>
  </si>
  <si>
    <t>639736</t>
  </si>
  <si>
    <t>991003089099702656</t>
  </si>
  <si>
    <t>2258221000002656</t>
  </si>
  <si>
    <t>32285002696747</t>
  </si>
  <si>
    <t>893428430</t>
  </si>
  <si>
    <t>NC660 .K34 1980</t>
  </si>
  <si>
    <t>0                      NC 0660000K  34          1980</t>
  </si>
  <si>
    <t>Experimental drawing / by Robert Kaupelis.</t>
  </si>
  <si>
    <t>Kaupelis, Robert.</t>
  </si>
  <si>
    <t>New York : Watson-Guptill Publications ; London : Pitman House, 1980.</t>
  </si>
  <si>
    <t>488284:eng</t>
  </si>
  <si>
    <t>5942142</t>
  </si>
  <si>
    <t>991004902799702656</t>
  </si>
  <si>
    <t>2270639400002656</t>
  </si>
  <si>
    <t>9780823016181</t>
  </si>
  <si>
    <t>32285000977677</t>
  </si>
  <si>
    <t>893619196</t>
  </si>
  <si>
    <t>NC703 .D4713 1993</t>
  </si>
  <si>
    <t>0                      NC 0703000D  4713        1993</t>
  </si>
  <si>
    <t>Memoirs of the blind : the self-portrait and other ruins / Jacques Derrida ; translated by Pascale-Anne Brault and Michael Naas.</t>
  </si>
  <si>
    <t>Derrida, Jacques.</t>
  </si>
  <si>
    <t>Chicago : University of Chicago Press, 1993.</t>
  </si>
  <si>
    <t>2004-11-08</t>
  </si>
  <si>
    <t>1994-02-01</t>
  </si>
  <si>
    <t>1151630219:eng</t>
  </si>
  <si>
    <t>26588310</t>
  </si>
  <si>
    <t>991002074469702656</t>
  </si>
  <si>
    <t>2265971190002656</t>
  </si>
  <si>
    <t>9780226143071</t>
  </si>
  <si>
    <t>32285001834265</t>
  </si>
  <si>
    <t>893621879</t>
  </si>
  <si>
    <t>NC703 .S35</t>
  </si>
  <si>
    <t>0                      NC 0703000S  35</t>
  </si>
  <si>
    <t>Design fundamentals.</t>
  </si>
  <si>
    <t>Scott, Robert Gillam.</t>
  </si>
  <si>
    <t>New York : McGraw-Hill, 1951.</t>
  </si>
  <si>
    <t>1999-10-18</t>
  </si>
  <si>
    <t>3943899139:eng</t>
  </si>
  <si>
    <t>513757</t>
  </si>
  <si>
    <t>991002895149702656</t>
  </si>
  <si>
    <t>2262449530002656</t>
  </si>
  <si>
    <t>32285000849140</t>
  </si>
  <si>
    <t>893591926</t>
  </si>
  <si>
    <t>NC703.F44 D4</t>
  </si>
  <si>
    <t>0                      NC 0703000F  44                 D  4</t>
  </si>
  <si>
    <t>Design fundamentals</t>
  </si>
  <si>
    <t>Feldsted, C. J. (Carol Joy), 1918-</t>
  </si>
  <si>
    <t>New York Pitman 1958</t>
  </si>
  <si>
    <t>2d ed.</t>
  </si>
  <si>
    <t>2005-09-19</t>
  </si>
  <si>
    <t>1997-07-17</t>
  </si>
  <si>
    <t>2309343:eng</t>
  </si>
  <si>
    <t>1831785</t>
  </si>
  <si>
    <t>991003903619702656</t>
  </si>
  <si>
    <t>2259943720002656</t>
  </si>
  <si>
    <t>32285002864865</t>
  </si>
  <si>
    <t>893781620</t>
  </si>
  <si>
    <t>NC710 .F3 1979</t>
  </si>
  <si>
    <t>0                      NC 0710000F  3           1979</t>
  </si>
  <si>
    <t>On the art of drawing : an informal textbook with illustrations by the author / Robert Fawcett.</t>
  </si>
  <si>
    <t>Fawcett, Robert, 1903-1967</t>
  </si>
  <si>
    <t>New York Watson-Guptill Publications, 1979, c1958.</t>
  </si>
  <si>
    <t>1977</t>
  </si>
  <si>
    <t>nyk</t>
  </si>
  <si>
    <t>3943942897:eng</t>
  </si>
  <si>
    <t>5387399</t>
  </si>
  <si>
    <t>991004829159702656</t>
  </si>
  <si>
    <t>2265329960002656</t>
  </si>
  <si>
    <t>9780823033256</t>
  </si>
  <si>
    <t>32285001659886</t>
  </si>
  <si>
    <t>893801406</t>
  </si>
  <si>
    <t>NC715 .R7</t>
  </si>
  <si>
    <t>0                      NC 0715000R  7</t>
  </si>
  <si>
    <t>On quality in art : criteria of excellence, past and present.</t>
  </si>
  <si>
    <t>Rosenberg, Jakob, 1893-1980.</t>
  </si>
  <si>
    <t>[Princeton, N.J.] : Princeton University Press, [1967]</t>
  </si>
  <si>
    <t>Bollingen series ; 35</t>
  </si>
  <si>
    <t>351109604:eng</t>
  </si>
  <si>
    <t>517408</t>
  </si>
  <si>
    <t>991002901299702656</t>
  </si>
  <si>
    <t>2255147350002656</t>
  </si>
  <si>
    <t>32285002864873</t>
  </si>
  <si>
    <t>893421928</t>
  </si>
  <si>
    <t>NC730 .B63</t>
  </si>
  <si>
    <t>0                      NC 0730000B  63</t>
  </si>
  <si>
    <t>Graphic communication [by] William J. Bowman.</t>
  </si>
  <si>
    <t>Bowman, William J.</t>
  </si>
  <si>
    <t>New York, Wiley [1967, c1968]</t>
  </si>
  <si>
    <t>Wiley series on human communication</t>
  </si>
  <si>
    <t>2003-06-13</t>
  </si>
  <si>
    <t>1511875:eng</t>
  </si>
  <si>
    <t>519336</t>
  </si>
  <si>
    <t>991002905539702656</t>
  </si>
  <si>
    <t>2256817090002656</t>
  </si>
  <si>
    <t>32285002864881</t>
  </si>
  <si>
    <t>893893158</t>
  </si>
  <si>
    <t>NC730 .B65</t>
  </si>
  <si>
    <t>0                      NC 0730000B  65</t>
  </si>
  <si>
    <t>Drawing: ideas, materials, and techniques [by] Gerald F. Brommer.</t>
  </si>
  <si>
    <t>Brommer, Gerald F.</t>
  </si>
  <si>
    <t>14758680:eng</t>
  </si>
  <si>
    <t>298629</t>
  </si>
  <si>
    <t>991002250239702656</t>
  </si>
  <si>
    <t>2264855470002656</t>
  </si>
  <si>
    <t>9780871920416</t>
  </si>
  <si>
    <t>32285002864899</t>
  </si>
  <si>
    <t>893408868</t>
  </si>
  <si>
    <t>NC730 .D382513 1984</t>
  </si>
  <si>
    <t>0                      NC 0730000D  382513      1984</t>
  </si>
  <si>
    <t>Learning to see and draw : studying the techniques of the old masters for working methods and a personal style / by Gaspare de Fiore ; translated from Italian by Joachim Neugroschel.</t>
  </si>
  <si>
    <t>De Fiore, Gaspare, 1926-</t>
  </si>
  <si>
    <t>New York, NY : Watson-Guptill, 1984.</t>
  </si>
  <si>
    <t>The Drawing course ; v. 1</t>
  </si>
  <si>
    <t>2001-02-10</t>
  </si>
  <si>
    <t>1990-06-15</t>
  </si>
  <si>
    <t>3120844:eng</t>
  </si>
  <si>
    <t>10913524</t>
  </si>
  <si>
    <t>991000454779702656</t>
  </si>
  <si>
    <t>2258569290002656</t>
  </si>
  <si>
    <t>9780823013579</t>
  </si>
  <si>
    <t>32285000197797</t>
  </si>
  <si>
    <t>893419464</t>
  </si>
  <si>
    <t>NC730 .G623 1961b</t>
  </si>
  <si>
    <t>0                      NC 0730000G  623         1961b</t>
  </si>
  <si>
    <t>The joy of drawing / by Gerhard Gollwitzer.</t>
  </si>
  <si>
    <t>Gollwitzer, Gerhard, 1906-1973.</t>
  </si>
  <si>
    <t>New York : Gramercy Pub. Co., c1961.</t>
  </si>
  <si>
    <t>1961</t>
  </si>
  <si>
    <t>2007-02-04</t>
  </si>
  <si>
    <t>3943289859:eng</t>
  </si>
  <si>
    <t>3644492</t>
  </si>
  <si>
    <t>991004485899702656</t>
  </si>
  <si>
    <t>2257167720002656</t>
  </si>
  <si>
    <t>32285001659894</t>
  </si>
  <si>
    <t>893430114</t>
  </si>
  <si>
    <t>NC730 .H39 1982</t>
  </si>
  <si>
    <t>0                      NC 0730000H  39          1982</t>
  </si>
  <si>
    <t>The complete guide to painting and drawing : techniques and materials / Colin Hayes.</t>
  </si>
  <si>
    <t>Hayes, Colin.</t>
  </si>
  <si>
    <t>New York : Rutledge, 1982.</t>
  </si>
  <si>
    <t>1993-09-15</t>
  </si>
  <si>
    <t>57201104:eng</t>
  </si>
  <si>
    <t>8201759</t>
  </si>
  <si>
    <t>991005218109702656</t>
  </si>
  <si>
    <t>2269002510002656</t>
  </si>
  <si>
    <t>9780831716158</t>
  </si>
  <si>
    <t>32285001618874</t>
  </si>
  <si>
    <t>893870715</t>
  </si>
  <si>
    <t>NC730 .H54</t>
  </si>
  <si>
    <t>0                      NC 0730000H  54</t>
  </si>
  <si>
    <t>Graphic design manual : principles and practice.</t>
  </si>
  <si>
    <t>Hofmann, Armin.</t>
  </si>
  <si>
    <t>New York : Van Nostrand Reinhold, [c1965]</t>
  </si>
  <si>
    <t>2002-11-11</t>
  </si>
  <si>
    <t>1993-11-16</t>
  </si>
  <si>
    <t>2945946558:eng</t>
  </si>
  <si>
    <t>594296</t>
  </si>
  <si>
    <t>991003030929702656</t>
  </si>
  <si>
    <t>2271694360002656</t>
  </si>
  <si>
    <t>9780442234690</t>
  </si>
  <si>
    <t>32285001798783</t>
  </si>
  <si>
    <t>893893310</t>
  </si>
  <si>
    <t>NC730 .J313 1962</t>
  </si>
  <si>
    <t>0                      NC 0730000J  313         1962</t>
  </si>
  <si>
    <t>How to paint and draw / [by] Bodo W. Jaxtheimer.</t>
  </si>
  <si>
    <t>Jaxtheimer, Bodo W.</t>
  </si>
  <si>
    <t>New York : Weathervane Books, [c1962]</t>
  </si>
  <si>
    <t>1996-02-17</t>
  </si>
  <si>
    <t>159517:eng</t>
  </si>
  <si>
    <t>1282992</t>
  </si>
  <si>
    <t>991003667759702656</t>
  </si>
  <si>
    <t>2265815490002656</t>
  </si>
  <si>
    <t>32285001659902</t>
  </si>
  <si>
    <t>893711635</t>
  </si>
  <si>
    <t>NC730 .N4 1964</t>
  </si>
  <si>
    <t>0                      NC 0730000N  4           1964</t>
  </si>
  <si>
    <t>Thinking with a pencil / Henning Nelms.</t>
  </si>
  <si>
    <t>Nelms, Henning, 1900-1986.</t>
  </si>
  <si>
    <t>New York : Barnes &amp; Noble, 1964.</t>
  </si>
  <si>
    <t>Everyday handbooks ; no. 206</t>
  </si>
  <si>
    <t>2010-06-17</t>
  </si>
  <si>
    <t>1993-09-29</t>
  </si>
  <si>
    <t>142419995:eng</t>
  </si>
  <si>
    <t>4061774</t>
  </si>
  <si>
    <t>991004581559702656</t>
  </si>
  <si>
    <t>2264794820002656</t>
  </si>
  <si>
    <t>32285001771368</t>
  </si>
  <si>
    <t>893436449</t>
  </si>
  <si>
    <t>NC730 .P77 1970</t>
  </si>
  <si>
    <t>0                      NC 0730000P  77          1970</t>
  </si>
  <si>
    <t>The complete drawing book / edited by Peter Probyn.</t>
  </si>
  <si>
    <t>Probyn, Peter, compiler.</t>
  </si>
  <si>
    <t>London : Studio Vista ; New York : Watson-Guptill Publications, c1970, 1980 printing.</t>
  </si>
  <si>
    <t>2000-12-15</t>
  </si>
  <si>
    <t>488240:eng</t>
  </si>
  <si>
    <t>115082</t>
  </si>
  <si>
    <t>991000655499702656</t>
  </si>
  <si>
    <t>2260031790002656</t>
  </si>
  <si>
    <t>9780289700525</t>
  </si>
  <si>
    <t>32285001659910</t>
  </si>
  <si>
    <t>893321228</t>
  </si>
  <si>
    <t>NC730 .P87 1976</t>
  </si>
  <si>
    <t>0                      NC 0730000P  87          1976</t>
  </si>
  <si>
    <t>The drawing handbook / Stuart Purser.</t>
  </si>
  <si>
    <t>Purser, Stuart R., 1907-1986.</t>
  </si>
  <si>
    <t>Worcester, Mass. : Davis Publications, c1976.</t>
  </si>
  <si>
    <t>2006-09-06</t>
  </si>
  <si>
    <t>3943487764:eng</t>
  </si>
  <si>
    <t>3355845</t>
  </si>
  <si>
    <t>991004414049702656</t>
  </si>
  <si>
    <t>2261582270002656</t>
  </si>
  <si>
    <t>9780871920942</t>
  </si>
  <si>
    <t>32285001771350</t>
  </si>
  <si>
    <t>893241398</t>
  </si>
  <si>
    <t>NC735 .H35 1969</t>
  </si>
  <si>
    <t>0                      NC 0735000H  35          1969</t>
  </si>
  <si>
    <t>Grammar of drawing for artists and designers / Colin Hayes.</t>
  </si>
  <si>
    <t>London : Studio Vista ; New York : Van Nostrand Reinhold, 1969.</t>
  </si>
  <si>
    <t>A Studio Vista/Van Nostrand Reinhold art paperback</t>
  </si>
  <si>
    <t>1999-01-13</t>
  </si>
  <si>
    <t>1196935:eng</t>
  </si>
  <si>
    <t>58684</t>
  </si>
  <si>
    <t>991000144579702656</t>
  </si>
  <si>
    <t>2260154680002656</t>
  </si>
  <si>
    <t>9780289796832</t>
  </si>
  <si>
    <t>32285001659951</t>
  </si>
  <si>
    <t>893508553</t>
  </si>
  <si>
    <t>NC735 .S48 1981</t>
  </si>
  <si>
    <t>0                      NC 0735000S  48          1981</t>
  </si>
  <si>
    <t>Drawing : seeing and observation / Ian Simpson.</t>
  </si>
  <si>
    <t>Simpson, Ian, 1955 or 1956-</t>
  </si>
  <si>
    <t>New York : Van Nostrand Reinhold ; London : A &amp; C Black, 1981.</t>
  </si>
  <si>
    <t>1990-02-27</t>
  </si>
  <si>
    <t>1695891:eng</t>
  </si>
  <si>
    <t>8333894</t>
  </si>
  <si>
    <t>991005231379702656</t>
  </si>
  <si>
    <t>2263289180002656</t>
  </si>
  <si>
    <t>9780442272203</t>
  </si>
  <si>
    <t>32285000071877</t>
  </si>
  <si>
    <t>893248582</t>
  </si>
  <si>
    <t>NC745 .M3 1976</t>
  </si>
  <si>
    <t>0                      NC 0745000M  3           1976</t>
  </si>
  <si>
    <t>Fantasy &amp; symmetry : the periodic drawings of M. C. Escher / Caroline H. MacGillavry.</t>
  </si>
  <si>
    <t>MacGillavry, Caroline H., 1904-1993.</t>
  </si>
  <si>
    <t>New York : H. N. Abrams, [1976]</t>
  </si>
  <si>
    <t>1993-12-06</t>
  </si>
  <si>
    <t>5609829144:eng</t>
  </si>
  <si>
    <t>1991101</t>
  </si>
  <si>
    <t>991003968859702656</t>
  </si>
  <si>
    <t>2264077100002656</t>
  </si>
  <si>
    <t>9780810908505</t>
  </si>
  <si>
    <t>32285001805786</t>
  </si>
  <si>
    <t>893900627</t>
  </si>
  <si>
    <t>NC750 .B22513 1981</t>
  </si>
  <si>
    <t>0                      NC 0750000B  22513       1981</t>
  </si>
  <si>
    <t>Linear perspective : its history, directions for construction, and aspects in the environment and in the fine arts / by Willy A. Bärtschi ; translated by Fred Bradley.</t>
  </si>
  <si>
    <t>Bärtschi, Willy A.</t>
  </si>
  <si>
    <t>New York : Van Nostrand Reinhold, 1981.</t>
  </si>
  <si>
    <t>2002-12-01</t>
  </si>
  <si>
    <t>3769018463:eng</t>
  </si>
  <si>
    <t>6735744</t>
  </si>
  <si>
    <t>991005033789702656</t>
  </si>
  <si>
    <t>2268064320002656</t>
  </si>
  <si>
    <t>9780442243449</t>
  </si>
  <si>
    <t>32285001659969</t>
  </si>
  <si>
    <t>893326074</t>
  </si>
  <si>
    <t>NC750 .N74 1957</t>
  </si>
  <si>
    <t>0                      NC 0750000N  74          1957</t>
  </si>
  <si>
    <t>Freehand perspective / by Dora Miriam Norton.</t>
  </si>
  <si>
    <t>Norton, Dora Miriam.</t>
  </si>
  <si>
    <t>New York : Sterling Pub. Co., 1957.</t>
  </si>
  <si>
    <t>[Rev. ed.]</t>
  </si>
  <si>
    <t>1999-02-13</t>
  </si>
  <si>
    <t>1992-01-08</t>
  </si>
  <si>
    <t>3855371402:eng</t>
  </si>
  <si>
    <t>1467302</t>
  </si>
  <si>
    <t>991003769479702656</t>
  </si>
  <si>
    <t>2261322120002656</t>
  </si>
  <si>
    <t>32285000884816</t>
  </si>
  <si>
    <t>893718047</t>
  </si>
  <si>
    <t>NC750 .P66</t>
  </si>
  <si>
    <t>0                      NC 0750000P  66</t>
  </si>
  <si>
    <t>Optics, painting &amp; photography / [by] M. H. Pirenne.</t>
  </si>
  <si>
    <t>Pirenne, M. H. (Maurice Henri)</t>
  </si>
  <si>
    <t>London : Cambridge U.P., 1970.</t>
  </si>
  <si>
    <t>2008-01-30</t>
  </si>
  <si>
    <t>1992-12-17</t>
  </si>
  <si>
    <t>1176015:eng</t>
  </si>
  <si>
    <t>102687</t>
  </si>
  <si>
    <t>991000621829702656</t>
  </si>
  <si>
    <t>2261761520002656</t>
  </si>
  <si>
    <t>9780521076869</t>
  </si>
  <si>
    <t>32285001442887</t>
  </si>
  <si>
    <t>893595725</t>
  </si>
  <si>
    <t>NC750 .V45</t>
  </si>
  <si>
    <t>0                      NC 0750000V  45</t>
  </si>
  <si>
    <t>Understanding perspective / Radu Vero.</t>
  </si>
  <si>
    <t>Vero, Radu.</t>
  </si>
  <si>
    <t>New York : Van Nostrand Reinhold Co., c1978.</t>
  </si>
  <si>
    <t>1978</t>
  </si>
  <si>
    <t>2001-10-05</t>
  </si>
  <si>
    <t>482164:eng</t>
  </si>
  <si>
    <t>4638156</t>
  </si>
  <si>
    <t>991004693929702656</t>
  </si>
  <si>
    <t>2256227800002656</t>
  </si>
  <si>
    <t>9780442290894</t>
  </si>
  <si>
    <t>32285001582781</t>
  </si>
  <si>
    <t>893411845</t>
  </si>
  <si>
    <t>NC758 .B67 1984</t>
  </si>
  <si>
    <t>0                      NC 0758000B  67          1984</t>
  </si>
  <si>
    <t>Color drawing workshop / by Bet Borgeson ; photography by Edwin Borgeson.</t>
  </si>
  <si>
    <t>Borgeson, Bet.</t>
  </si>
  <si>
    <t>New York : Watson-Guptill Publications, 1984.</t>
  </si>
  <si>
    <t>2007-02-12</t>
  </si>
  <si>
    <t>2866882:eng</t>
  </si>
  <si>
    <t>10301080</t>
  </si>
  <si>
    <t>991000350479702656</t>
  </si>
  <si>
    <t>2269972370002656</t>
  </si>
  <si>
    <t>9780823007219</t>
  </si>
  <si>
    <t>32285001659985</t>
  </si>
  <si>
    <t>893237243</t>
  </si>
  <si>
    <t>NC758 .D413 1985</t>
  </si>
  <si>
    <t>0                      NC 0758000D  413         1985</t>
  </si>
  <si>
    <t>Drawing with color and imagination : studying the techniques of the old masters for working methods and a personal style / by Gaspare de Fiore ; translated from Italian by Joachim Neugroschel.</t>
  </si>
  <si>
    <t>New York : Watson-Guptill, 1985, c1983.</t>
  </si>
  <si>
    <t>The Drawing course ; v. 3</t>
  </si>
  <si>
    <t>1992-12-15</t>
  </si>
  <si>
    <t>5345987:eng</t>
  </si>
  <si>
    <t>12801417</t>
  </si>
  <si>
    <t>991000737339702656</t>
  </si>
  <si>
    <t>2255139460002656</t>
  </si>
  <si>
    <t>9780823014545</t>
  </si>
  <si>
    <t>32285001467066</t>
  </si>
  <si>
    <t>893425988</t>
  </si>
  <si>
    <t>NC760 .T48 1964</t>
  </si>
  <si>
    <t>0                      NC 0760000T  48          1964</t>
  </si>
  <si>
    <t>A handbook of anatomy for art students / Arthur Thomson.</t>
  </si>
  <si>
    <t>Thomson, Arthur, 1858-1935.</t>
  </si>
  <si>
    <t>New York : Dover Publications, c1964.</t>
  </si>
  <si>
    <t>5th ed.</t>
  </si>
  <si>
    <t>2002-10-31</t>
  </si>
  <si>
    <t>1995-05-01</t>
  </si>
  <si>
    <t>491758:eng</t>
  </si>
  <si>
    <t>603060</t>
  </si>
  <si>
    <t>991003041859702656</t>
  </si>
  <si>
    <t>2260256410002656</t>
  </si>
  <si>
    <t>32285002020732</t>
  </si>
  <si>
    <t>893799321</t>
  </si>
  <si>
    <t>NC765 .B39</t>
  </si>
  <si>
    <t>0                      NC 0765000B  39</t>
  </si>
  <si>
    <t>Drawing the human form : methods, sources, concepts : a guide to drawing from life / William A. Berry.</t>
  </si>
  <si>
    <t>Berry, William A.</t>
  </si>
  <si>
    <t>New York : Van Nostrand Reinhold, 1977.</t>
  </si>
  <si>
    <t>1997-11-06</t>
  </si>
  <si>
    <t>1993-03-31</t>
  </si>
  <si>
    <t>195738450:eng</t>
  </si>
  <si>
    <t>2542902</t>
  </si>
  <si>
    <t>991004158599702656</t>
  </si>
  <si>
    <t>2272206430002656</t>
  </si>
  <si>
    <t>9780442207182</t>
  </si>
  <si>
    <t>32285001595569</t>
  </si>
  <si>
    <t>893343531</t>
  </si>
  <si>
    <t>NC765 .G64</t>
  </si>
  <si>
    <t>0                      NC 0765000G  64</t>
  </si>
  <si>
    <t>Figure drawing : the structure, anatomy, and expressive design of human form / Nathan Goldstein.</t>
  </si>
  <si>
    <t>Goldstein, Nathan.</t>
  </si>
  <si>
    <t>Englewood Cliffs, N.J. : Prentice-Hall, c1976.</t>
  </si>
  <si>
    <t>1990-08-16</t>
  </si>
  <si>
    <t>658238:eng</t>
  </si>
  <si>
    <t>1502410</t>
  </si>
  <si>
    <t>991003786739702656</t>
  </si>
  <si>
    <t>2263457130002656</t>
  </si>
  <si>
    <t>9780133147650</t>
  </si>
  <si>
    <t>32285000290188</t>
  </si>
  <si>
    <t>893887898</t>
  </si>
  <si>
    <t>NC765 .H15</t>
  </si>
  <si>
    <t>0                      NC 0765000H  15</t>
  </si>
  <si>
    <t>Drawing lessons from the great masters / Robert Beverly Hale.</t>
  </si>
  <si>
    <t>Hale, Robert Beverly, 1901-1985.</t>
  </si>
  <si>
    <t>New York : Watson-Guptill Publications, [1964]</t>
  </si>
  <si>
    <t>2006-10-17</t>
  </si>
  <si>
    <t>1995-08-03</t>
  </si>
  <si>
    <t>113213527:eng</t>
  </si>
  <si>
    <t>352496</t>
  </si>
  <si>
    <t>991002449099702656</t>
  </si>
  <si>
    <t>2265190930002656</t>
  </si>
  <si>
    <t>32285002061256</t>
  </si>
  <si>
    <t>893316821</t>
  </si>
  <si>
    <t>NC765 .H63 1970</t>
  </si>
  <si>
    <t>0                      NC 0765000H  63          1970</t>
  </si>
  <si>
    <t>Dynamic figure drawing / Burne Hogarth.</t>
  </si>
  <si>
    <t>Hogarth, Burne.</t>
  </si>
  <si>
    <t>New York : Watson-Guptill Publications, [1970]</t>
  </si>
  <si>
    <t>2007-09-24</t>
  </si>
  <si>
    <t>488277:eng</t>
  </si>
  <si>
    <t>126124</t>
  </si>
  <si>
    <t>991000719069702656</t>
  </si>
  <si>
    <t>2260424220002656</t>
  </si>
  <si>
    <t>9780823015757</t>
  </si>
  <si>
    <t>32285000290170</t>
  </si>
  <si>
    <t>893237554</t>
  </si>
  <si>
    <t>NC765 .S44 1976</t>
  </si>
  <si>
    <t>0                      NC 0765000S  44          1976</t>
  </si>
  <si>
    <t>Drawing the male figure / by Joseph Sheppard.</t>
  </si>
  <si>
    <t>Sheppard, Joseph, 1930-</t>
  </si>
  <si>
    <t>New York : Watson-Guptill Publications, 1976.</t>
  </si>
  <si>
    <t>2001-10-18</t>
  </si>
  <si>
    <t>3901074152:eng</t>
  </si>
  <si>
    <t>2331700</t>
  </si>
  <si>
    <t>991004084419702656</t>
  </si>
  <si>
    <t>2264143190002656</t>
  </si>
  <si>
    <t>9780823014057</t>
  </si>
  <si>
    <t>32285000947738</t>
  </si>
  <si>
    <t>893687349</t>
  </si>
  <si>
    <t>NC765 .S65 1984</t>
  </si>
  <si>
    <t>0                      NC 0765000S  65          1984</t>
  </si>
  <si>
    <t>Anatomy, perspective and composition for the artist / Stan Smith.</t>
  </si>
  <si>
    <t>Smith, Stan, 1929-2001.</t>
  </si>
  <si>
    <t>New York : Watson-Guptill Publications, c1984.</t>
  </si>
  <si>
    <t>A QED book.</t>
  </si>
  <si>
    <t>2004-04-08</t>
  </si>
  <si>
    <t>1992-01-02</t>
  </si>
  <si>
    <t>3726293:eng</t>
  </si>
  <si>
    <t>11423918</t>
  </si>
  <si>
    <t>991000533199702656</t>
  </si>
  <si>
    <t>2266201820002656</t>
  </si>
  <si>
    <t>9780823002191</t>
  </si>
  <si>
    <t>32285000882141</t>
  </si>
  <si>
    <t>893784305</t>
  </si>
  <si>
    <t>NC770 .C5</t>
  </si>
  <si>
    <t>0                      NC 0770000C  5</t>
  </si>
  <si>
    <t>Faces of the borderlands : twenty-one drawings / by José Cisneros, with text by the artist.</t>
  </si>
  <si>
    <t>Cisneros, José, 1910-2009.</t>
  </si>
  <si>
    <t>[El Paso] : Texas Western Press, c1977.</t>
  </si>
  <si>
    <t>txu</t>
  </si>
  <si>
    <t>Southwestern studies ; monograph no. 52</t>
  </si>
  <si>
    <t>2006-04-21</t>
  </si>
  <si>
    <t>1018630016:eng</t>
  </si>
  <si>
    <t>2867703</t>
  </si>
  <si>
    <t>991004266419702656</t>
  </si>
  <si>
    <t>2265641650002656</t>
  </si>
  <si>
    <t>9780874041118</t>
  </si>
  <si>
    <t>32285002864931</t>
  </si>
  <si>
    <t>893325148</t>
  </si>
  <si>
    <t>NC810 .C75 1965</t>
  </si>
  <si>
    <t>0                      NC 0810000C  75          1965</t>
  </si>
  <si>
    <t>The artistic anatomy of trees, their structure &amp; treatment in painting / illustrated by 50 examples of pictures from the time of the early Italian artists to the present day &amp; 165 drawings by the author, supplemented by 300 diagrams in the text.</t>
  </si>
  <si>
    <t>Cole, Rex Vicat, 1870-1940.</t>
  </si>
  <si>
    <t>New York : Dover Publications, 1965.</t>
  </si>
  <si>
    <t>2005-07-05</t>
  </si>
  <si>
    <t>1992-04-09</t>
  </si>
  <si>
    <t>491869:eng</t>
  </si>
  <si>
    <t>685903</t>
  </si>
  <si>
    <t>991003145559702656</t>
  </si>
  <si>
    <t>2264496790002656</t>
  </si>
  <si>
    <t>32285001057115</t>
  </si>
  <si>
    <t>893422225</t>
  </si>
  <si>
    <t>NC810 .P5 1972</t>
  </si>
  <si>
    <t>0                      NC 0810000P  5           1972</t>
  </si>
  <si>
    <t>How to draw trees / by Henry C. Pitz.</t>
  </si>
  <si>
    <t>Pitz, Henry C. (Henry Clarence), 1895-1976.</t>
  </si>
  <si>
    <t>New York : Watson-Guptill Publications, c1972, 1981 printing.</t>
  </si>
  <si>
    <t>Rev., enl. ed. of Drawing trees.</t>
  </si>
  <si>
    <t>2002-04-05</t>
  </si>
  <si>
    <t>3943302274:eng</t>
  </si>
  <si>
    <t>277891</t>
  </si>
  <si>
    <t>991002175069702656</t>
  </si>
  <si>
    <t>2260170300002656</t>
  </si>
  <si>
    <t>9780823014415</t>
  </si>
  <si>
    <t>32285001057107</t>
  </si>
  <si>
    <t>893238729</t>
  </si>
  <si>
    <t>NC825.N34 L47 1995</t>
  </si>
  <si>
    <t>0                      NC 0825000N  34                 L  47          1995</t>
  </si>
  <si>
    <t>Nature drawing : a tool for learning / Clare Walker Leslie.</t>
  </si>
  <si>
    <t>Leslie, Clare Walker.</t>
  </si>
  <si>
    <t>Dubuque, Iowa : Kendall/Hunt Pub., c1995.</t>
  </si>
  <si>
    <t>iau</t>
  </si>
  <si>
    <t>2010-01-13</t>
  </si>
  <si>
    <t>576680:eng</t>
  </si>
  <si>
    <t>32241634</t>
  </si>
  <si>
    <t>991005349049702656</t>
  </si>
  <si>
    <t>2258524800002656</t>
  </si>
  <si>
    <t>9780787205805</t>
  </si>
  <si>
    <t>32285005557128</t>
  </si>
  <si>
    <t>893722917</t>
  </si>
  <si>
    <t>NC850 .P5</t>
  </si>
  <si>
    <t>0                      NC 0850000P  5</t>
  </si>
  <si>
    <t>Charcoal drawing / by Henry C. Pitz.</t>
  </si>
  <si>
    <t>New York : Watson-Guptill Publications, [1971]</t>
  </si>
  <si>
    <t>2007-04-24</t>
  </si>
  <si>
    <t>1993-05-26</t>
  </si>
  <si>
    <t>1909005512:eng</t>
  </si>
  <si>
    <t>197450</t>
  </si>
  <si>
    <t>991001222339702656</t>
  </si>
  <si>
    <t>2272500690002656</t>
  </si>
  <si>
    <t>9780823006151</t>
  </si>
  <si>
    <t>32285001693208</t>
  </si>
  <si>
    <t>893866062</t>
  </si>
  <si>
    <t>NC880 .D3</t>
  </si>
  <si>
    <t>0                      NC 0880000D  3</t>
  </si>
  <si>
    <t>Pastel painting, by Gladys Rockmore Davis.</t>
  </si>
  <si>
    <t>Davis, Gladys Rockmore, 1901-1967.</t>
  </si>
  <si>
    <t>New York, London, The Studio Publications, incorporated [1943]</t>
  </si>
  <si>
    <t>1943</t>
  </si>
  <si>
    <t>2006-10-23</t>
  </si>
  <si>
    <t>1844088:eng</t>
  </si>
  <si>
    <t>1371231</t>
  </si>
  <si>
    <t>991003724919702656</t>
  </si>
  <si>
    <t>2259931690002656</t>
  </si>
  <si>
    <t>32285002965035</t>
  </si>
  <si>
    <t>893806132</t>
  </si>
  <si>
    <t>NC880 .G74</t>
  </si>
  <si>
    <t>0                      NC 0880000G  74</t>
  </si>
  <si>
    <t>Pastel / by Daniel E. Greene. Edited by Joe Singer.</t>
  </si>
  <si>
    <t>Greene, Daniel E.</t>
  </si>
  <si>
    <t>New York : Watson-Guptill Publications, [1974]</t>
  </si>
  <si>
    <t>1994-07-27</t>
  </si>
  <si>
    <t>2089470:eng</t>
  </si>
  <si>
    <t>1205044</t>
  </si>
  <si>
    <t>991003618379702656</t>
  </si>
  <si>
    <t>2272087340002656</t>
  </si>
  <si>
    <t>9780823038992</t>
  </si>
  <si>
    <t>32285001937225</t>
  </si>
  <si>
    <t>893874965</t>
  </si>
  <si>
    <t>NC880 .H35 1981</t>
  </si>
  <si>
    <t>0                      NC 0880000H  35          1981</t>
  </si>
  <si>
    <t>Pastel painting workshop / Albert Handell and Leslie Trainor.</t>
  </si>
  <si>
    <t>Handell, Albert, 1937-</t>
  </si>
  <si>
    <t>New York : Watson-Guptill Publications, 1981.</t>
  </si>
  <si>
    <t>1994-07-25</t>
  </si>
  <si>
    <t>4202894659:eng</t>
  </si>
  <si>
    <t>7572169</t>
  </si>
  <si>
    <t>991005130579702656</t>
  </si>
  <si>
    <t>2269933420002656</t>
  </si>
  <si>
    <t>9780823039036</t>
  </si>
  <si>
    <t>32285001660066</t>
  </si>
  <si>
    <t>893437204</t>
  </si>
  <si>
    <t>NC880 .M6613 1984</t>
  </si>
  <si>
    <t>0                      NC 0880000M  6613        1984</t>
  </si>
  <si>
    <t>Pastels : from the 16th to the 20th century / by Geneviève Monnier.</t>
  </si>
  <si>
    <t>Monnier, Geneviève.</t>
  </si>
  <si>
    <t>New York : SKIRA/Rizzoli, 1984.</t>
  </si>
  <si>
    <t>2000-11-09</t>
  </si>
  <si>
    <t>3310393:eng</t>
  </si>
  <si>
    <t>10274975</t>
  </si>
  <si>
    <t>991000342639702656</t>
  </si>
  <si>
    <t>2270332750002656</t>
  </si>
  <si>
    <t>9780847805334</t>
  </si>
  <si>
    <t>32285000955038</t>
  </si>
  <si>
    <t>893431877</t>
  </si>
  <si>
    <t>NC880 .S48</t>
  </si>
  <si>
    <t>0                      NC 0880000S  48</t>
  </si>
  <si>
    <t>How to paint figures in pastel / by Joe Singer.</t>
  </si>
  <si>
    <t>Singer, Joe, 1923-2013.</t>
  </si>
  <si>
    <t>1994-03-16</t>
  </si>
  <si>
    <t>2723890:eng</t>
  </si>
  <si>
    <t>1974142</t>
  </si>
  <si>
    <t>991003959639702656</t>
  </si>
  <si>
    <t>2262980140002656</t>
  </si>
  <si>
    <t>9780823024605</t>
  </si>
  <si>
    <t>32285001853711</t>
  </si>
  <si>
    <t>893775429</t>
  </si>
  <si>
    <t>NC890 .C34</t>
  </si>
  <si>
    <t>0                      NC 0890000C  34</t>
  </si>
  <si>
    <t>The pencil / by Paul Calle.</t>
  </si>
  <si>
    <t>Calle, Paul.</t>
  </si>
  <si>
    <t>Westport, Conn. : North Light Publishers ; New York : distributed by Watson-Guptil Publications, c1974, 1978 printing.</t>
  </si>
  <si>
    <t>580537:eng</t>
  </si>
  <si>
    <t>1254067</t>
  </si>
  <si>
    <t>991003650499702656</t>
  </si>
  <si>
    <t>2261494500002656</t>
  </si>
  <si>
    <t>9780823039906</t>
  </si>
  <si>
    <t>32285001660108</t>
  </si>
  <si>
    <t>893348951</t>
  </si>
  <si>
    <t>NC890 .K3 1960</t>
  </si>
  <si>
    <t>0                      NC 0890000K  3           1960</t>
  </si>
  <si>
    <t>Pencil broadsides; a manual of broad stroke technique.</t>
  </si>
  <si>
    <t>Kautzky, Theodore, 1896-1953.</t>
  </si>
  <si>
    <t>New York, Reinhold [1960]</t>
  </si>
  <si>
    <t>[2d ed., enl.]</t>
  </si>
  <si>
    <t>2005-05-09</t>
  </si>
  <si>
    <t>1367575:eng</t>
  </si>
  <si>
    <t>260273</t>
  </si>
  <si>
    <t>991002033309702656</t>
  </si>
  <si>
    <t>2262534570002656</t>
  </si>
  <si>
    <t>32285002965043</t>
  </si>
  <si>
    <t>893615610</t>
  </si>
  <si>
    <t>NC905 .S6 1992</t>
  </si>
  <si>
    <t>0                      NC 0905000S  6           1992</t>
  </si>
  <si>
    <t>The pen &amp; ink book : materials and techniques for today's artist / Jos. A. Smith.</t>
  </si>
  <si>
    <t>Smith, Joseph A. (Joseph Anthony), 1936-</t>
  </si>
  <si>
    <t>New York : Watson-Guptill Publications, 1992.</t>
  </si>
  <si>
    <t>2004-04-06</t>
  </si>
  <si>
    <t>1994-04-13</t>
  </si>
  <si>
    <t>837998631:eng</t>
  </si>
  <si>
    <t>25281491</t>
  </si>
  <si>
    <t>991001989299702656</t>
  </si>
  <si>
    <t>2256151190002656</t>
  </si>
  <si>
    <t>9780823039852</t>
  </si>
  <si>
    <t>32285001876068</t>
  </si>
  <si>
    <t>893414694</t>
  </si>
  <si>
    <t>NC915.A35 V47 1983</t>
  </si>
  <si>
    <t>0                      NC 0915000A  35                 V  47          1983</t>
  </si>
  <si>
    <t>Airbrush : the complete studio handbook / Radu Vero ; edited by Barbara Wood.</t>
  </si>
  <si>
    <t>New York : Watson-Guptill Publications, 1983.</t>
  </si>
  <si>
    <t>1990-02-12</t>
  </si>
  <si>
    <t>627086:eng</t>
  </si>
  <si>
    <t>9609228</t>
  </si>
  <si>
    <t>991000224799702656</t>
  </si>
  <si>
    <t>2260712420002656</t>
  </si>
  <si>
    <t>9780823001668</t>
  </si>
  <si>
    <t>32285000045913</t>
  </si>
  <si>
    <t>893701962</t>
  </si>
  <si>
    <t>NC95 .J6</t>
  </si>
  <si>
    <t>0                      NC 0095000J  6</t>
  </si>
  <si>
    <t>20th century drawings.</t>
  </si>
  <si>
    <t>Johnson, Una E.</t>
  </si>
  <si>
    <t>1139815:eng</t>
  </si>
  <si>
    <t>542725</t>
  </si>
  <si>
    <t>991002957789702656</t>
  </si>
  <si>
    <t>2266657960002656</t>
  </si>
  <si>
    <t>32285002696689</t>
  </si>
  <si>
    <t>893893210</t>
  </si>
  <si>
    <t>NC95 .J6 PT.2</t>
  </si>
  <si>
    <t>0                      NC 0095000J  6                                                       PT.2</t>
  </si>
  <si>
    <t>PT.2*</t>
  </si>
  <si>
    <t>32285002696697</t>
  </si>
  <si>
    <t>893893209</t>
  </si>
  <si>
    <t>NC965 .M49 1983</t>
  </si>
  <si>
    <t>0                      NC 0965000M  49          1983</t>
  </si>
  <si>
    <t>A treasury of the great children's book illustrators / Susan E. Meyer.</t>
  </si>
  <si>
    <t>Meyer, Susan E.</t>
  </si>
  <si>
    <t>New York : Abrams, 1983.</t>
  </si>
  <si>
    <t>617687:eng</t>
  </si>
  <si>
    <t>9197561</t>
  </si>
  <si>
    <t>991000149679702656</t>
  </si>
  <si>
    <t>2265953720002656</t>
  </si>
  <si>
    <t>9780810907829</t>
  </si>
  <si>
    <t>32285001660157</t>
  </si>
  <si>
    <t>893884167</t>
  </si>
  <si>
    <t>NC965 .S3 1982</t>
  </si>
  <si>
    <t>0                      NC 0965000S  3           1982</t>
  </si>
  <si>
    <t>Ways of the illustrator : visual communication in children's literature / by Joseph H. Schwarcz.</t>
  </si>
  <si>
    <t>Schwarcz, Joseph H.</t>
  </si>
  <si>
    <t>Chicago : American Library Association, 1982.</t>
  </si>
  <si>
    <t>2004-03-22</t>
  </si>
  <si>
    <t>196187840:eng</t>
  </si>
  <si>
    <t>8389590</t>
  </si>
  <si>
    <t>991005238109702656</t>
  </si>
  <si>
    <t>2261112300002656</t>
  </si>
  <si>
    <t>9780838903568</t>
  </si>
  <si>
    <t>32285001660165</t>
  </si>
  <si>
    <t>893260789</t>
  </si>
  <si>
    <t>NC975 .R4 2001</t>
  </si>
  <si>
    <t>0                      NC 0975000R  4           2001</t>
  </si>
  <si>
    <t>The illustrator in America, 1860-2000 / by Walt Reed.</t>
  </si>
  <si>
    <t>Reed, Walt.</t>
  </si>
  <si>
    <t>New York, N.Y. : Society of Illustrators : Distributors tp the trade in the United States and Canada, Watson-Guptill : Distributed throughout the rest of the world by Harper Collins, c2001.</t>
  </si>
  <si>
    <t>2001</t>
  </si>
  <si>
    <t>3rd ed.</t>
  </si>
  <si>
    <t>2008-01-09</t>
  </si>
  <si>
    <t>9257090052:eng</t>
  </si>
  <si>
    <t>46825535</t>
  </si>
  <si>
    <t>991005156569702656</t>
  </si>
  <si>
    <t>2263157490002656</t>
  </si>
  <si>
    <t>9780823025237</t>
  </si>
  <si>
    <t>32285005376032</t>
  </si>
  <si>
    <t>893236370</t>
  </si>
  <si>
    <t>NC975.5.H45 A87 1987</t>
  </si>
  <si>
    <t>0                      NC 0975500H  45                 A  87          1987</t>
  </si>
  <si>
    <t>John Held, Jr., illustrator of the jazz age / Shelley Armitage.</t>
  </si>
  <si>
    <t>Armitage, Shelley, 1947-</t>
  </si>
  <si>
    <t>Syracuse, NY : Syracuse University Press, 1987.</t>
  </si>
  <si>
    <t>1998-10-04</t>
  </si>
  <si>
    <t>11069644:eng</t>
  </si>
  <si>
    <t>15860593</t>
  </si>
  <si>
    <t>991001070459702656</t>
  </si>
  <si>
    <t>2259036680002656</t>
  </si>
  <si>
    <t>9780815602156</t>
  </si>
  <si>
    <t>32285001690600</t>
  </si>
  <si>
    <t>893249941</t>
  </si>
  <si>
    <t>NC975.5.H65 T38 1992</t>
  </si>
  <si>
    <t>0                      NC 0975500H  65                 T  38          1992</t>
  </si>
  <si>
    <t>Winslow Homer and the illustrated book / David Tatham.</t>
  </si>
  <si>
    <t>Tatham, David.</t>
  </si>
  <si>
    <t>Syracuse, N.Y. : Syracuse University Press, 1992.</t>
  </si>
  <si>
    <t>2010-05-04</t>
  </si>
  <si>
    <t>1993-10-21</t>
  </si>
  <si>
    <t>20761106:eng</t>
  </si>
  <si>
    <t>23382966</t>
  </si>
  <si>
    <t>991001860739702656</t>
  </si>
  <si>
    <t>2268737020002656</t>
  </si>
  <si>
    <t>9780815625506</t>
  </si>
  <si>
    <t>32285001788099</t>
  </si>
  <si>
    <t>893439492</t>
  </si>
  <si>
    <t>NC975.5.K63 H87 1978</t>
  </si>
  <si>
    <t>0                      NC 0975500K  63                 H  87          1978</t>
  </si>
  <si>
    <t>The world, the work, and the West of W.H.D. Koerner / by W.H. Hutchinson.</t>
  </si>
  <si>
    <t>Hutchinson, W. H. (William Henry), 1910-1990.</t>
  </si>
  <si>
    <t>[Norman] : University of Oklahoma Press, c1978.</t>
  </si>
  <si>
    <t>oku</t>
  </si>
  <si>
    <t>2006-03-13</t>
  </si>
  <si>
    <t>462070:eng</t>
  </si>
  <si>
    <t>4193223</t>
  </si>
  <si>
    <t>991004764289702656</t>
  </si>
  <si>
    <t>2261882970002656</t>
  </si>
  <si>
    <t>9780806114712</t>
  </si>
  <si>
    <t>32285005161087</t>
  </si>
  <si>
    <t>893810678</t>
  </si>
  <si>
    <t>NC977 .S63 2003</t>
  </si>
  <si>
    <t>0                      NC 0977000S  63          2003</t>
  </si>
  <si>
    <t>The parallel worlds of classical art and text / Jocelyn Penny Small.</t>
  </si>
  <si>
    <t>Small, Jocelyn Penny, 1945-</t>
  </si>
  <si>
    <t>Cambridge, U.K. ; New York : Cambridge University Press, 2003.</t>
  </si>
  <si>
    <t>2003-11-20</t>
  </si>
  <si>
    <t>710292:eng</t>
  </si>
  <si>
    <t>51022551</t>
  </si>
  <si>
    <t>991004165369702656</t>
  </si>
  <si>
    <t>2266439590002656</t>
  </si>
  <si>
    <t>9780521815222</t>
  </si>
  <si>
    <t>32285004840525</t>
  </si>
  <si>
    <t>893235138</t>
  </si>
  <si>
    <t>NC978 .H56 1982</t>
  </si>
  <si>
    <t>0                      NC 0978000H  56          1982</t>
  </si>
  <si>
    <t>Image and text : studies in the illustration of English literature / Edward Hodnett.</t>
  </si>
  <si>
    <t>Hodnett, Edward, 1901-1984.</t>
  </si>
  <si>
    <t>London : Scolar Press, 1982.</t>
  </si>
  <si>
    <t>1993-06-01</t>
  </si>
  <si>
    <t>226258221:eng</t>
  </si>
  <si>
    <t>8597053</t>
  </si>
  <si>
    <t>991000029879702656</t>
  </si>
  <si>
    <t>2269476160002656</t>
  </si>
  <si>
    <t>9780859676038</t>
  </si>
  <si>
    <t>32285001715100</t>
  </si>
  <si>
    <t>893771312</t>
  </si>
  <si>
    <t>NC978.5.B46 J47 1990</t>
  </si>
  <si>
    <t>0                      NC 0978500B  46                 J  47          1990</t>
  </si>
  <si>
    <t>The answer to the lyre : Richard Bentley's illustrations for Thomas Gray's poems / Loftus Jestin.</t>
  </si>
  <si>
    <t>Jestin, Loftus.</t>
  </si>
  <si>
    <t>Philadelphia : University of Pennsylvania Press, c1990.</t>
  </si>
  <si>
    <t>2003-09-29</t>
  </si>
  <si>
    <t>1011133:eng</t>
  </si>
  <si>
    <t>20594246</t>
  </si>
  <si>
    <t>991004139619702656</t>
  </si>
  <si>
    <t>2267617960002656</t>
  </si>
  <si>
    <t>9780812281842</t>
  </si>
  <si>
    <t>32285004785498</t>
  </si>
  <si>
    <t>893253289</t>
  </si>
  <si>
    <t>NC978.5.T52 B82</t>
  </si>
  <si>
    <t>0                      NC 0978500T  52                 B  82</t>
  </si>
  <si>
    <t>The illustrations of William Makepeace Thackeray / John Buchanan-Brown.</t>
  </si>
  <si>
    <t>Buchanan-Brown, John.</t>
  </si>
  <si>
    <t>Newton Abbot, England ; North Pomfret, Vt. : David and Charles, c1979.</t>
  </si>
  <si>
    <t>2007-09-13</t>
  </si>
  <si>
    <t>42752702:eng</t>
  </si>
  <si>
    <t>8865860</t>
  </si>
  <si>
    <t>991004923369702656</t>
  </si>
  <si>
    <t>2272332340002656</t>
  </si>
  <si>
    <t>32285001690642</t>
  </si>
  <si>
    <t>893713221</t>
  </si>
  <si>
    <t>NC980.5.L4 G413 1984</t>
  </si>
  <si>
    <t>0                      NC 0980500L  4                  G  413         1984</t>
  </si>
  <si>
    <t>From the Ballets russes to Vogue : the art of Georges Lepape / Claude Lepape, Thierry Defert ; [translated from the French by Jane Brenton].</t>
  </si>
  <si>
    <t>Lepape, Claude, 1913-1994.</t>
  </si>
  <si>
    <t>New York, NY : Vendome Press : Distributed by Viking Press, c1984.</t>
  </si>
  <si>
    <t>1999-03-26</t>
  </si>
  <si>
    <t>428760349:eng</t>
  </si>
  <si>
    <t>10723023</t>
  </si>
  <si>
    <t>991000413599702656</t>
  </si>
  <si>
    <t>2255783060002656</t>
  </si>
  <si>
    <t>9780865650459</t>
  </si>
  <si>
    <t>32285001690659</t>
  </si>
  <si>
    <t>893865328</t>
  </si>
  <si>
    <t>NC997 .B46</t>
  </si>
  <si>
    <t>0                      NC 0997000B  46</t>
  </si>
  <si>
    <t>Careers in commercial art / [by] J.I. Biegeleisen.</t>
  </si>
  <si>
    <t>Biegeleisen, J. I. (Jacob Israel), 1910-</t>
  </si>
  <si>
    <t>New York : E.P. Dutton &amp; Co., inc., 1944.</t>
  </si>
  <si>
    <t>1944</t>
  </si>
  <si>
    <t>1999-12-06</t>
  </si>
  <si>
    <t>1994-05-11</t>
  </si>
  <si>
    <t>2844267:eng</t>
  </si>
  <si>
    <t>1742051</t>
  </si>
  <si>
    <t>991003887409702656</t>
  </si>
  <si>
    <t>2260111690002656</t>
  </si>
  <si>
    <t>32285001910065</t>
  </si>
  <si>
    <t>893318527</t>
  </si>
  <si>
    <t>NC997 .M2913 1970</t>
  </si>
  <si>
    <t>0                      NC 0997000M  2913        1970</t>
  </si>
  <si>
    <t>Letter and image. Translated by Caroline Hillier and Vivienne Menkes.</t>
  </si>
  <si>
    <t>Massin.</t>
  </si>
  <si>
    <t>New York, Van Nostrand Reinhold Co. [1970]</t>
  </si>
  <si>
    <t>2001-03-30</t>
  </si>
  <si>
    <t>3901037121:eng</t>
  </si>
  <si>
    <t>98740</t>
  </si>
  <si>
    <t>991000604969702656</t>
  </si>
  <si>
    <t>2272061770002656</t>
  </si>
  <si>
    <t>32285002965118</t>
  </si>
  <si>
    <t>893521835</t>
  </si>
  <si>
    <t>NC997 .N48 1990</t>
  </si>
  <si>
    <t>0                      NC 0997000N  48          1990</t>
  </si>
  <si>
    <t>The New guide to graphic design / editor, Bob Cotton.</t>
  </si>
  <si>
    <t>Oxford : Phaidon, 1990.</t>
  </si>
  <si>
    <t>2002-11-24</t>
  </si>
  <si>
    <t>1992-01-21</t>
  </si>
  <si>
    <t>55356806:eng</t>
  </si>
  <si>
    <t>21971779</t>
  </si>
  <si>
    <t>991001735779702656</t>
  </si>
  <si>
    <t>2267952550002656</t>
  </si>
  <si>
    <t>9780714826271</t>
  </si>
  <si>
    <t>32285000865328</t>
  </si>
  <si>
    <t>893715667</t>
  </si>
  <si>
    <t>NC997 .W37 1988</t>
  </si>
  <si>
    <t>0                      NC 0997000W  37          1988</t>
  </si>
  <si>
    <t>Creative ad design &amp; illustration / Dick Ward.</t>
  </si>
  <si>
    <t>Ward, Dick.</t>
  </si>
  <si>
    <t>Cincinnati, Ohio : North Light Books, 1988.</t>
  </si>
  <si>
    <t>ohu</t>
  </si>
  <si>
    <t>1990-02-22</t>
  </si>
  <si>
    <t>16462277:eng</t>
  </si>
  <si>
    <t>18159943</t>
  </si>
  <si>
    <t>991001311959702656</t>
  </si>
  <si>
    <t>2257071890002656</t>
  </si>
  <si>
    <t>9780891342441</t>
  </si>
  <si>
    <t>32285000049287</t>
  </si>
  <si>
    <t>893408032</t>
  </si>
  <si>
    <t>NC998.4 .R4 1989</t>
  </si>
  <si>
    <t>0                      NC 0998400R  4           1989</t>
  </si>
  <si>
    <t>Nine pioneers in American graphic design / R. Roger Remington and Barbara J. Hodik.</t>
  </si>
  <si>
    <t>Remington, R. Roger.</t>
  </si>
  <si>
    <t>Cambridge, Mass. : MIT Press, c1989.</t>
  </si>
  <si>
    <t>1999-12-01</t>
  </si>
  <si>
    <t>1990-02-16</t>
  </si>
  <si>
    <t>16730958:eng</t>
  </si>
  <si>
    <t>17731309</t>
  </si>
  <si>
    <t>991001255699702656</t>
  </si>
  <si>
    <t>2272229060002656</t>
  </si>
  <si>
    <t>9780262181334</t>
  </si>
  <si>
    <t>32285000039171</t>
  </si>
  <si>
    <t>893528818</t>
  </si>
  <si>
    <t>NC998.45.P67 P69 2003</t>
  </si>
  <si>
    <t>0                      NC 0998450P  67                 P  69          2003</t>
  </si>
  <si>
    <t>No more rules : graphic design and postmodernism / Rick Poynor.</t>
  </si>
  <si>
    <t>Poynor, Rick.</t>
  </si>
  <si>
    <t>New Haven, CT : Yale University Press, c2003.</t>
  </si>
  <si>
    <t>2008-04-15</t>
  </si>
  <si>
    <t>2005-01-18</t>
  </si>
  <si>
    <t>34299:eng</t>
  </si>
  <si>
    <t>53336222</t>
  </si>
  <si>
    <t>991004426569702656</t>
  </si>
  <si>
    <t>2258586420002656</t>
  </si>
  <si>
    <t>9780300100341</t>
  </si>
  <si>
    <t>32285005020622</t>
  </si>
  <si>
    <t>893423785</t>
  </si>
  <si>
    <t>NC998.6.G4 A96 2000</t>
  </si>
  <si>
    <t>0                      NC 0998600G  4                  A  96          2000</t>
  </si>
  <si>
    <t>Graphic design in Germany : 1890-1945 / Jeremy Aynsley.</t>
  </si>
  <si>
    <t>Aynsley, Jeremy.</t>
  </si>
  <si>
    <t>Berkeley : University of California Press, c2000.</t>
  </si>
  <si>
    <t>Weimar and now ; 28</t>
  </si>
  <si>
    <t>2002-04-29</t>
  </si>
  <si>
    <t>2002-04-17</t>
  </si>
  <si>
    <t>118224817:eng</t>
  </si>
  <si>
    <t>44117928</t>
  </si>
  <si>
    <t>991003781929702656</t>
  </si>
  <si>
    <t>2265846430002656</t>
  </si>
  <si>
    <t>9780520227965</t>
  </si>
  <si>
    <t>32285004480868</t>
  </si>
  <si>
    <t>893349137</t>
  </si>
  <si>
    <t>NC998.6.G7 C66 2004</t>
  </si>
  <si>
    <t>0                      NC 0998600G  7                  C  66          2004</t>
  </si>
  <si>
    <t>Communicate : independent British graphic design since the sixties / edited by Rick Poynor ; essays by David Crowley ... [et al.].</t>
  </si>
  <si>
    <t>New Haven, CT : Yale University Press, 2004.</t>
  </si>
  <si>
    <t>2004</t>
  </si>
  <si>
    <t>2006-07-12</t>
  </si>
  <si>
    <t>865513554:eng</t>
  </si>
  <si>
    <t>57724792</t>
  </si>
  <si>
    <t>991004847249702656</t>
  </si>
  <si>
    <t>2264415990002656</t>
  </si>
  <si>
    <t>9780300106848</t>
  </si>
  <si>
    <t>32285005194302</t>
  </si>
  <si>
    <t>893424252</t>
  </si>
  <si>
    <t>NC998.6.I8 H46 1993</t>
  </si>
  <si>
    <t>0                      NC 0998600I  8                  H  46          1993</t>
  </si>
  <si>
    <t>Italian art deco : graphic design between the wars / Steven Heller &amp; Louise Fili.</t>
  </si>
  <si>
    <t>Heller, Steven.</t>
  </si>
  <si>
    <t>San Francisco : Chronicle Books, c1993.</t>
  </si>
  <si>
    <t>2010-03-23</t>
  </si>
  <si>
    <t>1994-08-08</t>
  </si>
  <si>
    <t>375742463:eng</t>
  </si>
  <si>
    <t>26852922</t>
  </si>
  <si>
    <t>991002092869702656</t>
  </si>
  <si>
    <t>2264910680002656</t>
  </si>
  <si>
    <t>9780811802871</t>
  </si>
  <si>
    <t>32285001941698</t>
  </si>
  <si>
    <t>893785703</t>
  </si>
  <si>
    <t>NC998.6.J3 F73 1996</t>
  </si>
  <si>
    <t>0                      NC 0998600J  3                  F  73          1996</t>
  </si>
  <si>
    <t>Japanese modern : graphic design between the wars / [text by] James Fraser, [edited by] Steven Heller, [art direction] Seymour Chwast.</t>
  </si>
  <si>
    <t>Fraser, James, 1933-</t>
  </si>
  <si>
    <t>San Francisco, CA : Chronicle Books, c1996.</t>
  </si>
  <si>
    <t>1996</t>
  </si>
  <si>
    <t>2005-04-09</t>
  </si>
  <si>
    <t>1997-04-03</t>
  </si>
  <si>
    <t>891249404:eng</t>
  </si>
  <si>
    <t>32779236</t>
  </si>
  <si>
    <t>991002520489702656</t>
  </si>
  <si>
    <t>2259698660002656</t>
  </si>
  <si>
    <t>9780811805094</t>
  </si>
  <si>
    <t>32285002478443</t>
  </si>
  <si>
    <t>893335404</t>
  </si>
  <si>
    <t>NC999.4.B76 G78 1989</t>
  </si>
  <si>
    <t>0                      NC 0999400B  76                 G  78          1989</t>
  </si>
  <si>
    <t>Brodovitch / Andy Grundberg.</t>
  </si>
  <si>
    <t>Grundberg, Andy.</t>
  </si>
  <si>
    <t>New York : Documents of American Design : H.N. Abrams, c1989.</t>
  </si>
  <si>
    <t>Masters of American design</t>
  </si>
  <si>
    <t>1999-10-20</t>
  </si>
  <si>
    <t>17988441:eng</t>
  </si>
  <si>
    <t>18442100</t>
  </si>
  <si>
    <t>991001351239702656</t>
  </si>
  <si>
    <t>2269500740002656</t>
  </si>
  <si>
    <t>9780810907249</t>
  </si>
  <si>
    <t>32285000566827</t>
  </si>
  <si>
    <t>893244060</t>
  </si>
  <si>
    <t>NC999.6.J3 K3413</t>
  </si>
  <si>
    <t>0                      NC 0999600J  3                  K  3413</t>
  </si>
  <si>
    <t>The graphic design of Yusaku Kamekura / with a foreword by Herbert Bayer, an essay by Masaru Katsumi, and comments by the designer.</t>
  </si>
  <si>
    <t>Kamekura, Yūsaku, 1915-1997.</t>
  </si>
  <si>
    <t>New York : Weatherhill, [1973]</t>
  </si>
  <si>
    <t>1990-02-21</t>
  </si>
  <si>
    <t>148081895:eng</t>
  </si>
  <si>
    <t>514873</t>
  </si>
  <si>
    <t>991002897989702656</t>
  </si>
  <si>
    <t>2262043580002656</t>
  </si>
  <si>
    <t>9780834817043</t>
  </si>
  <si>
    <t>32285000043942</t>
  </si>
  <si>
    <t>893786713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</si>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</sst>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8872-32A5-4754-B60E-972580502F9B}">
  <dimension ref="A1:BD166"/>
  <sheetViews>
    <sheetView tabSelected="1" workbookViewId="0">
      <pane ySplit="1" topLeftCell="A2" activePane="bottomLeft" state="frozen"/>
      <selection pane="bottomLeft" activeCell="L2" sqref="L2"/>
    </sheetView>
  </sheetViews>
  <sheetFormatPr defaultRowHeight="54" customHeight="1" x14ac:dyDescent="0.25"/>
  <cols>
    <col min="1" max="1" width="18.140625" customWidth="1"/>
    <col min="2" max="2" width="17.28515625" customWidth="1"/>
    <col min="3" max="3" width="0" hidden="1" customWidth="1"/>
    <col min="4" max="4" width="55.140625" customWidth="1"/>
    <col min="6" max="10" width="0" hidden="1" customWidth="1"/>
    <col min="11" max="11" width="19.140625" customWidth="1"/>
    <col min="12" max="12" width="17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5.28515625" customWidth="1"/>
    <col min="32" max="41" width="0" hidden="1" customWidth="1"/>
    <col min="42" max="44" width="10.85546875" customWidth="1"/>
    <col min="47" max="56" width="0" hidden="1" customWidth="1"/>
  </cols>
  <sheetData>
    <row r="1" spans="1:56" ht="54" customHeight="1" x14ac:dyDescent="0.25">
      <c r="A1" s="8" t="s">
        <v>2283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54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N2" s="2" t="s">
        <v>64</v>
      </c>
      <c r="O2" s="3" t="s">
        <v>65</v>
      </c>
      <c r="P2" s="3" t="s">
        <v>66</v>
      </c>
      <c r="R2" s="3" t="s">
        <v>67</v>
      </c>
      <c r="S2" s="4">
        <v>12</v>
      </c>
      <c r="T2" s="4">
        <v>12</v>
      </c>
      <c r="U2" s="5" t="s">
        <v>68</v>
      </c>
      <c r="V2" s="5" t="s">
        <v>68</v>
      </c>
      <c r="W2" s="5" t="s">
        <v>69</v>
      </c>
      <c r="X2" s="5" t="s">
        <v>69</v>
      </c>
      <c r="Y2" s="4">
        <v>534</v>
      </c>
      <c r="Z2" s="4">
        <v>509</v>
      </c>
      <c r="AA2" s="4">
        <v>511</v>
      </c>
      <c r="AB2" s="4">
        <v>8</v>
      </c>
      <c r="AC2" s="4">
        <v>8</v>
      </c>
      <c r="AD2" s="4">
        <v>13</v>
      </c>
      <c r="AE2" s="4">
        <v>13</v>
      </c>
      <c r="AF2" s="4">
        <v>1</v>
      </c>
      <c r="AG2" s="4">
        <v>1</v>
      </c>
      <c r="AH2" s="4">
        <v>0</v>
      </c>
      <c r="AI2" s="4">
        <v>0</v>
      </c>
      <c r="AJ2" s="4">
        <v>7</v>
      </c>
      <c r="AK2" s="4">
        <v>7</v>
      </c>
      <c r="AL2" s="4">
        <v>6</v>
      </c>
      <c r="AM2" s="4">
        <v>6</v>
      </c>
      <c r="AN2" s="4">
        <v>0</v>
      </c>
      <c r="AO2" s="4">
        <v>0</v>
      </c>
      <c r="AP2" s="3" t="s">
        <v>58</v>
      </c>
      <c r="AQ2" s="3" t="s">
        <v>70</v>
      </c>
      <c r="AR2" s="6" t="str">
        <f>HYPERLINK("http://catalog.hathitrust.org/Record/007153379","HathiTrust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HYPERLINK("https://creighton-primo.hosted.exlibrisgroup.com/primo-explore/search?tab=default_tab&amp;search_scope=EVERYTHING&amp;vid=01CRU&amp;lang=en_US&amp;offset=0&amp;query=any,contains,991003633569702656","Catalog Record")</f>
        <v>Catalog Record</v>
      </c>
      <c r="AT2" s="6" t="str">
        <f>HYPERLINK("http://www.worldcat.org/oclc/1227612","WorldCat Record")</f>
        <v>WorldCat Record</v>
      </c>
      <c r="AU2" s="3" t="s">
        <v>71</v>
      </c>
      <c r="AV2" s="3" t="s">
        <v>72</v>
      </c>
      <c r="AW2" s="3" t="s">
        <v>73</v>
      </c>
      <c r="AX2" s="3" t="s">
        <v>73</v>
      </c>
      <c r="AY2" s="3" t="s">
        <v>74</v>
      </c>
      <c r="AZ2" s="3" t="s">
        <v>75</v>
      </c>
      <c r="BC2" s="3" t="s">
        <v>76</v>
      </c>
      <c r="BD2" s="3" t="s">
        <v>77</v>
      </c>
    </row>
    <row r="3" spans="1:56" ht="54" customHeight="1" x14ac:dyDescent="0.25">
      <c r="A3" s="7" t="s">
        <v>58</v>
      </c>
      <c r="B3" s="2" t="s">
        <v>78</v>
      </c>
      <c r="C3" s="2" t="s">
        <v>79</v>
      </c>
      <c r="D3" s="2" t="s">
        <v>80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81</v>
      </c>
      <c r="L3" s="2" t="s">
        <v>82</v>
      </c>
      <c r="M3" s="3" t="s">
        <v>83</v>
      </c>
      <c r="O3" s="3" t="s">
        <v>65</v>
      </c>
      <c r="P3" s="3" t="s">
        <v>84</v>
      </c>
      <c r="Q3" s="2" t="s">
        <v>85</v>
      </c>
      <c r="R3" s="3" t="s">
        <v>67</v>
      </c>
      <c r="S3" s="4">
        <v>2</v>
      </c>
      <c r="T3" s="4">
        <v>2</v>
      </c>
      <c r="U3" s="5" t="s">
        <v>86</v>
      </c>
      <c r="V3" s="5" t="s">
        <v>86</v>
      </c>
      <c r="W3" s="5" t="s">
        <v>87</v>
      </c>
      <c r="X3" s="5" t="s">
        <v>87</v>
      </c>
      <c r="Y3" s="4">
        <v>236</v>
      </c>
      <c r="Z3" s="4">
        <v>176</v>
      </c>
      <c r="AA3" s="4">
        <v>207</v>
      </c>
      <c r="AB3" s="4">
        <v>3</v>
      </c>
      <c r="AC3" s="4">
        <v>3</v>
      </c>
      <c r="AD3" s="4">
        <v>7</v>
      </c>
      <c r="AE3" s="4">
        <v>7</v>
      </c>
      <c r="AF3" s="4">
        <v>1</v>
      </c>
      <c r="AG3" s="4">
        <v>1</v>
      </c>
      <c r="AH3" s="4">
        <v>2</v>
      </c>
      <c r="AI3" s="4">
        <v>2</v>
      </c>
      <c r="AJ3" s="4">
        <v>2</v>
      </c>
      <c r="AK3" s="4">
        <v>2</v>
      </c>
      <c r="AL3" s="4">
        <v>2</v>
      </c>
      <c r="AM3" s="4">
        <v>2</v>
      </c>
      <c r="AN3" s="4">
        <v>0</v>
      </c>
      <c r="AO3" s="4">
        <v>0</v>
      </c>
      <c r="AP3" s="3" t="s">
        <v>58</v>
      </c>
      <c r="AQ3" s="3" t="s">
        <v>58</v>
      </c>
      <c r="AS3" s="6" t="str">
        <f>HYPERLINK("https://creighton-primo.hosted.exlibrisgroup.com/primo-explore/search?tab=default_tab&amp;search_scope=EVERYTHING&amp;vid=01CRU&amp;lang=en_US&amp;offset=0&amp;query=any,contains,991003388869702656","Catalog Record")</f>
        <v>Catalog Record</v>
      </c>
      <c r="AT3" s="6" t="str">
        <f>HYPERLINK("http://www.worldcat.org/oclc/926014","WorldCat Record")</f>
        <v>WorldCat Record</v>
      </c>
      <c r="AU3" s="3" t="s">
        <v>88</v>
      </c>
      <c r="AV3" s="3" t="s">
        <v>89</v>
      </c>
      <c r="AW3" s="3" t="s">
        <v>90</v>
      </c>
      <c r="AX3" s="3" t="s">
        <v>90</v>
      </c>
      <c r="AY3" s="3" t="s">
        <v>91</v>
      </c>
      <c r="AZ3" s="3" t="s">
        <v>75</v>
      </c>
      <c r="BC3" s="3" t="s">
        <v>92</v>
      </c>
      <c r="BD3" s="3" t="s">
        <v>93</v>
      </c>
    </row>
    <row r="4" spans="1:56" ht="54" customHeight="1" x14ac:dyDescent="0.25">
      <c r="A4" s="7" t="s">
        <v>58</v>
      </c>
      <c r="B4" s="2" t="s">
        <v>94</v>
      </c>
      <c r="C4" s="2" t="s">
        <v>95</v>
      </c>
      <c r="D4" s="2" t="s">
        <v>96</v>
      </c>
      <c r="E4" s="3" t="s">
        <v>97</v>
      </c>
      <c r="F4" s="3" t="s">
        <v>70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98</v>
      </c>
      <c r="L4" s="2" t="s">
        <v>99</v>
      </c>
      <c r="M4" s="3" t="s">
        <v>63</v>
      </c>
      <c r="O4" s="3" t="s">
        <v>65</v>
      </c>
      <c r="P4" s="3" t="s">
        <v>100</v>
      </c>
      <c r="Q4" s="2" t="s">
        <v>101</v>
      </c>
      <c r="R4" s="3" t="s">
        <v>67</v>
      </c>
      <c r="S4" s="4">
        <v>3</v>
      </c>
      <c r="T4" s="4">
        <v>5</v>
      </c>
      <c r="U4" s="5" t="s">
        <v>102</v>
      </c>
      <c r="V4" s="5" t="s">
        <v>102</v>
      </c>
      <c r="W4" s="5" t="s">
        <v>103</v>
      </c>
      <c r="X4" s="5" t="s">
        <v>103</v>
      </c>
      <c r="Y4" s="4">
        <v>256</v>
      </c>
      <c r="Z4" s="4">
        <v>196</v>
      </c>
      <c r="AA4" s="4">
        <v>198</v>
      </c>
      <c r="AB4" s="4">
        <v>3</v>
      </c>
      <c r="AC4" s="4">
        <v>3</v>
      </c>
      <c r="AD4" s="4">
        <v>5</v>
      </c>
      <c r="AE4" s="4">
        <v>5</v>
      </c>
      <c r="AF4" s="4">
        <v>0</v>
      </c>
      <c r="AG4" s="4">
        <v>0</v>
      </c>
      <c r="AH4" s="4">
        <v>2</v>
      </c>
      <c r="AI4" s="4">
        <v>2</v>
      </c>
      <c r="AJ4" s="4">
        <v>2</v>
      </c>
      <c r="AK4" s="4">
        <v>2</v>
      </c>
      <c r="AL4" s="4">
        <v>2</v>
      </c>
      <c r="AM4" s="4">
        <v>2</v>
      </c>
      <c r="AN4" s="4">
        <v>0</v>
      </c>
      <c r="AO4" s="4">
        <v>0</v>
      </c>
      <c r="AP4" s="3" t="s">
        <v>58</v>
      </c>
      <c r="AQ4" s="3" t="s">
        <v>70</v>
      </c>
      <c r="AR4" s="6" t="str">
        <f>HYPERLINK("http://catalog.hathitrust.org/Record/001482732","HathiTrust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HYPERLINK("https://creighton-primo.hosted.exlibrisgroup.com/primo-explore/search?tab=default_tab&amp;search_scope=EVERYTHING&amp;vid=01CRU&amp;lang=en_US&amp;offset=0&amp;query=any,contains,991003861169702656","Catalog Record")</f>
        <v>Catalog Record</v>
      </c>
      <c r="AT4" s="6" t="str">
        <f>HYPERLINK("http://www.worldcat.org/oclc/1666457","WorldCat Record")</f>
        <v>WorldCat Record</v>
      </c>
      <c r="AU4" s="3" t="s">
        <v>104</v>
      </c>
      <c r="AV4" s="3" t="s">
        <v>105</v>
      </c>
      <c r="AW4" s="3" t="s">
        <v>106</v>
      </c>
      <c r="AX4" s="3" t="s">
        <v>106</v>
      </c>
      <c r="AY4" s="3" t="s">
        <v>107</v>
      </c>
      <c r="AZ4" s="3" t="s">
        <v>75</v>
      </c>
      <c r="BC4" s="3" t="s">
        <v>108</v>
      </c>
      <c r="BD4" s="3" t="s">
        <v>109</v>
      </c>
    </row>
    <row r="5" spans="1:56" ht="54" customHeight="1" x14ac:dyDescent="0.25">
      <c r="A5" s="7" t="s">
        <v>58</v>
      </c>
      <c r="B5" s="2" t="s">
        <v>94</v>
      </c>
      <c r="C5" s="2" t="s">
        <v>95</v>
      </c>
      <c r="D5" s="2" t="s">
        <v>96</v>
      </c>
      <c r="E5" s="3" t="s">
        <v>110</v>
      </c>
      <c r="F5" s="3" t="s">
        <v>70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98</v>
      </c>
      <c r="L5" s="2" t="s">
        <v>99</v>
      </c>
      <c r="M5" s="3" t="s">
        <v>63</v>
      </c>
      <c r="O5" s="3" t="s">
        <v>65</v>
      </c>
      <c r="P5" s="3" t="s">
        <v>100</v>
      </c>
      <c r="Q5" s="2" t="s">
        <v>101</v>
      </c>
      <c r="R5" s="3" t="s">
        <v>67</v>
      </c>
      <c r="S5" s="4">
        <v>2</v>
      </c>
      <c r="T5" s="4">
        <v>5</v>
      </c>
      <c r="V5" s="5" t="s">
        <v>102</v>
      </c>
      <c r="W5" s="5" t="s">
        <v>103</v>
      </c>
      <c r="X5" s="5" t="s">
        <v>103</v>
      </c>
      <c r="Y5" s="4">
        <v>256</v>
      </c>
      <c r="Z5" s="4">
        <v>196</v>
      </c>
      <c r="AA5" s="4">
        <v>198</v>
      </c>
      <c r="AB5" s="4">
        <v>3</v>
      </c>
      <c r="AC5" s="4">
        <v>3</v>
      </c>
      <c r="AD5" s="4">
        <v>5</v>
      </c>
      <c r="AE5" s="4">
        <v>5</v>
      </c>
      <c r="AF5" s="4">
        <v>0</v>
      </c>
      <c r="AG5" s="4">
        <v>0</v>
      </c>
      <c r="AH5" s="4">
        <v>2</v>
      </c>
      <c r="AI5" s="4">
        <v>2</v>
      </c>
      <c r="AJ5" s="4">
        <v>2</v>
      </c>
      <c r="AK5" s="4">
        <v>2</v>
      </c>
      <c r="AL5" s="4">
        <v>2</v>
      </c>
      <c r="AM5" s="4">
        <v>2</v>
      </c>
      <c r="AN5" s="4">
        <v>0</v>
      </c>
      <c r="AO5" s="4">
        <v>0</v>
      </c>
      <c r="AP5" s="3" t="s">
        <v>58</v>
      </c>
      <c r="AQ5" s="3" t="s">
        <v>70</v>
      </c>
      <c r="AR5" s="6" t="str">
        <f>HYPERLINK("http://catalog.hathitrust.org/Record/001482732","HathiTrust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HYPERLINK("https://creighton-primo.hosted.exlibrisgroup.com/primo-explore/search?tab=default_tab&amp;search_scope=EVERYTHING&amp;vid=01CRU&amp;lang=en_US&amp;offset=0&amp;query=any,contains,991003861169702656","Catalog Record")</f>
        <v>Catalog Record</v>
      </c>
      <c r="AT5" s="6" t="str">
        <f>HYPERLINK("http://www.worldcat.org/oclc/1666457","WorldCat Record")</f>
        <v>WorldCat Record</v>
      </c>
      <c r="AU5" s="3" t="s">
        <v>104</v>
      </c>
      <c r="AV5" s="3" t="s">
        <v>105</v>
      </c>
      <c r="AW5" s="3" t="s">
        <v>106</v>
      </c>
      <c r="AX5" s="3" t="s">
        <v>106</v>
      </c>
      <c r="AY5" s="3" t="s">
        <v>107</v>
      </c>
      <c r="AZ5" s="3" t="s">
        <v>75</v>
      </c>
      <c r="BC5" s="3" t="s">
        <v>111</v>
      </c>
      <c r="BD5" s="3" t="s">
        <v>112</v>
      </c>
    </row>
    <row r="6" spans="1:56" ht="54" customHeight="1" x14ac:dyDescent="0.25">
      <c r="A6" s="7" t="s">
        <v>58</v>
      </c>
      <c r="B6" s="2" t="s">
        <v>113</v>
      </c>
      <c r="C6" s="2" t="s">
        <v>114</v>
      </c>
      <c r="D6" s="2" t="s">
        <v>115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116</v>
      </c>
      <c r="L6" s="2" t="s">
        <v>117</v>
      </c>
      <c r="M6" s="3" t="s">
        <v>118</v>
      </c>
      <c r="O6" s="3" t="s">
        <v>65</v>
      </c>
      <c r="P6" s="3" t="s">
        <v>66</v>
      </c>
      <c r="Q6" s="2" t="s">
        <v>119</v>
      </c>
      <c r="R6" s="3" t="s">
        <v>67</v>
      </c>
      <c r="S6" s="4">
        <v>8</v>
      </c>
      <c r="T6" s="4">
        <v>8</v>
      </c>
      <c r="U6" s="5" t="s">
        <v>120</v>
      </c>
      <c r="V6" s="5" t="s">
        <v>120</v>
      </c>
      <c r="W6" s="5" t="s">
        <v>121</v>
      </c>
      <c r="X6" s="5" t="s">
        <v>121</v>
      </c>
      <c r="Y6" s="4">
        <v>816</v>
      </c>
      <c r="Z6" s="4">
        <v>775</v>
      </c>
      <c r="AA6" s="4">
        <v>892</v>
      </c>
      <c r="AB6" s="4">
        <v>8</v>
      </c>
      <c r="AC6" s="4">
        <v>8</v>
      </c>
      <c r="AD6" s="4">
        <v>26</v>
      </c>
      <c r="AE6" s="4">
        <v>29</v>
      </c>
      <c r="AF6" s="4">
        <v>11</v>
      </c>
      <c r="AG6" s="4">
        <v>14</v>
      </c>
      <c r="AH6" s="4">
        <v>4</v>
      </c>
      <c r="AI6" s="4">
        <v>4</v>
      </c>
      <c r="AJ6" s="4">
        <v>12</v>
      </c>
      <c r="AK6" s="4">
        <v>14</v>
      </c>
      <c r="AL6" s="4">
        <v>4</v>
      </c>
      <c r="AM6" s="4">
        <v>4</v>
      </c>
      <c r="AN6" s="4">
        <v>0</v>
      </c>
      <c r="AO6" s="4">
        <v>0</v>
      </c>
      <c r="AP6" s="3" t="s">
        <v>58</v>
      </c>
      <c r="AQ6" s="3" t="s">
        <v>70</v>
      </c>
      <c r="AR6" s="6" t="str">
        <f>HYPERLINK("http://catalog.hathitrust.org/Record/001469064","HathiTrust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HYPERLINK("https://creighton-primo.hosted.exlibrisgroup.com/primo-explore/search?tab=default_tab&amp;search_scope=EVERYTHING&amp;vid=01CRU&amp;lang=en_US&amp;offset=0&amp;query=any,contains,991002957619702656","Catalog Record")</f>
        <v>Catalog Record</v>
      </c>
      <c r="AT6" s="6" t="str">
        <f>HYPERLINK("http://www.worldcat.org/oclc/542711","WorldCat Record")</f>
        <v>WorldCat Record</v>
      </c>
      <c r="AU6" s="3" t="s">
        <v>122</v>
      </c>
      <c r="AV6" s="3" t="s">
        <v>123</v>
      </c>
      <c r="AW6" s="3" t="s">
        <v>124</v>
      </c>
      <c r="AX6" s="3" t="s">
        <v>124</v>
      </c>
      <c r="AY6" s="3" t="s">
        <v>125</v>
      </c>
      <c r="AZ6" s="3" t="s">
        <v>75</v>
      </c>
      <c r="BC6" s="3" t="s">
        <v>126</v>
      </c>
      <c r="BD6" s="3" t="s">
        <v>127</v>
      </c>
    </row>
    <row r="7" spans="1:56" ht="54" customHeight="1" x14ac:dyDescent="0.25">
      <c r="A7" s="7" t="s">
        <v>58</v>
      </c>
      <c r="B7" s="2" t="s">
        <v>128</v>
      </c>
      <c r="C7" s="2" t="s">
        <v>129</v>
      </c>
      <c r="D7" s="2" t="s">
        <v>130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131</v>
      </c>
      <c r="L7" s="2" t="s">
        <v>132</v>
      </c>
      <c r="M7" s="3" t="s">
        <v>118</v>
      </c>
      <c r="O7" s="3" t="s">
        <v>65</v>
      </c>
      <c r="P7" s="3" t="s">
        <v>66</v>
      </c>
      <c r="Q7" s="2" t="s">
        <v>119</v>
      </c>
      <c r="R7" s="3" t="s">
        <v>67</v>
      </c>
      <c r="S7" s="4">
        <v>2</v>
      </c>
      <c r="T7" s="4">
        <v>2</v>
      </c>
      <c r="U7" s="5" t="s">
        <v>133</v>
      </c>
      <c r="V7" s="5" t="s">
        <v>133</v>
      </c>
      <c r="W7" s="5" t="s">
        <v>103</v>
      </c>
      <c r="X7" s="5" t="s">
        <v>103</v>
      </c>
      <c r="Y7" s="4">
        <v>832</v>
      </c>
      <c r="Z7" s="4">
        <v>801</v>
      </c>
      <c r="AA7" s="4">
        <v>949</v>
      </c>
      <c r="AB7" s="4">
        <v>7</v>
      </c>
      <c r="AC7" s="4">
        <v>8</v>
      </c>
      <c r="AD7" s="4">
        <v>26</v>
      </c>
      <c r="AE7" s="4">
        <v>28</v>
      </c>
      <c r="AF7" s="4">
        <v>7</v>
      </c>
      <c r="AG7" s="4">
        <v>9</v>
      </c>
      <c r="AH7" s="4">
        <v>5</v>
      </c>
      <c r="AI7" s="4">
        <v>5</v>
      </c>
      <c r="AJ7" s="4">
        <v>14</v>
      </c>
      <c r="AK7" s="4">
        <v>16</v>
      </c>
      <c r="AL7" s="4">
        <v>5</v>
      </c>
      <c r="AM7" s="4">
        <v>5</v>
      </c>
      <c r="AN7" s="4">
        <v>0</v>
      </c>
      <c r="AO7" s="4">
        <v>0</v>
      </c>
      <c r="AP7" s="3" t="s">
        <v>58</v>
      </c>
      <c r="AQ7" s="3" t="s">
        <v>70</v>
      </c>
      <c r="AR7" s="6" t="str">
        <f>HYPERLINK("http://catalog.hathitrust.org/Record/001469079","HathiTrust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HYPERLINK("https://creighton-primo.hosted.exlibrisgroup.com/primo-explore/search?tab=default_tab&amp;search_scope=EVERYTHING&amp;vid=01CRU&amp;lang=en_US&amp;offset=0&amp;query=any,contains,991002957839702656","Catalog Record")</f>
        <v>Catalog Record</v>
      </c>
      <c r="AT7" s="6" t="str">
        <f>HYPERLINK("http://www.worldcat.org/oclc/542727","WorldCat Record")</f>
        <v>WorldCat Record</v>
      </c>
      <c r="AU7" s="3" t="s">
        <v>134</v>
      </c>
      <c r="AV7" s="3" t="s">
        <v>135</v>
      </c>
      <c r="AW7" s="3" t="s">
        <v>136</v>
      </c>
      <c r="AX7" s="3" t="s">
        <v>136</v>
      </c>
      <c r="AY7" s="3" t="s">
        <v>137</v>
      </c>
      <c r="AZ7" s="3" t="s">
        <v>75</v>
      </c>
      <c r="BC7" s="3" t="s">
        <v>138</v>
      </c>
      <c r="BD7" s="3" t="s">
        <v>139</v>
      </c>
    </row>
    <row r="8" spans="1:56" ht="54" customHeight="1" x14ac:dyDescent="0.25">
      <c r="A8" s="7" t="s">
        <v>58</v>
      </c>
      <c r="B8" s="2" t="s">
        <v>140</v>
      </c>
      <c r="C8" s="2" t="s">
        <v>141</v>
      </c>
      <c r="D8" s="2" t="s">
        <v>142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143</v>
      </c>
      <c r="L8" s="2" t="s">
        <v>144</v>
      </c>
      <c r="M8" s="3" t="s">
        <v>145</v>
      </c>
      <c r="O8" s="3" t="s">
        <v>65</v>
      </c>
      <c r="P8" s="3" t="s">
        <v>146</v>
      </c>
      <c r="Q8" s="2" t="s">
        <v>147</v>
      </c>
      <c r="R8" s="3" t="s">
        <v>67</v>
      </c>
      <c r="S8" s="4">
        <v>15</v>
      </c>
      <c r="T8" s="4">
        <v>15</v>
      </c>
      <c r="U8" s="5" t="s">
        <v>148</v>
      </c>
      <c r="V8" s="5" t="s">
        <v>148</v>
      </c>
      <c r="W8" s="5" t="s">
        <v>121</v>
      </c>
      <c r="X8" s="5" t="s">
        <v>121</v>
      </c>
      <c r="Y8" s="4">
        <v>120</v>
      </c>
      <c r="Z8" s="4">
        <v>111</v>
      </c>
      <c r="AA8" s="4">
        <v>538</v>
      </c>
      <c r="AB8" s="4">
        <v>1</v>
      </c>
      <c r="AC8" s="4">
        <v>3</v>
      </c>
      <c r="AD8" s="4">
        <v>3</v>
      </c>
      <c r="AE8" s="4">
        <v>24</v>
      </c>
      <c r="AF8" s="4">
        <v>1</v>
      </c>
      <c r="AG8" s="4">
        <v>13</v>
      </c>
      <c r="AH8" s="4">
        <v>1</v>
      </c>
      <c r="AI8" s="4">
        <v>4</v>
      </c>
      <c r="AJ8" s="4">
        <v>3</v>
      </c>
      <c r="AK8" s="4">
        <v>14</v>
      </c>
      <c r="AL8" s="4">
        <v>0</v>
      </c>
      <c r="AM8" s="4">
        <v>1</v>
      </c>
      <c r="AN8" s="4">
        <v>0</v>
      </c>
      <c r="AO8" s="4">
        <v>0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HYPERLINK("https://creighton-primo.hosted.exlibrisgroup.com/primo-explore/search?tab=default_tab&amp;search_scope=EVERYTHING&amp;vid=01CRU&amp;lang=en_US&amp;offset=0&amp;query=any,contains,991003940039702656","Catalog Record")</f>
        <v>Catalog Record</v>
      </c>
      <c r="AT8" s="6" t="str">
        <f>HYPERLINK("http://www.worldcat.org/oclc/1927865","WorldCat Record")</f>
        <v>WorldCat Record</v>
      </c>
      <c r="AU8" s="3" t="s">
        <v>149</v>
      </c>
      <c r="AV8" s="3" t="s">
        <v>150</v>
      </c>
      <c r="AW8" s="3" t="s">
        <v>151</v>
      </c>
      <c r="AX8" s="3" t="s">
        <v>151</v>
      </c>
      <c r="AY8" s="3" t="s">
        <v>152</v>
      </c>
      <c r="AZ8" s="3" t="s">
        <v>75</v>
      </c>
      <c r="BC8" s="3" t="s">
        <v>153</v>
      </c>
      <c r="BD8" s="3" t="s">
        <v>154</v>
      </c>
    </row>
    <row r="9" spans="1:56" ht="54" customHeight="1" x14ac:dyDescent="0.25">
      <c r="A9" s="7" t="s">
        <v>58</v>
      </c>
      <c r="B9" s="2" t="s">
        <v>155</v>
      </c>
      <c r="C9" s="2" t="s">
        <v>156</v>
      </c>
      <c r="D9" s="2" t="s">
        <v>157</v>
      </c>
      <c r="E9" s="3" t="s">
        <v>110</v>
      </c>
      <c r="F9" s="3" t="s">
        <v>70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158</v>
      </c>
      <c r="L9" s="2" t="s">
        <v>159</v>
      </c>
      <c r="M9" s="3" t="s">
        <v>160</v>
      </c>
      <c r="O9" s="3" t="s">
        <v>65</v>
      </c>
      <c r="P9" s="3" t="s">
        <v>66</v>
      </c>
      <c r="R9" s="3" t="s">
        <v>67</v>
      </c>
      <c r="S9" s="4">
        <v>4</v>
      </c>
      <c r="T9" s="4">
        <v>9</v>
      </c>
      <c r="U9" s="5" t="s">
        <v>161</v>
      </c>
      <c r="V9" s="5" t="s">
        <v>161</v>
      </c>
      <c r="W9" s="5" t="s">
        <v>162</v>
      </c>
      <c r="X9" s="5" t="s">
        <v>162</v>
      </c>
      <c r="Y9" s="4">
        <v>1021</v>
      </c>
      <c r="Z9" s="4">
        <v>977</v>
      </c>
      <c r="AA9" s="4">
        <v>1017</v>
      </c>
      <c r="AB9" s="4">
        <v>8</v>
      </c>
      <c r="AC9" s="4">
        <v>8</v>
      </c>
      <c r="AD9" s="4">
        <v>29</v>
      </c>
      <c r="AE9" s="4">
        <v>29</v>
      </c>
      <c r="AF9" s="4">
        <v>11</v>
      </c>
      <c r="AG9" s="4">
        <v>11</v>
      </c>
      <c r="AH9" s="4">
        <v>3</v>
      </c>
      <c r="AI9" s="4">
        <v>3</v>
      </c>
      <c r="AJ9" s="4">
        <v>14</v>
      </c>
      <c r="AK9" s="4">
        <v>14</v>
      </c>
      <c r="AL9" s="4">
        <v>6</v>
      </c>
      <c r="AM9" s="4">
        <v>6</v>
      </c>
      <c r="AN9" s="4">
        <v>0</v>
      </c>
      <c r="AO9" s="4">
        <v>0</v>
      </c>
      <c r="AP9" s="3" t="s">
        <v>58</v>
      </c>
      <c r="AQ9" s="3" t="s">
        <v>70</v>
      </c>
      <c r="AR9" s="6" t="str">
        <f>HYPERLINK("http://catalog.hathitrust.org/Record/001468671","HathiTrust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HYPERLINK("https://creighton-primo.hosted.exlibrisgroup.com/primo-explore/search?tab=default_tab&amp;search_scope=EVERYTHING&amp;vid=01CRU&amp;lang=en_US&amp;offset=0&amp;query=any,contains,991000801469702656","Catalog Record")</f>
        <v>Catalog Record</v>
      </c>
      <c r="AT9" s="6" t="str">
        <f>HYPERLINK("http://www.worldcat.org/oclc/711420","WorldCat Record")</f>
        <v>WorldCat Record</v>
      </c>
      <c r="AU9" s="3" t="s">
        <v>163</v>
      </c>
      <c r="AV9" s="3" t="s">
        <v>164</v>
      </c>
      <c r="AW9" s="3" t="s">
        <v>165</v>
      </c>
      <c r="AX9" s="3" t="s">
        <v>165</v>
      </c>
      <c r="AY9" s="3" t="s">
        <v>166</v>
      </c>
      <c r="AZ9" s="3" t="s">
        <v>75</v>
      </c>
      <c r="BB9" s="3" t="s">
        <v>167</v>
      </c>
      <c r="BC9" s="3" t="s">
        <v>168</v>
      </c>
      <c r="BD9" s="3" t="s">
        <v>169</v>
      </c>
    </row>
    <row r="10" spans="1:56" ht="54" customHeight="1" x14ac:dyDescent="0.25">
      <c r="A10" s="7" t="s">
        <v>58</v>
      </c>
      <c r="B10" s="2" t="s">
        <v>155</v>
      </c>
      <c r="C10" s="2" t="s">
        <v>156</v>
      </c>
      <c r="D10" s="2" t="s">
        <v>157</v>
      </c>
      <c r="E10" s="3" t="s">
        <v>97</v>
      </c>
      <c r="F10" s="3" t="s">
        <v>70</v>
      </c>
      <c r="G10" s="3" t="s">
        <v>59</v>
      </c>
      <c r="H10" s="3" t="s">
        <v>58</v>
      </c>
      <c r="I10" s="3" t="s">
        <v>58</v>
      </c>
      <c r="J10" s="3" t="s">
        <v>60</v>
      </c>
      <c r="K10" s="2" t="s">
        <v>158</v>
      </c>
      <c r="L10" s="2" t="s">
        <v>159</v>
      </c>
      <c r="M10" s="3" t="s">
        <v>160</v>
      </c>
      <c r="O10" s="3" t="s">
        <v>65</v>
      </c>
      <c r="P10" s="3" t="s">
        <v>66</v>
      </c>
      <c r="R10" s="3" t="s">
        <v>67</v>
      </c>
      <c r="S10" s="4">
        <v>5</v>
      </c>
      <c r="T10" s="4">
        <v>9</v>
      </c>
      <c r="U10" s="5" t="s">
        <v>170</v>
      </c>
      <c r="V10" s="5" t="s">
        <v>161</v>
      </c>
      <c r="W10" s="5" t="s">
        <v>171</v>
      </c>
      <c r="X10" s="5" t="s">
        <v>162</v>
      </c>
      <c r="Y10" s="4">
        <v>1021</v>
      </c>
      <c r="Z10" s="4">
        <v>977</v>
      </c>
      <c r="AA10" s="4">
        <v>1017</v>
      </c>
      <c r="AB10" s="4">
        <v>8</v>
      </c>
      <c r="AC10" s="4">
        <v>8</v>
      </c>
      <c r="AD10" s="4">
        <v>29</v>
      </c>
      <c r="AE10" s="4">
        <v>29</v>
      </c>
      <c r="AF10" s="4">
        <v>11</v>
      </c>
      <c r="AG10" s="4">
        <v>11</v>
      </c>
      <c r="AH10" s="4">
        <v>3</v>
      </c>
      <c r="AI10" s="4">
        <v>3</v>
      </c>
      <c r="AJ10" s="4">
        <v>14</v>
      </c>
      <c r="AK10" s="4">
        <v>14</v>
      </c>
      <c r="AL10" s="4">
        <v>6</v>
      </c>
      <c r="AM10" s="4">
        <v>6</v>
      </c>
      <c r="AN10" s="4">
        <v>0</v>
      </c>
      <c r="AO10" s="4">
        <v>0</v>
      </c>
      <c r="AP10" s="3" t="s">
        <v>58</v>
      </c>
      <c r="AQ10" s="3" t="s">
        <v>70</v>
      </c>
      <c r="AR10" s="6" t="str">
        <f>HYPERLINK("http://catalog.hathitrust.org/Record/001468671","HathiTrust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HYPERLINK("https://creighton-primo.hosted.exlibrisgroup.com/primo-explore/search?tab=default_tab&amp;search_scope=EVERYTHING&amp;vid=01CRU&amp;lang=en_US&amp;offset=0&amp;query=any,contains,991000801469702656","Catalog Record")</f>
        <v>Catalog Record</v>
      </c>
      <c r="AT10" s="6" t="str">
        <f>HYPERLINK("http://www.worldcat.org/oclc/711420","WorldCat Record")</f>
        <v>WorldCat Record</v>
      </c>
      <c r="AU10" s="3" t="s">
        <v>163</v>
      </c>
      <c r="AV10" s="3" t="s">
        <v>164</v>
      </c>
      <c r="AW10" s="3" t="s">
        <v>165</v>
      </c>
      <c r="AX10" s="3" t="s">
        <v>165</v>
      </c>
      <c r="AY10" s="3" t="s">
        <v>166</v>
      </c>
      <c r="AZ10" s="3" t="s">
        <v>75</v>
      </c>
      <c r="BB10" s="3" t="s">
        <v>167</v>
      </c>
      <c r="BC10" s="3" t="s">
        <v>172</v>
      </c>
      <c r="BD10" s="3" t="s">
        <v>173</v>
      </c>
    </row>
    <row r="11" spans="1:56" ht="54" customHeight="1" x14ac:dyDescent="0.25">
      <c r="A11" s="7" t="s">
        <v>58</v>
      </c>
      <c r="B11" s="2" t="s">
        <v>174</v>
      </c>
      <c r="C11" s="2" t="s">
        <v>175</v>
      </c>
      <c r="D11" s="2" t="s">
        <v>176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177</v>
      </c>
      <c r="L11" s="2" t="s">
        <v>178</v>
      </c>
      <c r="M11" s="3" t="s">
        <v>179</v>
      </c>
      <c r="O11" s="3" t="s">
        <v>65</v>
      </c>
      <c r="P11" s="3" t="s">
        <v>66</v>
      </c>
      <c r="Q11" s="2" t="s">
        <v>180</v>
      </c>
      <c r="R11" s="3" t="s">
        <v>67</v>
      </c>
      <c r="S11" s="4">
        <v>4</v>
      </c>
      <c r="T11" s="4">
        <v>4</v>
      </c>
      <c r="U11" s="5" t="s">
        <v>181</v>
      </c>
      <c r="V11" s="5" t="s">
        <v>181</v>
      </c>
      <c r="W11" s="5" t="s">
        <v>182</v>
      </c>
      <c r="X11" s="5" t="s">
        <v>182</v>
      </c>
      <c r="Y11" s="4">
        <v>335</v>
      </c>
      <c r="Z11" s="4">
        <v>323</v>
      </c>
      <c r="AA11" s="4">
        <v>531</v>
      </c>
      <c r="AB11" s="4">
        <v>2</v>
      </c>
      <c r="AC11" s="4">
        <v>5</v>
      </c>
      <c r="AD11" s="4">
        <v>12</v>
      </c>
      <c r="AE11" s="4">
        <v>20</v>
      </c>
      <c r="AF11" s="4">
        <v>5</v>
      </c>
      <c r="AG11" s="4">
        <v>6</v>
      </c>
      <c r="AH11" s="4">
        <v>4</v>
      </c>
      <c r="AI11" s="4">
        <v>5</v>
      </c>
      <c r="AJ11" s="4">
        <v>4</v>
      </c>
      <c r="AK11" s="4">
        <v>7</v>
      </c>
      <c r="AL11" s="4">
        <v>1</v>
      </c>
      <c r="AM11" s="4">
        <v>4</v>
      </c>
      <c r="AN11" s="4">
        <v>0</v>
      </c>
      <c r="AO11" s="4">
        <v>0</v>
      </c>
      <c r="AP11" s="3" t="s">
        <v>58</v>
      </c>
      <c r="AQ11" s="3" t="s">
        <v>70</v>
      </c>
      <c r="AR11" s="6" t="str">
        <f>HYPERLINK("http://catalog.hathitrust.org/Record/001468371","HathiTrust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HYPERLINK("https://creighton-primo.hosted.exlibrisgroup.com/primo-explore/search?tab=default_tab&amp;search_scope=EVERYTHING&amp;vid=01CRU&amp;lang=en_US&amp;offset=0&amp;query=any,contains,991003157729702656","Catalog Record")</f>
        <v>Catalog Record</v>
      </c>
      <c r="AT11" s="6" t="str">
        <f>HYPERLINK("http://www.worldcat.org/oclc/697277","WorldCat Record")</f>
        <v>WorldCat Record</v>
      </c>
      <c r="AU11" s="3" t="s">
        <v>183</v>
      </c>
      <c r="AV11" s="3" t="s">
        <v>184</v>
      </c>
      <c r="AW11" s="3" t="s">
        <v>185</v>
      </c>
      <c r="AX11" s="3" t="s">
        <v>185</v>
      </c>
      <c r="AY11" s="3" t="s">
        <v>186</v>
      </c>
      <c r="AZ11" s="3" t="s">
        <v>75</v>
      </c>
      <c r="BC11" s="3" t="s">
        <v>187</v>
      </c>
      <c r="BD11" s="3" t="s">
        <v>188</v>
      </c>
    </row>
    <row r="12" spans="1:56" ht="54" customHeight="1" x14ac:dyDescent="0.25">
      <c r="A12" s="7" t="s">
        <v>58</v>
      </c>
      <c r="B12" s="2" t="s">
        <v>189</v>
      </c>
      <c r="C12" s="2" t="s">
        <v>190</v>
      </c>
      <c r="D12" s="2" t="s">
        <v>191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192</v>
      </c>
      <c r="L12" s="2" t="s">
        <v>193</v>
      </c>
      <c r="M12" s="3" t="s">
        <v>194</v>
      </c>
      <c r="O12" s="3" t="s">
        <v>65</v>
      </c>
      <c r="P12" s="3" t="s">
        <v>66</v>
      </c>
      <c r="R12" s="3" t="s">
        <v>67</v>
      </c>
      <c r="S12" s="4">
        <v>1</v>
      </c>
      <c r="T12" s="4">
        <v>1</v>
      </c>
      <c r="U12" s="5" t="s">
        <v>195</v>
      </c>
      <c r="V12" s="5" t="s">
        <v>195</v>
      </c>
      <c r="W12" s="5" t="s">
        <v>103</v>
      </c>
      <c r="X12" s="5" t="s">
        <v>103</v>
      </c>
      <c r="Y12" s="4">
        <v>541</v>
      </c>
      <c r="Z12" s="4">
        <v>506</v>
      </c>
      <c r="AA12" s="4">
        <v>512</v>
      </c>
      <c r="AB12" s="4">
        <v>3</v>
      </c>
      <c r="AC12" s="4">
        <v>3</v>
      </c>
      <c r="AD12" s="4">
        <v>15</v>
      </c>
      <c r="AE12" s="4">
        <v>15</v>
      </c>
      <c r="AF12" s="4">
        <v>5</v>
      </c>
      <c r="AG12" s="4">
        <v>5</v>
      </c>
      <c r="AH12" s="4">
        <v>5</v>
      </c>
      <c r="AI12" s="4">
        <v>5</v>
      </c>
      <c r="AJ12" s="4">
        <v>8</v>
      </c>
      <c r="AK12" s="4">
        <v>8</v>
      </c>
      <c r="AL12" s="4">
        <v>2</v>
      </c>
      <c r="AM12" s="4">
        <v>2</v>
      </c>
      <c r="AN12" s="4">
        <v>0</v>
      </c>
      <c r="AO12" s="4">
        <v>0</v>
      </c>
      <c r="AP12" s="3" t="s">
        <v>58</v>
      </c>
      <c r="AQ12" s="3" t="s">
        <v>70</v>
      </c>
      <c r="AR12" s="6" t="str">
        <f>HYPERLINK("http://catalog.hathitrust.org/Record/005722094","HathiTrust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HYPERLINK("https://creighton-primo.hosted.exlibrisgroup.com/primo-explore/search?tab=default_tab&amp;search_scope=EVERYTHING&amp;vid=01CRU&amp;lang=en_US&amp;offset=0&amp;query=any,contains,991002843789702656","Catalog Record")</f>
        <v>Catalog Record</v>
      </c>
      <c r="AT12" s="6" t="str">
        <f>HYPERLINK("http://www.worldcat.org/oclc/483691","WorldCat Record")</f>
        <v>WorldCat Record</v>
      </c>
      <c r="AU12" s="3" t="s">
        <v>196</v>
      </c>
      <c r="AV12" s="3" t="s">
        <v>197</v>
      </c>
      <c r="AW12" s="3" t="s">
        <v>198</v>
      </c>
      <c r="AX12" s="3" t="s">
        <v>198</v>
      </c>
      <c r="AY12" s="3" t="s">
        <v>199</v>
      </c>
      <c r="AZ12" s="3" t="s">
        <v>75</v>
      </c>
      <c r="BC12" s="3" t="s">
        <v>200</v>
      </c>
      <c r="BD12" s="3" t="s">
        <v>201</v>
      </c>
    </row>
    <row r="13" spans="1:56" ht="54" customHeight="1" x14ac:dyDescent="0.25">
      <c r="A13" s="7" t="s">
        <v>58</v>
      </c>
      <c r="B13" s="2" t="s">
        <v>202</v>
      </c>
      <c r="C13" s="2" t="s">
        <v>203</v>
      </c>
      <c r="D13" s="2" t="s">
        <v>204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205</v>
      </c>
      <c r="L13" s="2" t="s">
        <v>206</v>
      </c>
      <c r="M13" s="3" t="s">
        <v>207</v>
      </c>
      <c r="O13" s="3" t="s">
        <v>65</v>
      </c>
      <c r="P13" s="3" t="s">
        <v>208</v>
      </c>
      <c r="R13" s="3" t="s">
        <v>67</v>
      </c>
      <c r="S13" s="4">
        <v>3</v>
      </c>
      <c r="T13" s="4">
        <v>3</v>
      </c>
      <c r="U13" s="5" t="s">
        <v>209</v>
      </c>
      <c r="V13" s="5" t="s">
        <v>209</v>
      </c>
      <c r="W13" s="5" t="s">
        <v>103</v>
      </c>
      <c r="X13" s="5" t="s">
        <v>103</v>
      </c>
      <c r="Y13" s="4">
        <v>345</v>
      </c>
      <c r="Z13" s="4">
        <v>337</v>
      </c>
      <c r="AA13" s="4">
        <v>348</v>
      </c>
      <c r="AB13" s="4">
        <v>3</v>
      </c>
      <c r="AC13" s="4">
        <v>3</v>
      </c>
      <c r="AD13" s="4">
        <v>7</v>
      </c>
      <c r="AE13" s="4">
        <v>7</v>
      </c>
      <c r="AF13" s="4">
        <v>1</v>
      </c>
      <c r="AG13" s="4">
        <v>1</v>
      </c>
      <c r="AH13" s="4">
        <v>2</v>
      </c>
      <c r="AI13" s="4">
        <v>2</v>
      </c>
      <c r="AJ13" s="4">
        <v>3</v>
      </c>
      <c r="AK13" s="4">
        <v>3</v>
      </c>
      <c r="AL13" s="4">
        <v>2</v>
      </c>
      <c r="AM13" s="4">
        <v>2</v>
      </c>
      <c r="AN13" s="4">
        <v>0</v>
      </c>
      <c r="AO13" s="4">
        <v>0</v>
      </c>
      <c r="AP13" s="3" t="s">
        <v>58</v>
      </c>
      <c r="AQ13" s="3" t="s">
        <v>70</v>
      </c>
      <c r="AR13" s="6" t="str">
        <f>HYPERLINK("http://catalog.hathitrust.org/Record/008511612","HathiTrust Record")</f>
        <v>HathiTrust Record</v>
      </c>
      <c r="AS13" s="6" t="str">
        <f>HYPERLINK("https://creighton-primo.hosted.exlibrisgroup.com/primo-explore/search?tab=default_tab&amp;search_scope=EVERYTHING&amp;vid=01CRU&amp;lang=en_US&amp;offset=0&amp;query=any,contains,991002785019702656","Catalog Record")</f>
        <v>Catalog Record</v>
      </c>
      <c r="AT13" s="6" t="str">
        <f>HYPERLINK("http://www.worldcat.org/oclc/441305","WorldCat Record")</f>
        <v>WorldCat Record</v>
      </c>
      <c r="AU13" s="3" t="s">
        <v>210</v>
      </c>
      <c r="AV13" s="3" t="s">
        <v>211</v>
      </c>
      <c r="AW13" s="3" t="s">
        <v>212</v>
      </c>
      <c r="AX13" s="3" t="s">
        <v>212</v>
      </c>
      <c r="AY13" s="3" t="s">
        <v>213</v>
      </c>
      <c r="AZ13" s="3" t="s">
        <v>75</v>
      </c>
      <c r="BC13" s="3" t="s">
        <v>214</v>
      </c>
      <c r="BD13" s="3" t="s">
        <v>215</v>
      </c>
    </row>
    <row r="14" spans="1:56" ht="54" customHeight="1" x14ac:dyDescent="0.25">
      <c r="A14" s="7" t="s">
        <v>58</v>
      </c>
      <c r="B14" s="2" t="s">
        <v>216</v>
      </c>
      <c r="C14" s="2" t="s">
        <v>217</v>
      </c>
      <c r="D14" s="2" t="s">
        <v>218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219</v>
      </c>
      <c r="L14" s="2" t="s">
        <v>220</v>
      </c>
      <c r="M14" s="3" t="s">
        <v>221</v>
      </c>
      <c r="O14" s="3" t="s">
        <v>65</v>
      </c>
      <c r="P14" s="3" t="s">
        <v>66</v>
      </c>
      <c r="R14" s="3" t="s">
        <v>67</v>
      </c>
      <c r="S14" s="4">
        <v>1</v>
      </c>
      <c r="T14" s="4">
        <v>1</v>
      </c>
      <c r="U14" s="5" t="s">
        <v>222</v>
      </c>
      <c r="V14" s="5" t="s">
        <v>222</v>
      </c>
      <c r="W14" s="5" t="s">
        <v>103</v>
      </c>
      <c r="X14" s="5" t="s">
        <v>103</v>
      </c>
      <c r="Y14" s="4">
        <v>791</v>
      </c>
      <c r="Z14" s="4">
        <v>726</v>
      </c>
      <c r="AA14" s="4">
        <v>735</v>
      </c>
      <c r="AB14" s="4">
        <v>9</v>
      </c>
      <c r="AC14" s="4">
        <v>9</v>
      </c>
      <c r="AD14" s="4">
        <v>30</v>
      </c>
      <c r="AE14" s="4">
        <v>30</v>
      </c>
      <c r="AF14" s="4">
        <v>9</v>
      </c>
      <c r="AG14" s="4">
        <v>9</v>
      </c>
      <c r="AH14" s="4">
        <v>3</v>
      </c>
      <c r="AI14" s="4">
        <v>3</v>
      </c>
      <c r="AJ14" s="4">
        <v>14</v>
      </c>
      <c r="AK14" s="4">
        <v>14</v>
      </c>
      <c r="AL14" s="4">
        <v>7</v>
      </c>
      <c r="AM14" s="4">
        <v>7</v>
      </c>
      <c r="AN14" s="4">
        <v>1</v>
      </c>
      <c r="AO14" s="4">
        <v>1</v>
      </c>
      <c r="AP14" s="3" t="s">
        <v>58</v>
      </c>
      <c r="AQ14" s="3" t="s">
        <v>58</v>
      </c>
      <c r="AR14" s="6" t="str">
        <f>HYPERLINK("http://catalog.hathitrust.org/Record/001982457","HathiTrust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HYPERLINK("https://creighton-primo.hosted.exlibrisgroup.com/primo-explore/search?tab=default_tab&amp;search_scope=EVERYTHING&amp;vid=01CRU&amp;lang=en_US&amp;offset=0&amp;query=any,contains,991002793399702656","Catalog Record")</f>
        <v>Catalog Record</v>
      </c>
      <c r="AT14" s="6" t="str">
        <f>HYPERLINK("http://www.worldcat.org/oclc/444376","WorldCat Record")</f>
        <v>WorldCat Record</v>
      </c>
      <c r="AU14" s="3" t="s">
        <v>223</v>
      </c>
      <c r="AV14" s="3" t="s">
        <v>224</v>
      </c>
      <c r="AW14" s="3" t="s">
        <v>225</v>
      </c>
      <c r="AX14" s="3" t="s">
        <v>225</v>
      </c>
      <c r="AY14" s="3" t="s">
        <v>226</v>
      </c>
      <c r="AZ14" s="3" t="s">
        <v>75</v>
      </c>
      <c r="BC14" s="3" t="s">
        <v>227</v>
      </c>
      <c r="BD14" s="3" t="s">
        <v>228</v>
      </c>
    </row>
    <row r="15" spans="1:56" ht="54" customHeight="1" x14ac:dyDescent="0.25">
      <c r="A15" s="7" t="s">
        <v>58</v>
      </c>
      <c r="B15" s="2" t="s">
        <v>229</v>
      </c>
      <c r="C15" s="2" t="s">
        <v>230</v>
      </c>
      <c r="D15" s="2" t="s">
        <v>231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232</v>
      </c>
      <c r="L15" s="2" t="s">
        <v>233</v>
      </c>
      <c r="M15" s="3" t="s">
        <v>234</v>
      </c>
      <c r="O15" s="3" t="s">
        <v>65</v>
      </c>
      <c r="P15" s="3" t="s">
        <v>66</v>
      </c>
      <c r="R15" s="3" t="s">
        <v>67</v>
      </c>
      <c r="S15" s="4">
        <v>5</v>
      </c>
      <c r="T15" s="4">
        <v>5</v>
      </c>
      <c r="U15" s="5" t="s">
        <v>235</v>
      </c>
      <c r="V15" s="5" t="s">
        <v>235</v>
      </c>
      <c r="W15" s="5" t="s">
        <v>236</v>
      </c>
      <c r="X15" s="5" t="s">
        <v>236</v>
      </c>
      <c r="Y15" s="4">
        <v>69</v>
      </c>
      <c r="Z15" s="4">
        <v>61</v>
      </c>
      <c r="AA15" s="4">
        <v>280</v>
      </c>
      <c r="AB15" s="4">
        <v>3</v>
      </c>
      <c r="AC15" s="4">
        <v>4</v>
      </c>
      <c r="AD15" s="4">
        <v>3</v>
      </c>
      <c r="AE15" s="4">
        <v>4</v>
      </c>
      <c r="AF15" s="4">
        <v>0</v>
      </c>
      <c r="AG15" s="4">
        <v>0</v>
      </c>
      <c r="AH15" s="4">
        <v>1</v>
      </c>
      <c r="AI15" s="4">
        <v>1</v>
      </c>
      <c r="AJ15" s="4">
        <v>0</v>
      </c>
      <c r="AK15" s="4">
        <v>0</v>
      </c>
      <c r="AL15" s="4">
        <v>2</v>
      </c>
      <c r="AM15" s="4">
        <v>3</v>
      </c>
      <c r="AN15" s="4">
        <v>0</v>
      </c>
      <c r="AO15" s="4">
        <v>0</v>
      </c>
      <c r="AP15" s="3" t="s">
        <v>58</v>
      </c>
      <c r="AQ15" s="3" t="s">
        <v>58</v>
      </c>
      <c r="AS15" s="6" t="str">
        <f>HYPERLINK("https://creighton-primo.hosted.exlibrisgroup.com/primo-explore/search?tab=default_tab&amp;search_scope=EVERYTHING&amp;vid=01CRU&amp;lang=en_US&amp;offset=0&amp;query=any,contains,991005224739702656","Catalog Record")</f>
        <v>Catalog Record</v>
      </c>
      <c r="AT15" s="6" t="str">
        <f>HYPERLINK("http://www.worldcat.org/oclc/8278426","WorldCat Record")</f>
        <v>WorldCat Record</v>
      </c>
      <c r="AU15" s="3" t="s">
        <v>237</v>
      </c>
      <c r="AV15" s="3" t="s">
        <v>238</v>
      </c>
      <c r="AW15" s="3" t="s">
        <v>239</v>
      </c>
      <c r="AX15" s="3" t="s">
        <v>239</v>
      </c>
      <c r="AY15" s="3" t="s">
        <v>240</v>
      </c>
      <c r="AZ15" s="3" t="s">
        <v>75</v>
      </c>
      <c r="BB15" s="3" t="s">
        <v>241</v>
      </c>
      <c r="BC15" s="3" t="s">
        <v>242</v>
      </c>
      <c r="BD15" s="3" t="s">
        <v>243</v>
      </c>
    </row>
    <row r="16" spans="1:56" ht="54" customHeight="1" x14ac:dyDescent="0.25">
      <c r="A16" s="7" t="s">
        <v>58</v>
      </c>
      <c r="B16" s="2" t="s">
        <v>244</v>
      </c>
      <c r="C16" s="2" t="s">
        <v>245</v>
      </c>
      <c r="D16" s="2" t="s">
        <v>246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247</v>
      </c>
      <c r="L16" s="2" t="s">
        <v>248</v>
      </c>
      <c r="M16" s="3" t="s">
        <v>249</v>
      </c>
      <c r="N16" s="2" t="s">
        <v>250</v>
      </c>
      <c r="O16" s="3" t="s">
        <v>65</v>
      </c>
      <c r="P16" s="3" t="s">
        <v>251</v>
      </c>
      <c r="R16" s="3" t="s">
        <v>67</v>
      </c>
      <c r="S16" s="4">
        <v>5</v>
      </c>
      <c r="T16" s="4">
        <v>5</v>
      </c>
      <c r="U16" s="5" t="s">
        <v>86</v>
      </c>
      <c r="V16" s="5" t="s">
        <v>86</v>
      </c>
      <c r="W16" s="5" t="s">
        <v>252</v>
      </c>
      <c r="X16" s="5" t="s">
        <v>252</v>
      </c>
      <c r="Y16" s="4">
        <v>674</v>
      </c>
      <c r="Z16" s="4">
        <v>584</v>
      </c>
      <c r="AA16" s="4">
        <v>594</v>
      </c>
      <c r="AB16" s="4">
        <v>3</v>
      </c>
      <c r="AC16" s="4">
        <v>3</v>
      </c>
      <c r="AD16" s="4">
        <v>17</v>
      </c>
      <c r="AE16" s="4">
        <v>17</v>
      </c>
      <c r="AF16" s="4">
        <v>10</v>
      </c>
      <c r="AG16" s="4">
        <v>10</v>
      </c>
      <c r="AH16" s="4">
        <v>2</v>
      </c>
      <c r="AI16" s="4">
        <v>2</v>
      </c>
      <c r="AJ16" s="4">
        <v>7</v>
      </c>
      <c r="AK16" s="4">
        <v>7</v>
      </c>
      <c r="AL16" s="4">
        <v>2</v>
      </c>
      <c r="AM16" s="4">
        <v>2</v>
      </c>
      <c r="AN16" s="4">
        <v>0</v>
      </c>
      <c r="AO16" s="4">
        <v>0</v>
      </c>
      <c r="AP16" s="3" t="s">
        <v>58</v>
      </c>
      <c r="AQ16" s="3" t="s">
        <v>58</v>
      </c>
      <c r="AS16" s="6" t="str">
        <f>HYPERLINK("https://creighton-primo.hosted.exlibrisgroup.com/primo-explore/search?tab=default_tab&amp;search_scope=EVERYTHING&amp;vid=01CRU&amp;lang=en_US&amp;offset=0&amp;query=any,contains,991005029299702656","Catalog Record")</f>
        <v>Catalog Record</v>
      </c>
      <c r="AT16" s="6" t="str">
        <f>HYPERLINK("http://www.worldcat.org/oclc/6708817","WorldCat Record")</f>
        <v>WorldCat Record</v>
      </c>
      <c r="AU16" s="3" t="s">
        <v>253</v>
      </c>
      <c r="AV16" s="3" t="s">
        <v>254</v>
      </c>
      <c r="AW16" s="3" t="s">
        <v>255</v>
      </c>
      <c r="AX16" s="3" t="s">
        <v>255</v>
      </c>
      <c r="AY16" s="3" t="s">
        <v>256</v>
      </c>
      <c r="AZ16" s="3" t="s">
        <v>75</v>
      </c>
      <c r="BB16" s="3" t="s">
        <v>257</v>
      </c>
      <c r="BC16" s="3" t="s">
        <v>258</v>
      </c>
      <c r="BD16" s="3" t="s">
        <v>259</v>
      </c>
    </row>
    <row r="17" spans="1:56" ht="54" customHeight="1" x14ac:dyDescent="0.25">
      <c r="A17" s="7" t="s">
        <v>58</v>
      </c>
      <c r="B17" s="2" t="s">
        <v>260</v>
      </c>
      <c r="C17" s="2" t="s">
        <v>261</v>
      </c>
      <c r="D17" s="2" t="s">
        <v>262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263</v>
      </c>
      <c r="L17" s="2" t="s">
        <v>264</v>
      </c>
      <c r="M17" s="3" t="s">
        <v>265</v>
      </c>
      <c r="N17" s="2" t="s">
        <v>250</v>
      </c>
      <c r="O17" s="3" t="s">
        <v>65</v>
      </c>
      <c r="P17" s="3" t="s">
        <v>266</v>
      </c>
      <c r="R17" s="3" t="s">
        <v>67</v>
      </c>
      <c r="S17" s="4">
        <v>4</v>
      </c>
      <c r="T17" s="4">
        <v>4</v>
      </c>
      <c r="U17" s="5" t="s">
        <v>267</v>
      </c>
      <c r="V17" s="5" t="s">
        <v>267</v>
      </c>
      <c r="W17" s="5" t="s">
        <v>267</v>
      </c>
      <c r="X17" s="5" t="s">
        <v>267</v>
      </c>
      <c r="Y17" s="4">
        <v>475</v>
      </c>
      <c r="Z17" s="4">
        <v>439</v>
      </c>
      <c r="AA17" s="4">
        <v>447</v>
      </c>
      <c r="AB17" s="4">
        <v>5</v>
      </c>
      <c r="AC17" s="4">
        <v>5</v>
      </c>
      <c r="AD17" s="4">
        <v>15</v>
      </c>
      <c r="AE17" s="4">
        <v>15</v>
      </c>
      <c r="AF17" s="4">
        <v>4</v>
      </c>
      <c r="AG17" s="4">
        <v>4</v>
      </c>
      <c r="AH17" s="4">
        <v>5</v>
      </c>
      <c r="AI17" s="4">
        <v>5</v>
      </c>
      <c r="AJ17" s="4">
        <v>6</v>
      </c>
      <c r="AK17" s="4">
        <v>6</v>
      </c>
      <c r="AL17" s="4">
        <v>3</v>
      </c>
      <c r="AM17" s="4">
        <v>3</v>
      </c>
      <c r="AN17" s="4">
        <v>0</v>
      </c>
      <c r="AO17" s="4">
        <v>0</v>
      </c>
      <c r="AP17" s="3" t="s">
        <v>58</v>
      </c>
      <c r="AQ17" s="3" t="s">
        <v>70</v>
      </c>
      <c r="AR17" s="6" t="str">
        <f>HYPERLINK("http://catalog.hathitrust.org/Record/004104926","HathiTrust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HYPERLINK("https://creighton-primo.hosted.exlibrisgroup.com/primo-explore/search?tab=default_tab&amp;search_scope=EVERYTHING&amp;vid=01CRU&amp;lang=en_US&amp;offset=0&amp;query=any,contains,991003891769702656","Catalog Record")</f>
        <v>Catalog Record</v>
      </c>
      <c r="AT17" s="6" t="str">
        <f>HYPERLINK("http://www.worldcat.org/oclc/43066052","WorldCat Record")</f>
        <v>WorldCat Record</v>
      </c>
      <c r="AU17" s="3" t="s">
        <v>268</v>
      </c>
      <c r="AV17" s="3" t="s">
        <v>269</v>
      </c>
      <c r="AW17" s="3" t="s">
        <v>270</v>
      </c>
      <c r="AX17" s="3" t="s">
        <v>270</v>
      </c>
      <c r="AY17" s="3" t="s">
        <v>271</v>
      </c>
      <c r="AZ17" s="3" t="s">
        <v>75</v>
      </c>
      <c r="BB17" s="3" t="s">
        <v>272</v>
      </c>
      <c r="BC17" s="3" t="s">
        <v>273</v>
      </c>
      <c r="BD17" s="3" t="s">
        <v>274</v>
      </c>
    </row>
    <row r="18" spans="1:56" ht="54" customHeight="1" x14ac:dyDescent="0.25">
      <c r="A18" s="7" t="s">
        <v>58</v>
      </c>
      <c r="B18" s="2" t="s">
        <v>275</v>
      </c>
      <c r="C18" s="2" t="s">
        <v>276</v>
      </c>
      <c r="D18" s="2" t="s">
        <v>277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K18" s="2" t="s">
        <v>278</v>
      </c>
      <c r="L18" s="2" t="s">
        <v>279</v>
      </c>
      <c r="M18" s="3" t="s">
        <v>280</v>
      </c>
      <c r="O18" s="3" t="s">
        <v>65</v>
      </c>
      <c r="P18" s="3" t="s">
        <v>281</v>
      </c>
      <c r="R18" s="3" t="s">
        <v>67</v>
      </c>
      <c r="S18" s="4">
        <v>1</v>
      </c>
      <c r="T18" s="4">
        <v>1</v>
      </c>
      <c r="U18" s="5" t="s">
        <v>282</v>
      </c>
      <c r="V18" s="5" t="s">
        <v>282</v>
      </c>
      <c r="W18" s="5" t="s">
        <v>103</v>
      </c>
      <c r="X18" s="5" t="s">
        <v>103</v>
      </c>
      <c r="Y18" s="4">
        <v>182</v>
      </c>
      <c r="Z18" s="4">
        <v>136</v>
      </c>
      <c r="AA18" s="4">
        <v>203</v>
      </c>
      <c r="AB18" s="4">
        <v>2</v>
      </c>
      <c r="AC18" s="4">
        <v>3</v>
      </c>
      <c r="AD18" s="4">
        <v>5</v>
      </c>
      <c r="AE18" s="4">
        <v>8</v>
      </c>
      <c r="AF18" s="4">
        <v>1</v>
      </c>
      <c r="AG18" s="4">
        <v>2</v>
      </c>
      <c r="AH18" s="4">
        <v>1</v>
      </c>
      <c r="AI18" s="4">
        <v>2</v>
      </c>
      <c r="AJ18" s="4">
        <v>3</v>
      </c>
      <c r="AK18" s="4">
        <v>4</v>
      </c>
      <c r="AL18" s="4">
        <v>1</v>
      </c>
      <c r="AM18" s="4">
        <v>2</v>
      </c>
      <c r="AN18" s="4">
        <v>0</v>
      </c>
      <c r="AO18" s="4">
        <v>0</v>
      </c>
      <c r="AP18" s="3" t="s">
        <v>70</v>
      </c>
      <c r="AQ18" s="3" t="s">
        <v>58</v>
      </c>
      <c r="AR18" s="6" t="str">
        <f>HYPERLINK("http://catalog.hathitrust.org/Record/000475092","HathiTrust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HYPERLINK("https://creighton-primo.hosted.exlibrisgroup.com/primo-explore/search?tab=default_tab&amp;search_scope=EVERYTHING&amp;vid=01CRU&amp;lang=en_US&amp;offset=0&amp;query=any,contains,991003084869702656","Catalog Record")</f>
        <v>Catalog Record</v>
      </c>
      <c r="AT18" s="6" t="str">
        <f>HYPERLINK("http://www.worldcat.org/oclc/635949","WorldCat Record")</f>
        <v>WorldCat Record</v>
      </c>
      <c r="AU18" s="3" t="s">
        <v>283</v>
      </c>
      <c r="AV18" s="3" t="s">
        <v>284</v>
      </c>
      <c r="AW18" s="3" t="s">
        <v>285</v>
      </c>
      <c r="AX18" s="3" t="s">
        <v>285</v>
      </c>
      <c r="AY18" s="3" t="s">
        <v>286</v>
      </c>
      <c r="AZ18" s="3" t="s">
        <v>75</v>
      </c>
      <c r="BC18" s="3" t="s">
        <v>287</v>
      </c>
      <c r="BD18" s="3" t="s">
        <v>288</v>
      </c>
    </row>
    <row r="19" spans="1:56" ht="54" customHeight="1" x14ac:dyDescent="0.25">
      <c r="A19" s="7" t="s">
        <v>58</v>
      </c>
      <c r="B19" s="2" t="s">
        <v>289</v>
      </c>
      <c r="C19" s="2" t="s">
        <v>290</v>
      </c>
      <c r="D19" s="2" t="s">
        <v>291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292</v>
      </c>
      <c r="L19" s="2" t="s">
        <v>293</v>
      </c>
      <c r="M19" s="3" t="s">
        <v>63</v>
      </c>
      <c r="O19" s="3" t="s">
        <v>65</v>
      </c>
      <c r="P19" s="3" t="s">
        <v>294</v>
      </c>
      <c r="Q19" s="2" t="s">
        <v>295</v>
      </c>
      <c r="R19" s="3" t="s">
        <v>67</v>
      </c>
      <c r="S19" s="4">
        <v>5</v>
      </c>
      <c r="T19" s="4">
        <v>5</v>
      </c>
      <c r="U19" s="5" t="s">
        <v>296</v>
      </c>
      <c r="V19" s="5" t="s">
        <v>296</v>
      </c>
      <c r="W19" s="5" t="s">
        <v>103</v>
      </c>
      <c r="X19" s="5" t="s">
        <v>103</v>
      </c>
      <c r="Y19" s="4">
        <v>472</v>
      </c>
      <c r="Z19" s="4">
        <v>397</v>
      </c>
      <c r="AA19" s="4">
        <v>402</v>
      </c>
      <c r="AB19" s="4">
        <v>3</v>
      </c>
      <c r="AC19" s="4">
        <v>3</v>
      </c>
      <c r="AD19" s="4">
        <v>15</v>
      </c>
      <c r="AE19" s="4">
        <v>15</v>
      </c>
      <c r="AF19" s="4">
        <v>5</v>
      </c>
      <c r="AG19" s="4">
        <v>5</v>
      </c>
      <c r="AH19" s="4">
        <v>3</v>
      </c>
      <c r="AI19" s="4">
        <v>3</v>
      </c>
      <c r="AJ19" s="4">
        <v>8</v>
      </c>
      <c r="AK19" s="4">
        <v>8</v>
      </c>
      <c r="AL19" s="4">
        <v>2</v>
      </c>
      <c r="AM19" s="4">
        <v>2</v>
      </c>
      <c r="AN19" s="4">
        <v>0</v>
      </c>
      <c r="AO19" s="4">
        <v>0</v>
      </c>
      <c r="AP19" s="3" t="s">
        <v>58</v>
      </c>
      <c r="AQ19" s="3" t="s">
        <v>58</v>
      </c>
      <c r="AS19" s="6" t="str">
        <f>HYPERLINK("https://creighton-primo.hosted.exlibrisgroup.com/primo-explore/search?tab=default_tab&amp;search_scope=EVERYTHING&amp;vid=01CRU&amp;lang=en_US&amp;offset=0&amp;query=any,contains,991005353549702656","Catalog Record")</f>
        <v>Catalog Record</v>
      </c>
      <c r="AT19" s="6" t="str">
        <f>HYPERLINK("http://www.worldcat.org/oclc/172807","WorldCat Record")</f>
        <v>WorldCat Record</v>
      </c>
      <c r="AU19" s="3" t="s">
        <v>297</v>
      </c>
      <c r="AV19" s="3" t="s">
        <v>298</v>
      </c>
      <c r="AW19" s="3" t="s">
        <v>299</v>
      </c>
      <c r="AX19" s="3" t="s">
        <v>299</v>
      </c>
      <c r="AY19" s="3" t="s">
        <v>300</v>
      </c>
      <c r="AZ19" s="3" t="s">
        <v>75</v>
      </c>
      <c r="BC19" s="3" t="s">
        <v>301</v>
      </c>
      <c r="BD19" s="3" t="s">
        <v>302</v>
      </c>
    </row>
    <row r="20" spans="1:56" ht="54" customHeight="1" x14ac:dyDescent="0.25">
      <c r="A20" s="7" t="s">
        <v>58</v>
      </c>
      <c r="B20" s="2" t="s">
        <v>303</v>
      </c>
      <c r="C20" s="2" t="s">
        <v>304</v>
      </c>
      <c r="D20" s="2" t="s">
        <v>305</v>
      </c>
      <c r="F20" s="3" t="s">
        <v>58</v>
      </c>
      <c r="G20" s="3" t="s">
        <v>59</v>
      </c>
      <c r="H20" s="3" t="s">
        <v>58</v>
      </c>
      <c r="I20" s="3" t="s">
        <v>70</v>
      </c>
      <c r="J20" s="3" t="s">
        <v>60</v>
      </c>
      <c r="K20" s="2" t="s">
        <v>292</v>
      </c>
      <c r="L20" s="2" t="s">
        <v>306</v>
      </c>
      <c r="M20" s="3" t="s">
        <v>307</v>
      </c>
      <c r="O20" s="3" t="s">
        <v>65</v>
      </c>
      <c r="P20" s="3" t="s">
        <v>294</v>
      </c>
      <c r="R20" s="3" t="s">
        <v>67</v>
      </c>
      <c r="S20" s="4">
        <v>1</v>
      </c>
      <c r="T20" s="4">
        <v>1</v>
      </c>
      <c r="U20" s="5" t="s">
        <v>308</v>
      </c>
      <c r="V20" s="5" t="s">
        <v>308</v>
      </c>
      <c r="W20" s="5" t="s">
        <v>103</v>
      </c>
      <c r="X20" s="5" t="s">
        <v>103</v>
      </c>
      <c r="Y20" s="4">
        <v>1282</v>
      </c>
      <c r="Z20" s="4">
        <v>1190</v>
      </c>
      <c r="AA20" s="4">
        <v>1326</v>
      </c>
      <c r="AB20" s="4">
        <v>13</v>
      </c>
      <c r="AC20" s="4">
        <v>14</v>
      </c>
      <c r="AD20" s="4">
        <v>57</v>
      </c>
      <c r="AE20" s="4">
        <v>58</v>
      </c>
      <c r="AF20" s="4">
        <v>25</v>
      </c>
      <c r="AG20" s="4">
        <v>26</v>
      </c>
      <c r="AH20" s="4">
        <v>10</v>
      </c>
      <c r="AI20" s="4">
        <v>10</v>
      </c>
      <c r="AJ20" s="4">
        <v>26</v>
      </c>
      <c r="AK20" s="4">
        <v>26</v>
      </c>
      <c r="AL20" s="4">
        <v>10</v>
      </c>
      <c r="AM20" s="4">
        <v>10</v>
      </c>
      <c r="AN20" s="4">
        <v>0</v>
      </c>
      <c r="AO20" s="4">
        <v>0</v>
      </c>
      <c r="AP20" s="3" t="s">
        <v>58</v>
      </c>
      <c r="AQ20" s="3" t="s">
        <v>70</v>
      </c>
      <c r="AR20" s="6" t="str">
        <f>HYPERLINK("http://catalog.hathitrust.org/Record/001469152","HathiTrust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HYPERLINK("https://creighton-primo.hosted.exlibrisgroup.com/primo-explore/search?tab=default_tab&amp;search_scope=EVERYTHING&amp;vid=01CRU&amp;lang=en_US&amp;offset=0&amp;query=any,contains,991002171319702656","Catalog Record")</f>
        <v>Catalog Record</v>
      </c>
      <c r="AT20" s="6" t="str">
        <f>HYPERLINK("http://www.worldcat.org/oclc/276915","WorldCat Record")</f>
        <v>WorldCat Record</v>
      </c>
      <c r="AU20" s="3" t="s">
        <v>309</v>
      </c>
      <c r="AV20" s="3" t="s">
        <v>310</v>
      </c>
      <c r="AW20" s="3" t="s">
        <v>311</v>
      </c>
      <c r="AX20" s="3" t="s">
        <v>311</v>
      </c>
      <c r="AY20" s="3" t="s">
        <v>312</v>
      </c>
      <c r="AZ20" s="3" t="s">
        <v>75</v>
      </c>
      <c r="BC20" s="3" t="s">
        <v>313</v>
      </c>
      <c r="BD20" s="3" t="s">
        <v>314</v>
      </c>
    </row>
    <row r="21" spans="1:56" ht="54" customHeight="1" x14ac:dyDescent="0.25">
      <c r="A21" s="7" t="s">
        <v>58</v>
      </c>
      <c r="B21" s="2" t="s">
        <v>315</v>
      </c>
      <c r="C21" s="2" t="s">
        <v>316</v>
      </c>
      <c r="D21" s="2" t="s">
        <v>317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318</v>
      </c>
      <c r="L21" s="2" t="s">
        <v>319</v>
      </c>
      <c r="M21" s="3" t="s">
        <v>320</v>
      </c>
      <c r="O21" s="3" t="s">
        <v>65</v>
      </c>
      <c r="P21" s="3" t="s">
        <v>281</v>
      </c>
      <c r="R21" s="3" t="s">
        <v>67</v>
      </c>
      <c r="S21" s="4">
        <v>3</v>
      </c>
      <c r="T21" s="4">
        <v>3</v>
      </c>
      <c r="U21" s="5" t="s">
        <v>321</v>
      </c>
      <c r="V21" s="5" t="s">
        <v>321</v>
      </c>
      <c r="W21" s="5" t="s">
        <v>103</v>
      </c>
      <c r="X21" s="5" t="s">
        <v>103</v>
      </c>
      <c r="Y21" s="4">
        <v>354</v>
      </c>
      <c r="Z21" s="4">
        <v>252</v>
      </c>
      <c r="AA21" s="4">
        <v>298</v>
      </c>
      <c r="AB21" s="4">
        <v>2</v>
      </c>
      <c r="AC21" s="4">
        <v>3</v>
      </c>
      <c r="AD21" s="4">
        <v>12</v>
      </c>
      <c r="AE21" s="4">
        <v>14</v>
      </c>
      <c r="AF21" s="4">
        <v>3</v>
      </c>
      <c r="AG21" s="4">
        <v>3</v>
      </c>
      <c r="AH21" s="4">
        <v>4</v>
      </c>
      <c r="AI21" s="4">
        <v>5</v>
      </c>
      <c r="AJ21" s="4">
        <v>7</v>
      </c>
      <c r="AK21" s="4">
        <v>7</v>
      </c>
      <c r="AL21" s="4">
        <v>1</v>
      </c>
      <c r="AM21" s="4">
        <v>2</v>
      </c>
      <c r="AN21" s="4">
        <v>0</v>
      </c>
      <c r="AO21" s="4">
        <v>0</v>
      </c>
      <c r="AP21" s="3" t="s">
        <v>58</v>
      </c>
      <c r="AQ21" s="3" t="s">
        <v>70</v>
      </c>
      <c r="AR21" s="6" t="str">
        <f>HYPERLINK("http://catalog.hathitrust.org/Record/001468455","HathiTrust Record")</f>
        <v>HathiTrust Record</v>
      </c>
      <c r="AS21" s="6" t="str">
        <f>HYPERLINK("https://creighton-primo.hosted.exlibrisgroup.com/primo-explore/search?tab=default_tab&amp;search_scope=EVERYTHING&amp;vid=01CRU&amp;lang=en_US&amp;offset=0&amp;query=any,contains,991002837139702656","Catalog Record")</f>
        <v>Catalog Record</v>
      </c>
      <c r="AT21" s="6" t="str">
        <f>HYPERLINK("http://www.worldcat.org/oclc/480534","WorldCat Record")</f>
        <v>WorldCat Record</v>
      </c>
      <c r="AU21" s="3" t="s">
        <v>322</v>
      </c>
      <c r="AV21" s="3" t="s">
        <v>323</v>
      </c>
      <c r="AW21" s="3" t="s">
        <v>324</v>
      </c>
      <c r="AX21" s="3" t="s">
        <v>324</v>
      </c>
      <c r="AY21" s="3" t="s">
        <v>325</v>
      </c>
      <c r="AZ21" s="3" t="s">
        <v>75</v>
      </c>
      <c r="BC21" s="3" t="s">
        <v>326</v>
      </c>
      <c r="BD21" s="3" t="s">
        <v>327</v>
      </c>
    </row>
    <row r="22" spans="1:56" ht="54" customHeight="1" x14ac:dyDescent="0.25">
      <c r="A22" s="7" t="s">
        <v>58</v>
      </c>
      <c r="B22" s="2" t="s">
        <v>328</v>
      </c>
      <c r="C22" s="2" t="s">
        <v>329</v>
      </c>
      <c r="D22" s="2" t="s">
        <v>330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331</v>
      </c>
      <c r="L22" s="2" t="s">
        <v>332</v>
      </c>
      <c r="M22" s="3" t="s">
        <v>333</v>
      </c>
      <c r="O22" s="3" t="s">
        <v>65</v>
      </c>
      <c r="P22" s="3" t="s">
        <v>66</v>
      </c>
      <c r="Q22" s="2" t="s">
        <v>334</v>
      </c>
      <c r="R22" s="3" t="s">
        <v>67</v>
      </c>
      <c r="S22" s="4">
        <v>2</v>
      </c>
      <c r="T22" s="4">
        <v>2</v>
      </c>
      <c r="U22" s="5" t="s">
        <v>335</v>
      </c>
      <c r="V22" s="5" t="s">
        <v>335</v>
      </c>
      <c r="W22" s="5" t="s">
        <v>103</v>
      </c>
      <c r="X22" s="5" t="s">
        <v>103</v>
      </c>
      <c r="Y22" s="4">
        <v>419</v>
      </c>
      <c r="Z22" s="4">
        <v>381</v>
      </c>
      <c r="AA22" s="4">
        <v>398</v>
      </c>
      <c r="AB22" s="4">
        <v>2</v>
      </c>
      <c r="AC22" s="4">
        <v>2</v>
      </c>
      <c r="AD22" s="4">
        <v>10</v>
      </c>
      <c r="AE22" s="4">
        <v>10</v>
      </c>
      <c r="AF22" s="4">
        <v>2</v>
      </c>
      <c r="AG22" s="4">
        <v>2</v>
      </c>
      <c r="AH22" s="4">
        <v>4</v>
      </c>
      <c r="AI22" s="4">
        <v>4</v>
      </c>
      <c r="AJ22" s="4">
        <v>6</v>
      </c>
      <c r="AK22" s="4">
        <v>6</v>
      </c>
      <c r="AL22" s="4">
        <v>1</v>
      </c>
      <c r="AM22" s="4">
        <v>1</v>
      </c>
      <c r="AN22" s="4">
        <v>0</v>
      </c>
      <c r="AO22" s="4">
        <v>0</v>
      </c>
      <c r="AP22" s="3" t="s">
        <v>58</v>
      </c>
      <c r="AQ22" s="3" t="s">
        <v>70</v>
      </c>
      <c r="AR22" s="6" t="str">
        <f>HYPERLINK("http://catalog.hathitrust.org/Record/001982528","HathiTrust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HYPERLINK("https://creighton-primo.hosted.exlibrisgroup.com/primo-explore/search?tab=default_tab&amp;search_scope=EVERYTHING&amp;vid=01CRU&amp;lang=en_US&amp;offset=0&amp;query=any,contains,991003134409702656","Catalog Record")</f>
        <v>Catalog Record</v>
      </c>
      <c r="AT22" s="6" t="str">
        <f>HYPERLINK("http://www.worldcat.org/oclc/676538","WorldCat Record")</f>
        <v>WorldCat Record</v>
      </c>
      <c r="AU22" s="3" t="s">
        <v>336</v>
      </c>
      <c r="AV22" s="3" t="s">
        <v>337</v>
      </c>
      <c r="AW22" s="3" t="s">
        <v>338</v>
      </c>
      <c r="AX22" s="3" t="s">
        <v>338</v>
      </c>
      <c r="AY22" s="3" t="s">
        <v>339</v>
      </c>
      <c r="AZ22" s="3" t="s">
        <v>75</v>
      </c>
      <c r="BC22" s="3" t="s">
        <v>340</v>
      </c>
      <c r="BD22" s="3" t="s">
        <v>341</v>
      </c>
    </row>
    <row r="23" spans="1:56" ht="54" customHeight="1" x14ac:dyDescent="0.25">
      <c r="A23" s="7" t="s">
        <v>58</v>
      </c>
      <c r="B23" s="2" t="s">
        <v>342</v>
      </c>
      <c r="C23" s="2" t="s">
        <v>343</v>
      </c>
      <c r="D23" s="2" t="s">
        <v>344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345</v>
      </c>
      <c r="L23" s="2" t="s">
        <v>346</v>
      </c>
      <c r="M23" s="3" t="s">
        <v>207</v>
      </c>
      <c r="O23" s="3" t="s">
        <v>65</v>
      </c>
      <c r="P23" s="3" t="s">
        <v>66</v>
      </c>
      <c r="R23" s="3" t="s">
        <v>67</v>
      </c>
      <c r="S23" s="4">
        <v>2</v>
      </c>
      <c r="T23" s="4">
        <v>2</v>
      </c>
      <c r="U23" s="5" t="s">
        <v>347</v>
      </c>
      <c r="V23" s="5" t="s">
        <v>347</v>
      </c>
      <c r="W23" s="5" t="s">
        <v>103</v>
      </c>
      <c r="X23" s="5" t="s">
        <v>103</v>
      </c>
      <c r="Y23" s="4">
        <v>595</v>
      </c>
      <c r="Z23" s="4">
        <v>557</v>
      </c>
      <c r="AA23" s="4">
        <v>563</v>
      </c>
      <c r="AB23" s="4">
        <v>3</v>
      </c>
      <c r="AC23" s="4">
        <v>3</v>
      </c>
      <c r="AD23" s="4">
        <v>24</v>
      </c>
      <c r="AE23" s="4">
        <v>24</v>
      </c>
      <c r="AF23" s="4">
        <v>8</v>
      </c>
      <c r="AG23" s="4">
        <v>8</v>
      </c>
      <c r="AH23" s="4">
        <v>6</v>
      </c>
      <c r="AI23" s="4">
        <v>6</v>
      </c>
      <c r="AJ23" s="4">
        <v>12</v>
      </c>
      <c r="AK23" s="4">
        <v>12</v>
      </c>
      <c r="AL23" s="4">
        <v>2</v>
      </c>
      <c r="AM23" s="4">
        <v>2</v>
      </c>
      <c r="AN23" s="4">
        <v>0</v>
      </c>
      <c r="AO23" s="4">
        <v>0</v>
      </c>
      <c r="AP23" s="3" t="s">
        <v>58</v>
      </c>
      <c r="AQ23" s="3" t="s">
        <v>58</v>
      </c>
      <c r="AS23" s="6" t="str">
        <f>HYPERLINK("https://creighton-primo.hosted.exlibrisgroup.com/primo-explore/search?tab=default_tab&amp;search_scope=EVERYTHING&amp;vid=01CRU&amp;lang=en_US&amp;offset=0&amp;query=any,contains,991000134209702656","Catalog Record")</f>
        <v>Catalog Record</v>
      </c>
      <c r="AT23" s="6" t="str">
        <f>HYPERLINK("http://www.worldcat.org/oclc/55616","WorldCat Record")</f>
        <v>WorldCat Record</v>
      </c>
      <c r="AU23" s="3" t="s">
        <v>348</v>
      </c>
      <c r="AV23" s="3" t="s">
        <v>349</v>
      </c>
      <c r="AW23" s="3" t="s">
        <v>350</v>
      </c>
      <c r="AX23" s="3" t="s">
        <v>350</v>
      </c>
      <c r="AY23" s="3" t="s">
        <v>351</v>
      </c>
      <c r="AZ23" s="3" t="s">
        <v>75</v>
      </c>
      <c r="BC23" s="3" t="s">
        <v>352</v>
      </c>
      <c r="BD23" s="3" t="s">
        <v>353</v>
      </c>
    </row>
    <row r="24" spans="1:56" ht="54" customHeight="1" x14ac:dyDescent="0.25">
      <c r="A24" s="7" t="s">
        <v>58</v>
      </c>
      <c r="B24" s="2" t="s">
        <v>354</v>
      </c>
      <c r="C24" s="2" t="s">
        <v>355</v>
      </c>
      <c r="D24" s="2" t="s">
        <v>356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357</v>
      </c>
      <c r="L24" s="2" t="s">
        <v>358</v>
      </c>
      <c r="M24" s="3" t="s">
        <v>179</v>
      </c>
      <c r="O24" s="3" t="s">
        <v>65</v>
      </c>
      <c r="P24" s="3" t="s">
        <v>281</v>
      </c>
      <c r="R24" s="3" t="s">
        <v>67</v>
      </c>
      <c r="S24" s="4">
        <v>5</v>
      </c>
      <c r="T24" s="4">
        <v>5</v>
      </c>
      <c r="U24" s="5" t="s">
        <v>359</v>
      </c>
      <c r="V24" s="5" t="s">
        <v>359</v>
      </c>
      <c r="W24" s="5" t="s">
        <v>360</v>
      </c>
      <c r="X24" s="5" t="s">
        <v>360</v>
      </c>
      <c r="Y24" s="4">
        <v>252</v>
      </c>
      <c r="Z24" s="4">
        <v>197</v>
      </c>
      <c r="AA24" s="4">
        <v>199</v>
      </c>
      <c r="AB24" s="4">
        <v>2</v>
      </c>
      <c r="AC24" s="4">
        <v>2</v>
      </c>
      <c r="AD24" s="4">
        <v>6</v>
      </c>
      <c r="AE24" s="4">
        <v>6</v>
      </c>
      <c r="AF24" s="4">
        <v>1</v>
      </c>
      <c r="AG24" s="4">
        <v>1</v>
      </c>
      <c r="AH24" s="4">
        <v>1</v>
      </c>
      <c r="AI24" s="4">
        <v>1</v>
      </c>
      <c r="AJ24" s="4">
        <v>3</v>
      </c>
      <c r="AK24" s="4">
        <v>3</v>
      </c>
      <c r="AL24" s="4">
        <v>1</v>
      </c>
      <c r="AM24" s="4">
        <v>1</v>
      </c>
      <c r="AN24" s="4">
        <v>0</v>
      </c>
      <c r="AO24" s="4">
        <v>0</v>
      </c>
      <c r="AP24" s="3" t="s">
        <v>58</v>
      </c>
      <c r="AQ24" s="3" t="s">
        <v>70</v>
      </c>
      <c r="AR24" s="6" t="str">
        <f>HYPERLINK("http://catalog.hathitrust.org/Record/010673536","HathiTrust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HYPERLINK("https://creighton-primo.hosted.exlibrisgroup.com/primo-explore/search?tab=default_tab&amp;search_scope=EVERYTHING&amp;vid=01CRU&amp;lang=en_US&amp;offset=0&amp;query=any,contains,991003642179702656","Catalog Record")</f>
        <v>Catalog Record</v>
      </c>
      <c r="AT24" s="6" t="str">
        <f>HYPERLINK("http://www.worldcat.org/oclc/1240232","WorldCat Record")</f>
        <v>WorldCat Record</v>
      </c>
      <c r="AU24" s="3" t="s">
        <v>361</v>
      </c>
      <c r="AV24" s="3" t="s">
        <v>362</v>
      </c>
      <c r="AW24" s="3" t="s">
        <v>363</v>
      </c>
      <c r="AX24" s="3" t="s">
        <v>363</v>
      </c>
      <c r="AY24" s="3" t="s">
        <v>364</v>
      </c>
      <c r="AZ24" s="3" t="s">
        <v>75</v>
      </c>
      <c r="BC24" s="3" t="s">
        <v>365</v>
      </c>
      <c r="BD24" s="3" t="s">
        <v>366</v>
      </c>
    </row>
    <row r="25" spans="1:56" ht="54" customHeight="1" x14ac:dyDescent="0.25">
      <c r="A25" s="7" t="s">
        <v>58</v>
      </c>
      <c r="B25" s="2" t="s">
        <v>367</v>
      </c>
      <c r="C25" s="2" t="s">
        <v>368</v>
      </c>
      <c r="D25" s="2" t="s">
        <v>369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370</v>
      </c>
      <c r="L25" s="2" t="s">
        <v>371</v>
      </c>
      <c r="M25" s="3" t="s">
        <v>372</v>
      </c>
      <c r="N25" s="2" t="s">
        <v>64</v>
      </c>
      <c r="O25" s="3" t="s">
        <v>65</v>
      </c>
      <c r="P25" s="3" t="s">
        <v>251</v>
      </c>
      <c r="R25" s="3" t="s">
        <v>67</v>
      </c>
      <c r="S25" s="4">
        <v>7</v>
      </c>
      <c r="T25" s="4">
        <v>7</v>
      </c>
      <c r="U25" s="5" t="s">
        <v>373</v>
      </c>
      <c r="V25" s="5" t="s">
        <v>373</v>
      </c>
      <c r="W25" s="5" t="s">
        <v>374</v>
      </c>
      <c r="X25" s="5" t="s">
        <v>374</v>
      </c>
      <c r="Y25" s="4">
        <v>472</v>
      </c>
      <c r="Z25" s="4">
        <v>436</v>
      </c>
      <c r="AA25" s="4">
        <v>452</v>
      </c>
      <c r="AB25" s="4">
        <v>5</v>
      </c>
      <c r="AC25" s="4">
        <v>5</v>
      </c>
      <c r="AD25" s="4">
        <v>19</v>
      </c>
      <c r="AE25" s="4">
        <v>20</v>
      </c>
      <c r="AF25" s="4">
        <v>9</v>
      </c>
      <c r="AG25" s="4">
        <v>9</v>
      </c>
      <c r="AH25" s="4">
        <v>1</v>
      </c>
      <c r="AI25" s="4">
        <v>2</v>
      </c>
      <c r="AJ25" s="4">
        <v>8</v>
      </c>
      <c r="AK25" s="4">
        <v>9</v>
      </c>
      <c r="AL25" s="4">
        <v>4</v>
      </c>
      <c r="AM25" s="4">
        <v>4</v>
      </c>
      <c r="AN25" s="4">
        <v>0</v>
      </c>
      <c r="AO25" s="4">
        <v>0</v>
      </c>
      <c r="AP25" s="3" t="s">
        <v>58</v>
      </c>
      <c r="AQ25" s="3" t="s">
        <v>70</v>
      </c>
      <c r="AR25" s="6" t="str">
        <f>HYPERLINK("http://catalog.hathitrust.org/Record/001014382","HathiTrust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HYPERLINK("https://creighton-primo.hosted.exlibrisgroup.com/primo-explore/search?tab=default_tab&amp;search_scope=EVERYTHING&amp;vid=01CRU&amp;lang=en_US&amp;offset=0&amp;query=any,contains,991002915739702656","Catalog Record")</f>
        <v>Catalog Record</v>
      </c>
      <c r="AT25" s="6" t="str">
        <f>HYPERLINK("http://www.worldcat.org/oclc/524031","WorldCat Record")</f>
        <v>WorldCat Record</v>
      </c>
      <c r="AU25" s="3" t="s">
        <v>375</v>
      </c>
      <c r="AV25" s="3" t="s">
        <v>376</v>
      </c>
      <c r="AW25" s="3" t="s">
        <v>377</v>
      </c>
      <c r="AX25" s="3" t="s">
        <v>377</v>
      </c>
      <c r="AY25" s="3" t="s">
        <v>378</v>
      </c>
      <c r="AZ25" s="3" t="s">
        <v>75</v>
      </c>
      <c r="BC25" s="3" t="s">
        <v>379</v>
      </c>
      <c r="BD25" s="3" t="s">
        <v>380</v>
      </c>
    </row>
    <row r="26" spans="1:56" ht="54" customHeight="1" x14ac:dyDescent="0.25">
      <c r="A26" s="7" t="s">
        <v>58</v>
      </c>
      <c r="B26" s="2" t="s">
        <v>381</v>
      </c>
      <c r="C26" s="2" t="s">
        <v>382</v>
      </c>
      <c r="D26" s="2" t="s">
        <v>383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384</v>
      </c>
      <c r="L26" s="2" t="s">
        <v>385</v>
      </c>
      <c r="M26" s="3" t="s">
        <v>234</v>
      </c>
      <c r="O26" s="3" t="s">
        <v>65</v>
      </c>
      <c r="P26" s="3" t="s">
        <v>386</v>
      </c>
      <c r="Q26" s="2" t="s">
        <v>387</v>
      </c>
      <c r="R26" s="3" t="s">
        <v>67</v>
      </c>
      <c r="S26" s="4">
        <v>7</v>
      </c>
      <c r="T26" s="4">
        <v>7</v>
      </c>
      <c r="U26" s="5" t="s">
        <v>373</v>
      </c>
      <c r="V26" s="5" t="s">
        <v>373</v>
      </c>
      <c r="W26" s="5" t="s">
        <v>388</v>
      </c>
      <c r="X26" s="5" t="s">
        <v>388</v>
      </c>
      <c r="Y26" s="4">
        <v>509</v>
      </c>
      <c r="Z26" s="4">
        <v>409</v>
      </c>
      <c r="AA26" s="4">
        <v>414</v>
      </c>
      <c r="AB26" s="4">
        <v>5</v>
      </c>
      <c r="AC26" s="4">
        <v>5</v>
      </c>
      <c r="AD26" s="4">
        <v>24</v>
      </c>
      <c r="AE26" s="4">
        <v>24</v>
      </c>
      <c r="AF26" s="4">
        <v>9</v>
      </c>
      <c r="AG26" s="4">
        <v>9</v>
      </c>
      <c r="AH26" s="4">
        <v>4</v>
      </c>
      <c r="AI26" s="4">
        <v>4</v>
      </c>
      <c r="AJ26" s="4">
        <v>11</v>
      </c>
      <c r="AK26" s="4">
        <v>11</v>
      </c>
      <c r="AL26" s="4">
        <v>4</v>
      </c>
      <c r="AM26" s="4">
        <v>4</v>
      </c>
      <c r="AN26" s="4">
        <v>0</v>
      </c>
      <c r="AO26" s="4">
        <v>0</v>
      </c>
      <c r="AP26" s="3" t="s">
        <v>58</v>
      </c>
      <c r="AQ26" s="3" t="s">
        <v>58</v>
      </c>
      <c r="AS26" s="6" t="str">
        <f>HYPERLINK("https://creighton-primo.hosted.exlibrisgroup.com/primo-explore/search?tab=default_tab&amp;search_scope=EVERYTHING&amp;vid=01CRU&amp;lang=en_US&amp;offset=0&amp;query=any,contains,991005116649702656","Catalog Record")</f>
        <v>Catalog Record</v>
      </c>
      <c r="AT26" s="6" t="str">
        <f>HYPERLINK("http://www.worldcat.org/oclc/7463097","WorldCat Record")</f>
        <v>WorldCat Record</v>
      </c>
      <c r="AU26" s="3" t="s">
        <v>389</v>
      </c>
      <c r="AV26" s="3" t="s">
        <v>390</v>
      </c>
      <c r="AW26" s="3" t="s">
        <v>391</v>
      </c>
      <c r="AX26" s="3" t="s">
        <v>391</v>
      </c>
      <c r="AY26" s="3" t="s">
        <v>392</v>
      </c>
      <c r="AZ26" s="3" t="s">
        <v>75</v>
      </c>
      <c r="BB26" s="3" t="s">
        <v>393</v>
      </c>
      <c r="BC26" s="3" t="s">
        <v>394</v>
      </c>
      <c r="BD26" s="3" t="s">
        <v>395</v>
      </c>
    </row>
    <row r="27" spans="1:56" ht="54" customHeight="1" x14ac:dyDescent="0.25">
      <c r="A27" s="7" t="s">
        <v>58</v>
      </c>
      <c r="B27" s="2" t="s">
        <v>396</v>
      </c>
      <c r="C27" s="2" t="s">
        <v>397</v>
      </c>
      <c r="D27" s="2" t="s">
        <v>398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399</v>
      </c>
      <c r="L27" s="2" t="s">
        <v>400</v>
      </c>
      <c r="M27" s="3" t="s">
        <v>401</v>
      </c>
      <c r="O27" s="3" t="s">
        <v>65</v>
      </c>
      <c r="P27" s="3" t="s">
        <v>266</v>
      </c>
      <c r="R27" s="3" t="s">
        <v>67</v>
      </c>
      <c r="S27" s="4">
        <v>2</v>
      </c>
      <c r="T27" s="4">
        <v>2</v>
      </c>
      <c r="U27" s="5" t="s">
        <v>402</v>
      </c>
      <c r="V27" s="5" t="s">
        <v>402</v>
      </c>
      <c r="W27" s="5" t="s">
        <v>403</v>
      </c>
      <c r="X27" s="5" t="s">
        <v>403</v>
      </c>
      <c r="Y27" s="4">
        <v>292</v>
      </c>
      <c r="Z27" s="4">
        <v>265</v>
      </c>
      <c r="AA27" s="4">
        <v>336</v>
      </c>
      <c r="AB27" s="4">
        <v>3</v>
      </c>
      <c r="AC27" s="4">
        <v>4</v>
      </c>
      <c r="AD27" s="4">
        <v>7</v>
      </c>
      <c r="AE27" s="4">
        <v>8</v>
      </c>
      <c r="AF27" s="4">
        <v>1</v>
      </c>
      <c r="AG27" s="4">
        <v>2</v>
      </c>
      <c r="AH27" s="4">
        <v>1</v>
      </c>
      <c r="AI27" s="4">
        <v>1</v>
      </c>
      <c r="AJ27" s="4">
        <v>5</v>
      </c>
      <c r="AK27" s="4">
        <v>5</v>
      </c>
      <c r="AL27" s="4">
        <v>2</v>
      </c>
      <c r="AM27" s="4">
        <v>2</v>
      </c>
      <c r="AN27" s="4">
        <v>0</v>
      </c>
      <c r="AO27" s="4">
        <v>0</v>
      </c>
      <c r="AP27" s="3" t="s">
        <v>58</v>
      </c>
      <c r="AQ27" s="3" t="s">
        <v>70</v>
      </c>
      <c r="AR27" s="6" t="str">
        <f>HYPERLINK("http://catalog.hathitrust.org/Record/000704784","HathiTrust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HYPERLINK("https://creighton-primo.hosted.exlibrisgroup.com/primo-explore/search?tab=default_tab&amp;search_scope=EVERYTHING&amp;vid=01CRU&amp;lang=en_US&amp;offset=0&amp;query=any,contains,991003977629702656","Catalog Record")</f>
        <v>Catalog Record</v>
      </c>
      <c r="AT27" s="6" t="str">
        <f>HYPERLINK("http://www.worldcat.org/oclc/2010219","WorldCat Record")</f>
        <v>WorldCat Record</v>
      </c>
      <c r="AU27" s="3" t="s">
        <v>404</v>
      </c>
      <c r="AV27" s="3" t="s">
        <v>405</v>
      </c>
      <c r="AW27" s="3" t="s">
        <v>406</v>
      </c>
      <c r="AX27" s="3" t="s">
        <v>406</v>
      </c>
      <c r="AY27" s="3" t="s">
        <v>407</v>
      </c>
      <c r="AZ27" s="3" t="s">
        <v>75</v>
      </c>
      <c r="BB27" s="3" t="s">
        <v>408</v>
      </c>
      <c r="BC27" s="3" t="s">
        <v>409</v>
      </c>
      <c r="BD27" s="3" t="s">
        <v>410</v>
      </c>
    </row>
    <row r="28" spans="1:56" ht="54" customHeight="1" x14ac:dyDescent="0.25">
      <c r="A28" s="7" t="s">
        <v>58</v>
      </c>
      <c r="B28" s="2" t="s">
        <v>411</v>
      </c>
      <c r="C28" s="2" t="s">
        <v>412</v>
      </c>
      <c r="D28" s="2" t="s">
        <v>413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399</v>
      </c>
      <c r="L28" s="2" t="s">
        <v>414</v>
      </c>
      <c r="M28" s="3" t="s">
        <v>415</v>
      </c>
      <c r="O28" s="3" t="s">
        <v>65</v>
      </c>
      <c r="P28" s="3" t="s">
        <v>66</v>
      </c>
      <c r="R28" s="3" t="s">
        <v>67</v>
      </c>
      <c r="S28" s="4">
        <v>2</v>
      </c>
      <c r="T28" s="4">
        <v>2</v>
      </c>
      <c r="U28" s="5" t="s">
        <v>416</v>
      </c>
      <c r="V28" s="5" t="s">
        <v>416</v>
      </c>
      <c r="W28" s="5" t="s">
        <v>103</v>
      </c>
      <c r="X28" s="5" t="s">
        <v>103</v>
      </c>
      <c r="Y28" s="4">
        <v>170</v>
      </c>
      <c r="Z28" s="4">
        <v>155</v>
      </c>
      <c r="AA28" s="4">
        <v>156</v>
      </c>
      <c r="AB28" s="4">
        <v>2</v>
      </c>
      <c r="AC28" s="4">
        <v>2</v>
      </c>
      <c r="AD28" s="4">
        <v>5</v>
      </c>
      <c r="AE28" s="4">
        <v>5</v>
      </c>
      <c r="AF28" s="4">
        <v>2</v>
      </c>
      <c r="AG28" s="4">
        <v>2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  <c r="AM28" s="4">
        <v>1</v>
      </c>
      <c r="AN28" s="4">
        <v>0</v>
      </c>
      <c r="AO28" s="4">
        <v>0</v>
      </c>
      <c r="AP28" s="3" t="s">
        <v>58</v>
      </c>
      <c r="AQ28" s="3" t="s">
        <v>70</v>
      </c>
      <c r="AR28" s="6" t="str">
        <f>HYPERLINK("http://catalog.hathitrust.org/Record/007480980","HathiTrust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HYPERLINK("https://creighton-primo.hosted.exlibrisgroup.com/primo-explore/search?tab=default_tab&amp;search_scope=EVERYTHING&amp;vid=01CRU&amp;lang=en_US&amp;offset=0&amp;query=any,contains,991003695779702656","Catalog Record")</f>
        <v>Catalog Record</v>
      </c>
      <c r="AT28" s="6" t="str">
        <f>HYPERLINK("http://www.worldcat.org/oclc/1327894","WorldCat Record")</f>
        <v>WorldCat Record</v>
      </c>
      <c r="AU28" s="3" t="s">
        <v>417</v>
      </c>
      <c r="AV28" s="3" t="s">
        <v>418</v>
      </c>
      <c r="AW28" s="3" t="s">
        <v>419</v>
      </c>
      <c r="AX28" s="3" t="s">
        <v>419</v>
      </c>
      <c r="AY28" s="3" t="s">
        <v>420</v>
      </c>
      <c r="AZ28" s="3" t="s">
        <v>75</v>
      </c>
      <c r="BC28" s="3" t="s">
        <v>421</v>
      </c>
      <c r="BD28" s="3" t="s">
        <v>422</v>
      </c>
    </row>
    <row r="29" spans="1:56" ht="54" customHeight="1" x14ac:dyDescent="0.25">
      <c r="A29" s="7" t="s">
        <v>58</v>
      </c>
      <c r="B29" s="2" t="s">
        <v>423</v>
      </c>
      <c r="C29" s="2" t="s">
        <v>424</v>
      </c>
      <c r="D29" s="2" t="s">
        <v>425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K29" s="2" t="s">
        <v>426</v>
      </c>
      <c r="L29" s="2" t="s">
        <v>427</v>
      </c>
      <c r="M29" s="3" t="s">
        <v>428</v>
      </c>
      <c r="O29" s="3" t="s">
        <v>65</v>
      </c>
      <c r="P29" s="3" t="s">
        <v>294</v>
      </c>
      <c r="R29" s="3" t="s">
        <v>67</v>
      </c>
      <c r="S29" s="4">
        <v>4</v>
      </c>
      <c r="T29" s="4">
        <v>4</v>
      </c>
      <c r="U29" s="5" t="s">
        <v>429</v>
      </c>
      <c r="V29" s="5" t="s">
        <v>429</v>
      </c>
      <c r="W29" s="5" t="s">
        <v>430</v>
      </c>
      <c r="X29" s="5" t="s">
        <v>430</v>
      </c>
      <c r="Y29" s="4">
        <v>389</v>
      </c>
      <c r="Z29" s="4">
        <v>305</v>
      </c>
      <c r="AA29" s="4">
        <v>310</v>
      </c>
      <c r="AB29" s="4">
        <v>3</v>
      </c>
      <c r="AC29" s="4">
        <v>3</v>
      </c>
      <c r="AD29" s="4">
        <v>15</v>
      </c>
      <c r="AE29" s="4">
        <v>15</v>
      </c>
      <c r="AF29" s="4">
        <v>6</v>
      </c>
      <c r="AG29" s="4">
        <v>6</v>
      </c>
      <c r="AH29" s="4">
        <v>2</v>
      </c>
      <c r="AI29" s="4">
        <v>2</v>
      </c>
      <c r="AJ29" s="4">
        <v>10</v>
      </c>
      <c r="AK29" s="4">
        <v>10</v>
      </c>
      <c r="AL29" s="4">
        <v>2</v>
      </c>
      <c r="AM29" s="4">
        <v>2</v>
      </c>
      <c r="AN29" s="4">
        <v>0</v>
      </c>
      <c r="AO29" s="4">
        <v>0</v>
      </c>
      <c r="AP29" s="3" t="s">
        <v>58</v>
      </c>
      <c r="AQ29" s="3" t="s">
        <v>58</v>
      </c>
      <c r="AS29" s="6" t="str">
        <f>HYPERLINK("https://creighton-primo.hosted.exlibrisgroup.com/primo-explore/search?tab=default_tab&amp;search_scope=EVERYTHING&amp;vid=01CRU&amp;lang=en_US&amp;offset=0&amp;query=any,contains,991001772009702656","Catalog Record")</f>
        <v>Catalog Record</v>
      </c>
      <c r="AT29" s="6" t="str">
        <f>HYPERLINK("http://www.worldcat.org/oclc/22381081","WorldCat Record")</f>
        <v>WorldCat Record</v>
      </c>
      <c r="AU29" s="3" t="s">
        <v>431</v>
      </c>
      <c r="AV29" s="3" t="s">
        <v>432</v>
      </c>
      <c r="AW29" s="3" t="s">
        <v>433</v>
      </c>
      <c r="AX29" s="3" t="s">
        <v>433</v>
      </c>
      <c r="AY29" s="3" t="s">
        <v>434</v>
      </c>
      <c r="AZ29" s="3" t="s">
        <v>75</v>
      </c>
      <c r="BB29" s="3" t="s">
        <v>435</v>
      </c>
      <c r="BC29" s="3" t="s">
        <v>436</v>
      </c>
      <c r="BD29" s="3" t="s">
        <v>437</v>
      </c>
    </row>
    <row r="30" spans="1:56" ht="54" customHeight="1" x14ac:dyDescent="0.25">
      <c r="A30" s="7" t="s">
        <v>58</v>
      </c>
      <c r="B30" s="2" t="s">
        <v>438</v>
      </c>
      <c r="C30" s="2" t="s">
        <v>439</v>
      </c>
      <c r="D30" s="2" t="s">
        <v>440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441</v>
      </c>
      <c r="L30" s="2" t="s">
        <v>442</v>
      </c>
      <c r="M30" s="3" t="s">
        <v>443</v>
      </c>
      <c r="O30" s="3" t="s">
        <v>65</v>
      </c>
      <c r="P30" s="3" t="s">
        <v>66</v>
      </c>
      <c r="R30" s="3" t="s">
        <v>67</v>
      </c>
      <c r="S30" s="4">
        <v>3</v>
      </c>
      <c r="T30" s="4">
        <v>3</v>
      </c>
      <c r="U30" s="5" t="s">
        <v>444</v>
      </c>
      <c r="V30" s="5" t="s">
        <v>444</v>
      </c>
      <c r="W30" s="5" t="s">
        <v>444</v>
      </c>
      <c r="X30" s="5" t="s">
        <v>444</v>
      </c>
      <c r="Y30" s="4">
        <v>479</v>
      </c>
      <c r="Z30" s="4">
        <v>436</v>
      </c>
      <c r="AA30" s="4">
        <v>437</v>
      </c>
      <c r="AB30" s="4">
        <v>4</v>
      </c>
      <c r="AC30" s="4">
        <v>4</v>
      </c>
      <c r="AD30" s="4">
        <v>14</v>
      </c>
      <c r="AE30" s="4">
        <v>14</v>
      </c>
      <c r="AF30" s="4">
        <v>3</v>
      </c>
      <c r="AG30" s="4">
        <v>3</v>
      </c>
      <c r="AH30" s="4">
        <v>5</v>
      </c>
      <c r="AI30" s="4">
        <v>5</v>
      </c>
      <c r="AJ30" s="4">
        <v>5</v>
      </c>
      <c r="AK30" s="4">
        <v>5</v>
      </c>
      <c r="AL30" s="4">
        <v>3</v>
      </c>
      <c r="AM30" s="4">
        <v>3</v>
      </c>
      <c r="AN30" s="4">
        <v>0</v>
      </c>
      <c r="AO30" s="4">
        <v>0</v>
      </c>
      <c r="AP30" s="3" t="s">
        <v>58</v>
      </c>
      <c r="AQ30" s="3" t="s">
        <v>70</v>
      </c>
      <c r="AR30" s="6" t="str">
        <f>HYPERLINK("http://catalog.hathitrust.org/Record/004286912","HathiTrust Record")</f>
        <v>HathiTrust Record</v>
      </c>
      <c r="AS30" s="6" t="str">
        <f>HYPERLINK("https://creighton-primo.hosted.exlibrisgroup.com/primo-explore/search?tab=default_tab&amp;search_scope=EVERYTHING&amp;vid=01CRU&amp;lang=en_US&amp;offset=0&amp;query=any,contains,991004101239702656","Catalog Record")</f>
        <v>Catalog Record</v>
      </c>
      <c r="AT30" s="6" t="str">
        <f>HYPERLINK("http://www.worldcat.org/oclc/50955057","WorldCat Record")</f>
        <v>WorldCat Record</v>
      </c>
      <c r="AU30" s="3" t="s">
        <v>445</v>
      </c>
      <c r="AV30" s="3" t="s">
        <v>446</v>
      </c>
      <c r="AW30" s="3" t="s">
        <v>447</v>
      </c>
      <c r="AX30" s="3" t="s">
        <v>447</v>
      </c>
      <c r="AY30" s="3" t="s">
        <v>448</v>
      </c>
      <c r="AZ30" s="3" t="s">
        <v>75</v>
      </c>
      <c r="BB30" s="3" t="s">
        <v>449</v>
      </c>
      <c r="BC30" s="3" t="s">
        <v>450</v>
      </c>
      <c r="BD30" s="3" t="s">
        <v>451</v>
      </c>
    </row>
    <row r="31" spans="1:56" ht="54" customHeight="1" x14ac:dyDescent="0.25">
      <c r="A31" s="7" t="s">
        <v>58</v>
      </c>
      <c r="B31" s="2" t="s">
        <v>452</v>
      </c>
      <c r="C31" s="2" t="s">
        <v>453</v>
      </c>
      <c r="D31" s="2" t="s">
        <v>454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455</v>
      </c>
      <c r="L31" s="2" t="s">
        <v>456</v>
      </c>
      <c r="M31" s="3" t="s">
        <v>457</v>
      </c>
      <c r="N31" s="2" t="s">
        <v>250</v>
      </c>
      <c r="O31" s="3" t="s">
        <v>65</v>
      </c>
      <c r="P31" s="3" t="s">
        <v>66</v>
      </c>
      <c r="Q31" s="2" t="s">
        <v>458</v>
      </c>
      <c r="R31" s="3" t="s">
        <v>67</v>
      </c>
      <c r="S31" s="4">
        <v>11</v>
      </c>
      <c r="T31" s="4">
        <v>11</v>
      </c>
      <c r="U31" s="5" t="s">
        <v>459</v>
      </c>
      <c r="V31" s="5" t="s">
        <v>459</v>
      </c>
      <c r="W31" s="5" t="s">
        <v>460</v>
      </c>
      <c r="X31" s="5" t="s">
        <v>460</v>
      </c>
      <c r="Y31" s="4">
        <v>390</v>
      </c>
      <c r="Z31" s="4">
        <v>343</v>
      </c>
      <c r="AA31" s="4">
        <v>345</v>
      </c>
      <c r="AB31" s="4">
        <v>3</v>
      </c>
      <c r="AC31" s="4">
        <v>3</v>
      </c>
      <c r="AD31" s="4">
        <v>6</v>
      </c>
      <c r="AE31" s="4">
        <v>6</v>
      </c>
      <c r="AF31" s="4">
        <v>2</v>
      </c>
      <c r="AG31" s="4">
        <v>2</v>
      </c>
      <c r="AH31" s="4">
        <v>1</v>
      </c>
      <c r="AI31" s="4">
        <v>1</v>
      </c>
      <c r="AJ31" s="4">
        <v>2</v>
      </c>
      <c r="AK31" s="4">
        <v>2</v>
      </c>
      <c r="AL31" s="4">
        <v>2</v>
      </c>
      <c r="AM31" s="4">
        <v>2</v>
      </c>
      <c r="AN31" s="4">
        <v>0</v>
      </c>
      <c r="AO31" s="4">
        <v>0</v>
      </c>
      <c r="AP31" s="3" t="s">
        <v>58</v>
      </c>
      <c r="AQ31" s="3" t="s">
        <v>70</v>
      </c>
      <c r="AR31" s="6" t="str">
        <f>HYPERLINK("http://catalog.hathitrust.org/Record/000685779","HathiTrust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HYPERLINK("https://creighton-primo.hosted.exlibrisgroup.com/primo-explore/search?tab=default_tab&amp;search_scope=EVERYTHING&amp;vid=01CRU&amp;lang=en_US&amp;offset=0&amp;query=any,contains,991004899389702656","Catalog Record")</f>
        <v>Catalog Record</v>
      </c>
      <c r="AT31" s="6" t="str">
        <f>HYPERLINK("http://www.worldcat.org/oclc/5917149","WorldCat Record")</f>
        <v>WorldCat Record</v>
      </c>
      <c r="AU31" s="3" t="s">
        <v>461</v>
      </c>
      <c r="AV31" s="3" t="s">
        <v>462</v>
      </c>
      <c r="AW31" s="3" t="s">
        <v>463</v>
      </c>
      <c r="AX31" s="3" t="s">
        <v>463</v>
      </c>
      <c r="AY31" s="3" t="s">
        <v>464</v>
      </c>
      <c r="AZ31" s="3" t="s">
        <v>75</v>
      </c>
      <c r="BB31" s="3" t="s">
        <v>465</v>
      </c>
      <c r="BC31" s="3" t="s">
        <v>466</v>
      </c>
      <c r="BD31" s="3" t="s">
        <v>467</v>
      </c>
    </row>
    <row r="32" spans="1:56" ht="54" customHeight="1" x14ac:dyDescent="0.25">
      <c r="A32" s="7" t="s">
        <v>58</v>
      </c>
      <c r="B32" s="2" t="s">
        <v>468</v>
      </c>
      <c r="C32" s="2" t="s">
        <v>469</v>
      </c>
      <c r="D32" s="2" t="s">
        <v>470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K32" s="2" t="s">
        <v>471</v>
      </c>
      <c r="L32" s="2" t="s">
        <v>472</v>
      </c>
      <c r="M32" s="3" t="s">
        <v>473</v>
      </c>
      <c r="O32" s="3" t="s">
        <v>65</v>
      </c>
      <c r="P32" s="3" t="s">
        <v>474</v>
      </c>
      <c r="Q32" s="2" t="s">
        <v>475</v>
      </c>
      <c r="R32" s="3" t="s">
        <v>67</v>
      </c>
      <c r="S32" s="4">
        <v>3</v>
      </c>
      <c r="T32" s="4">
        <v>3</v>
      </c>
      <c r="U32" s="5" t="s">
        <v>476</v>
      </c>
      <c r="V32" s="5" t="s">
        <v>476</v>
      </c>
      <c r="W32" s="5" t="s">
        <v>477</v>
      </c>
      <c r="X32" s="5" t="s">
        <v>477</v>
      </c>
      <c r="Y32" s="4">
        <v>53</v>
      </c>
      <c r="Z32" s="4">
        <v>53</v>
      </c>
      <c r="AA32" s="4">
        <v>129</v>
      </c>
      <c r="AB32" s="4">
        <v>2</v>
      </c>
      <c r="AC32" s="4">
        <v>2</v>
      </c>
      <c r="AD32" s="4">
        <v>4</v>
      </c>
      <c r="AE32" s="4">
        <v>7</v>
      </c>
      <c r="AF32" s="4">
        <v>1</v>
      </c>
      <c r="AG32" s="4">
        <v>3</v>
      </c>
      <c r="AH32" s="4">
        <v>1</v>
      </c>
      <c r="AI32" s="4">
        <v>1</v>
      </c>
      <c r="AJ32" s="4">
        <v>1</v>
      </c>
      <c r="AK32" s="4">
        <v>4</v>
      </c>
      <c r="AL32" s="4">
        <v>1</v>
      </c>
      <c r="AM32" s="4">
        <v>1</v>
      </c>
      <c r="AN32" s="4">
        <v>0</v>
      </c>
      <c r="AO32" s="4">
        <v>0</v>
      </c>
      <c r="AP32" s="3" t="s">
        <v>58</v>
      </c>
      <c r="AQ32" s="3" t="s">
        <v>58</v>
      </c>
      <c r="AS32" s="6" t="str">
        <f>HYPERLINK("https://creighton-primo.hosted.exlibrisgroup.com/primo-explore/search?tab=default_tab&amp;search_scope=EVERYTHING&amp;vid=01CRU&amp;lang=en_US&amp;offset=0&amp;query=any,contains,991000347489702656","Catalog Record")</f>
        <v>Catalog Record</v>
      </c>
      <c r="AT32" s="6" t="str">
        <f>HYPERLINK("http://www.worldcat.org/oclc/10297090","WorldCat Record")</f>
        <v>WorldCat Record</v>
      </c>
      <c r="AU32" s="3" t="s">
        <v>478</v>
      </c>
      <c r="AV32" s="3" t="s">
        <v>479</v>
      </c>
      <c r="AW32" s="3" t="s">
        <v>480</v>
      </c>
      <c r="AX32" s="3" t="s">
        <v>480</v>
      </c>
      <c r="AY32" s="3" t="s">
        <v>481</v>
      </c>
      <c r="AZ32" s="3" t="s">
        <v>75</v>
      </c>
      <c r="BC32" s="3" t="s">
        <v>482</v>
      </c>
      <c r="BD32" s="3" t="s">
        <v>483</v>
      </c>
    </row>
    <row r="33" spans="1:56" ht="54" customHeight="1" x14ac:dyDescent="0.25">
      <c r="A33" s="7" t="s">
        <v>58</v>
      </c>
      <c r="B33" s="2" t="s">
        <v>484</v>
      </c>
      <c r="C33" s="2" t="s">
        <v>485</v>
      </c>
      <c r="D33" s="2" t="s">
        <v>486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K33" s="2" t="s">
        <v>487</v>
      </c>
      <c r="L33" s="2" t="s">
        <v>488</v>
      </c>
      <c r="M33" s="3" t="s">
        <v>489</v>
      </c>
      <c r="O33" s="3" t="s">
        <v>65</v>
      </c>
      <c r="P33" s="3" t="s">
        <v>490</v>
      </c>
      <c r="R33" s="3" t="s">
        <v>67</v>
      </c>
      <c r="S33" s="4">
        <v>11</v>
      </c>
      <c r="T33" s="4">
        <v>11</v>
      </c>
      <c r="U33" s="5" t="s">
        <v>491</v>
      </c>
      <c r="V33" s="5" t="s">
        <v>491</v>
      </c>
      <c r="W33" s="5" t="s">
        <v>492</v>
      </c>
      <c r="X33" s="5" t="s">
        <v>492</v>
      </c>
      <c r="Y33" s="4">
        <v>513</v>
      </c>
      <c r="Z33" s="4">
        <v>418</v>
      </c>
      <c r="AA33" s="4">
        <v>419</v>
      </c>
      <c r="AB33" s="4">
        <v>4</v>
      </c>
      <c r="AC33" s="4">
        <v>4</v>
      </c>
      <c r="AD33" s="4">
        <v>18</v>
      </c>
      <c r="AE33" s="4">
        <v>18</v>
      </c>
      <c r="AF33" s="4">
        <v>6</v>
      </c>
      <c r="AG33" s="4">
        <v>6</v>
      </c>
      <c r="AH33" s="4">
        <v>5</v>
      </c>
      <c r="AI33" s="4">
        <v>5</v>
      </c>
      <c r="AJ33" s="4">
        <v>9</v>
      </c>
      <c r="AK33" s="4">
        <v>9</v>
      </c>
      <c r="AL33" s="4">
        <v>2</v>
      </c>
      <c r="AM33" s="4">
        <v>2</v>
      </c>
      <c r="AN33" s="4">
        <v>0</v>
      </c>
      <c r="AO33" s="4">
        <v>0</v>
      </c>
      <c r="AP33" s="3" t="s">
        <v>58</v>
      </c>
      <c r="AQ33" s="3" t="s">
        <v>70</v>
      </c>
      <c r="AR33" s="6" t="str">
        <f>HYPERLINK("http://catalog.hathitrust.org/Record/002562279","HathiTrust Record")</f>
        <v>HathiTrust Record</v>
      </c>
      <c r="AS33" s="6" t="str">
        <f>HYPERLINK("https://creighton-primo.hosted.exlibrisgroup.com/primo-explore/search?tab=default_tab&amp;search_scope=EVERYTHING&amp;vid=01CRU&amp;lang=en_US&amp;offset=0&amp;query=any,contains,991001970079702656","Catalog Record")</f>
        <v>Catalog Record</v>
      </c>
      <c r="AT33" s="6" t="str">
        <f>HYPERLINK("http://www.worldcat.org/oclc/25007518","WorldCat Record")</f>
        <v>WorldCat Record</v>
      </c>
      <c r="AU33" s="3" t="s">
        <v>493</v>
      </c>
      <c r="AV33" s="3" t="s">
        <v>494</v>
      </c>
      <c r="AW33" s="3" t="s">
        <v>495</v>
      </c>
      <c r="AX33" s="3" t="s">
        <v>495</v>
      </c>
      <c r="AY33" s="3" t="s">
        <v>496</v>
      </c>
      <c r="AZ33" s="3" t="s">
        <v>75</v>
      </c>
      <c r="BB33" s="3" t="s">
        <v>497</v>
      </c>
      <c r="BC33" s="3" t="s">
        <v>498</v>
      </c>
      <c r="BD33" s="3" t="s">
        <v>499</v>
      </c>
    </row>
    <row r="34" spans="1:56" ht="54" customHeight="1" x14ac:dyDescent="0.25">
      <c r="A34" s="7" t="s">
        <v>58</v>
      </c>
      <c r="B34" s="2" t="s">
        <v>500</v>
      </c>
      <c r="C34" s="2" t="s">
        <v>501</v>
      </c>
      <c r="D34" s="2" t="s">
        <v>502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503</v>
      </c>
      <c r="L34" s="2" t="s">
        <v>504</v>
      </c>
      <c r="M34" s="3" t="s">
        <v>505</v>
      </c>
      <c r="O34" s="3" t="s">
        <v>65</v>
      </c>
      <c r="P34" s="3" t="s">
        <v>66</v>
      </c>
      <c r="R34" s="3" t="s">
        <v>67</v>
      </c>
      <c r="S34" s="4">
        <v>5</v>
      </c>
      <c r="T34" s="4">
        <v>5</v>
      </c>
      <c r="U34" s="5" t="s">
        <v>491</v>
      </c>
      <c r="V34" s="5" t="s">
        <v>491</v>
      </c>
      <c r="W34" s="5" t="s">
        <v>506</v>
      </c>
      <c r="X34" s="5" t="s">
        <v>506</v>
      </c>
      <c r="Y34" s="4">
        <v>624</v>
      </c>
      <c r="Z34" s="4">
        <v>545</v>
      </c>
      <c r="AA34" s="4">
        <v>547</v>
      </c>
      <c r="AB34" s="4">
        <v>6</v>
      </c>
      <c r="AC34" s="4">
        <v>6</v>
      </c>
      <c r="AD34" s="4">
        <v>14</v>
      </c>
      <c r="AE34" s="4">
        <v>14</v>
      </c>
      <c r="AF34" s="4">
        <v>4</v>
      </c>
      <c r="AG34" s="4">
        <v>4</v>
      </c>
      <c r="AH34" s="4">
        <v>2</v>
      </c>
      <c r="AI34" s="4">
        <v>2</v>
      </c>
      <c r="AJ34" s="4">
        <v>5</v>
      </c>
      <c r="AK34" s="4">
        <v>5</v>
      </c>
      <c r="AL34" s="4">
        <v>4</v>
      </c>
      <c r="AM34" s="4">
        <v>4</v>
      </c>
      <c r="AN34" s="4">
        <v>0</v>
      </c>
      <c r="AO34" s="4">
        <v>0</v>
      </c>
      <c r="AP34" s="3" t="s">
        <v>58</v>
      </c>
      <c r="AQ34" s="3" t="s">
        <v>58</v>
      </c>
      <c r="AS34" s="6" t="str">
        <f>HYPERLINK("https://creighton-primo.hosted.exlibrisgroup.com/primo-explore/search?tab=default_tab&amp;search_scope=EVERYTHING&amp;vid=01CRU&amp;lang=en_US&amp;offset=0&amp;query=any,contains,991000188449702656","Catalog Record")</f>
        <v>Catalog Record</v>
      </c>
      <c r="AT34" s="6" t="str">
        <f>HYPERLINK("http://www.worldcat.org/oclc/63294","WorldCat Record")</f>
        <v>WorldCat Record</v>
      </c>
      <c r="AU34" s="3" t="s">
        <v>507</v>
      </c>
      <c r="AV34" s="3" t="s">
        <v>508</v>
      </c>
      <c r="AW34" s="3" t="s">
        <v>509</v>
      </c>
      <c r="AX34" s="3" t="s">
        <v>509</v>
      </c>
      <c r="AY34" s="3" t="s">
        <v>510</v>
      </c>
      <c r="AZ34" s="3" t="s">
        <v>75</v>
      </c>
      <c r="BC34" s="3" t="s">
        <v>511</v>
      </c>
      <c r="BD34" s="3" t="s">
        <v>512</v>
      </c>
    </row>
    <row r="35" spans="1:56" ht="54" customHeight="1" x14ac:dyDescent="0.25">
      <c r="A35" s="7" t="s">
        <v>58</v>
      </c>
      <c r="B35" s="2" t="s">
        <v>513</v>
      </c>
      <c r="C35" s="2" t="s">
        <v>514</v>
      </c>
      <c r="D35" s="2" t="s">
        <v>515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516</v>
      </c>
      <c r="L35" s="2" t="s">
        <v>517</v>
      </c>
      <c r="M35" s="3" t="s">
        <v>372</v>
      </c>
      <c r="O35" s="3" t="s">
        <v>65</v>
      </c>
      <c r="P35" s="3" t="s">
        <v>66</v>
      </c>
      <c r="R35" s="3" t="s">
        <v>67</v>
      </c>
      <c r="S35" s="4">
        <v>3</v>
      </c>
      <c r="T35" s="4">
        <v>3</v>
      </c>
      <c r="U35" s="5" t="s">
        <v>518</v>
      </c>
      <c r="V35" s="5" t="s">
        <v>518</v>
      </c>
      <c r="W35" s="5" t="s">
        <v>519</v>
      </c>
      <c r="X35" s="5" t="s">
        <v>519</v>
      </c>
      <c r="Y35" s="4">
        <v>737</v>
      </c>
      <c r="Z35" s="4">
        <v>669</v>
      </c>
      <c r="AA35" s="4">
        <v>674</v>
      </c>
      <c r="AB35" s="4">
        <v>6</v>
      </c>
      <c r="AC35" s="4">
        <v>6</v>
      </c>
      <c r="AD35" s="4">
        <v>18</v>
      </c>
      <c r="AE35" s="4">
        <v>18</v>
      </c>
      <c r="AF35" s="4">
        <v>6</v>
      </c>
      <c r="AG35" s="4">
        <v>6</v>
      </c>
      <c r="AH35" s="4">
        <v>4</v>
      </c>
      <c r="AI35" s="4">
        <v>4</v>
      </c>
      <c r="AJ35" s="4">
        <v>8</v>
      </c>
      <c r="AK35" s="4">
        <v>8</v>
      </c>
      <c r="AL35" s="4">
        <v>4</v>
      </c>
      <c r="AM35" s="4">
        <v>4</v>
      </c>
      <c r="AN35" s="4">
        <v>0</v>
      </c>
      <c r="AO35" s="4">
        <v>0</v>
      </c>
      <c r="AP35" s="3" t="s">
        <v>58</v>
      </c>
      <c r="AQ35" s="3" t="s">
        <v>58</v>
      </c>
      <c r="AS35" s="6" t="str">
        <f>HYPERLINK("https://creighton-primo.hosted.exlibrisgroup.com/primo-explore/search?tab=default_tab&amp;search_scope=EVERYTHING&amp;vid=01CRU&amp;lang=en_US&amp;offset=0&amp;query=any,contains,991003012759702656","Catalog Record")</f>
        <v>Catalog Record</v>
      </c>
      <c r="AT35" s="6" t="str">
        <f>HYPERLINK("http://www.worldcat.org/oclc/579110","WorldCat Record")</f>
        <v>WorldCat Record</v>
      </c>
      <c r="AU35" s="3" t="s">
        <v>520</v>
      </c>
      <c r="AV35" s="3" t="s">
        <v>521</v>
      </c>
      <c r="AW35" s="3" t="s">
        <v>522</v>
      </c>
      <c r="AX35" s="3" t="s">
        <v>522</v>
      </c>
      <c r="AY35" s="3" t="s">
        <v>523</v>
      </c>
      <c r="AZ35" s="3" t="s">
        <v>75</v>
      </c>
      <c r="BB35" s="3" t="s">
        <v>524</v>
      </c>
      <c r="BC35" s="3" t="s">
        <v>525</v>
      </c>
      <c r="BD35" s="3" t="s">
        <v>526</v>
      </c>
    </row>
    <row r="36" spans="1:56" ht="54" customHeight="1" x14ac:dyDescent="0.25">
      <c r="A36" s="7" t="s">
        <v>58</v>
      </c>
      <c r="B36" s="2" t="s">
        <v>527</v>
      </c>
      <c r="C36" s="2" t="s">
        <v>528</v>
      </c>
      <c r="D36" s="2" t="s">
        <v>529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530</v>
      </c>
      <c r="L36" s="2" t="s">
        <v>531</v>
      </c>
      <c r="M36" s="3" t="s">
        <v>457</v>
      </c>
      <c r="O36" s="3" t="s">
        <v>65</v>
      </c>
      <c r="P36" s="3" t="s">
        <v>66</v>
      </c>
      <c r="R36" s="3" t="s">
        <v>67</v>
      </c>
      <c r="S36" s="4">
        <v>1</v>
      </c>
      <c r="T36" s="4">
        <v>1</v>
      </c>
      <c r="U36" s="5" t="s">
        <v>532</v>
      </c>
      <c r="V36" s="5" t="s">
        <v>532</v>
      </c>
      <c r="W36" s="5" t="s">
        <v>533</v>
      </c>
      <c r="X36" s="5" t="s">
        <v>533</v>
      </c>
      <c r="Y36" s="4">
        <v>878</v>
      </c>
      <c r="Z36" s="4">
        <v>767</v>
      </c>
      <c r="AA36" s="4">
        <v>771</v>
      </c>
      <c r="AB36" s="4">
        <v>4</v>
      </c>
      <c r="AC36" s="4">
        <v>4</v>
      </c>
      <c r="AD36" s="4">
        <v>25</v>
      </c>
      <c r="AE36" s="4">
        <v>25</v>
      </c>
      <c r="AF36" s="4">
        <v>14</v>
      </c>
      <c r="AG36" s="4">
        <v>14</v>
      </c>
      <c r="AH36" s="4">
        <v>5</v>
      </c>
      <c r="AI36" s="4">
        <v>5</v>
      </c>
      <c r="AJ36" s="4">
        <v>10</v>
      </c>
      <c r="AK36" s="4">
        <v>10</v>
      </c>
      <c r="AL36" s="4">
        <v>2</v>
      </c>
      <c r="AM36" s="4">
        <v>2</v>
      </c>
      <c r="AN36" s="4">
        <v>1</v>
      </c>
      <c r="AO36" s="4">
        <v>1</v>
      </c>
      <c r="AP36" s="3" t="s">
        <v>58</v>
      </c>
      <c r="AQ36" s="3" t="s">
        <v>70</v>
      </c>
      <c r="AR36" s="6" t="str">
        <f>HYPERLINK("http://catalog.hathitrust.org/Record/000025726","HathiTrust Record")</f>
        <v>HathiTrust Record</v>
      </c>
      <c r="AS36" s="6" t="str">
        <f>HYPERLINK("https://creighton-primo.hosted.exlibrisgroup.com/primo-explore/search?tab=default_tab&amp;search_scope=EVERYTHING&amp;vid=01CRU&amp;lang=en_US&amp;offset=0&amp;query=any,contains,991004779399702656","Catalog Record")</f>
        <v>Catalog Record</v>
      </c>
      <c r="AT36" s="6" t="str">
        <f>HYPERLINK("http://www.worldcat.org/oclc/5102085","WorldCat Record")</f>
        <v>WorldCat Record</v>
      </c>
      <c r="AU36" s="3" t="s">
        <v>534</v>
      </c>
      <c r="AV36" s="3" t="s">
        <v>535</v>
      </c>
      <c r="AW36" s="3" t="s">
        <v>536</v>
      </c>
      <c r="AX36" s="3" t="s">
        <v>536</v>
      </c>
      <c r="AY36" s="3" t="s">
        <v>537</v>
      </c>
      <c r="AZ36" s="3" t="s">
        <v>75</v>
      </c>
      <c r="BB36" s="3" t="s">
        <v>538</v>
      </c>
      <c r="BC36" s="3" t="s">
        <v>539</v>
      </c>
      <c r="BD36" s="3" t="s">
        <v>540</v>
      </c>
    </row>
    <row r="37" spans="1:56" ht="54" customHeight="1" x14ac:dyDescent="0.25">
      <c r="A37" s="7" t="s">
        <v>58</v>
      </c>
      <c r="B37" s="2" t="s">
        <v>541</v>
      </c>
      <c r="C37" s="2" t="s">
        <v>542</v>
      </c>
      <c r="D37" s="2" t="s">
        <v>543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K37" s="2" t="s">
        <v>544</v>
      </c>
      <c r="L37" s="2" t="s">
        <v>545</v>
      </c>
      <c r="M37" s="3" t="s">
        <v>546</v>
      </c>
      <c r="O37" s="3" t="s">
        <v>65</v>
      </c>
      <c r="P37" s="3" t="s">
        <v>547</v>
      </c>
      <c r="R37" s="3" t="s">
        <v>67</v>
      </c>
      <c r="S37" s="4">
        <v>1</v>
      </c>
      <c r="T37" s="4">
        <v>1</v>
      </c>
      <c r="U37" s="5" t="s">
        <v>548</v>
      </c>
      <c r="V37" s="5" t="s">
        <v>548</v>
      </c>
      <c r="W37" s="5" t="s">
        <v>477</v>
      </c>
      <c r="X37" s="5" t="s">
        <v>477</v>
      </c>
      <c r="Y37" s="4">
        <v>306</v>
      </c>
      <c r="Z37" s="4">
        <v>276</v>
      </c>
      <c r="AA37" s="4">
        <v>279</v>
      </c>
      <c r="AB37" s="4">
        <v>4</v>
      </c>
      <c r="AC37" s="4">
        <v>4</v>
      </c>
      <c r="AD37" s="4">
        <v>8</v>
      </c>
      <c r="AE37" s="4">
        <v>8</v>
      </c>
      <c r="AF37" s="4">
        <v>3</v>
      </c>
      <c r="AG37" s="4">
        <v>3</v>
      </c>
      <c r="AH37" s="4">
        <v>1</v>
      </c>
      <c r="AI37" s="4">
        <v>1</v>
      </c>
      <c r="AJ37" s="4">
        <v>4</v>
      </c>
      <c r="AK37" s="4">
        <v>4</v>
      </c>
      <c r="AL37" s="4">
        <v>2</v>
      </c>
      <c r="AM37" s="4">
        <v>2</v>
      </c>
      <c r="AN37" s="4">
        <v>0</v>
      </c>
      <c r="AO37" s="4">
        <v>0</v>
      </c>
      <c r="AP37" s="3" t="s">
        <v>58</v>
      </c>
      <c r="AQ37" s="3" t="s">
        <v>70</v>
      </c>
      <c r="AR37" s="6" t="str">
        <f>HYPERLINK("http://catalog.hathitrust.org/Record/000631334","HathiTrust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HYPERLINK("https://creighton-primo.hosted.exlibrisgroup.com/primo-explore/search?tab=default_tab&amp;search_scope=EVERYTHING&amp;vid=01CRU&amp;lang=en_US&amp;offset=0&amp;query=any,contains,991000844699702656","Catalog Record")</f>
        <v>Catalog Record</v>
      </c>
      <c r="AT37" s="6" t="str">
        <f>HYPERLINK("http://www.worldcat.org/oclc/13558924","WorldCat Record")</f>
        <v>WorldCat Record</v>
      </c>
      <c r="AU37" s="3" t="s">
        <v>549</v>
      </c>
      <c r="AV37" s="3" t="s">
        <v>550</v>
      </c>
      <c r="AW37" s="3" t="s">
        <v>551</v>
      </c>
      <c r="AX37" s="3" t="s">
        <v>551</v>
      </c>
      <c r="AY37" s="3" t="s">
        <v>552</v>
      </c>
      <c r="AZ37" s="3" t="s">
        <v>75</v>
      </c>
      <c r="BB37" s="3" t="s">
        <v>553</v>
      </c>
      <c r="BC37" s="3" t="s">
        <v>554</v>
      </c>
      <c r="BD37" s="3" t="s">
        <v>555</v>
      </c>
    </row>
    <row r="38" spans="1:56" ht="54" customHeight="1" x14ac:dyDescent="0.25">
      <c r="A38" s="7" t="s">
        <v>58</v>
      </c>
      <c r="B38" s="2" t="s">
        <v>556</v>
      </c>
      <c r="C38" s="2" t="s">
        <v>557</v>
      </c>
      <c r="D38" s="2" t="s">
        <v>558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K38" s="2" t="s">
        <v>559</v>
      </c>
      <c r="L38" s="2" t="s">
        <v>560</v>
      </c>
      <c r="M38" s="3" t="s">
        <v>561</v>
      </c>
      <c r="O38" s="3" t="s">
        <v>65</v>
      </c>
      <c r="P38" s="3" t="s">
        <v>66</v>
      </c>
      <c r="R38" s="3" t="s">
        <v>67</v>
      </c>
      <c r="S38" s="4">
        <v>4</v>
      </c>
      <c r="T38" s="4">
        <v>4</v>
      </c>
      <c r="U38" s="5" t="s">
        <v>562</v>
      </c>
      <c r="V38" s="5" t="s">
        <v>562</v>
      </c>
      <c r="W38" s="5" t="s">
        <v>563</v>
      </c>
      <c r="X38" s="5" t="s">
        <v>563</v>
      </c>
      <c r="Y38" s="4">
        <v>585</v>
      </c>
      <c r="Z38" s="4">
        <v>533</v>
      </c>
      <c r="AA38" s="4">
        <v>709</v>
      </c>
      <c r="AB38" s="4">
        <v>6</v>
      </c>
      <c r="AC38" s="4">
        <v>6</v>
      </c>
      <c r="AD38" s="4">
        <v>13</v>
      </c>
      <c r="AE38" s="4">
        <v>19</v>
      </c>
      <c r="AF38" s="4">
        <v>5</v>
      </c>
      <c r="AG38" s="4">
        <v>7</v>
      </c>
      <c r="AH38" s="4">
        <v>3</v>
      </c>
      <c r="AI38" s="4">
        <v>6</v>
      </c>
      <c r="AJ38" s="4">
        <v>3</v>
      </c>
      <c r="AK38" s="4">
        <v>6</v>
      </c>
      <c r="AL38" s="4">
        <v>4</v>
      </c>
      <c r="AM38" s="4">
        <v>4</v>
      </c>
      <c r="AN38" s="4">
        <v>0</v>
      </c>
      <c r="AO38" s="4">
        <v>0</v>
      </c>
      <c r="AP38" s="3" t="s">
        <v>58</v>
      </c>
      <c r="AQ38" s="3" t="s">
        <v>58</v>
      </c>
      <c r="AS38" s="6" t="str">
        <f>HYPERLINK("https://creighton-primo.hosted.exlibrisgroup.com/primo-explore/search?tab=default_tab&amp;search_scope=EVERYTHING&amp;vid=01CRU&amp;lang=en_US&amp;offset=0&amp;query=any,contains,991001907199702656","Catalog Record")</f>
        <v>Catalog Record</v>
      </c>
      <c r="AT38" s="6" t="str">
        <f>HYPERLINK("http://www.worldcat.org/oclc/240907","WorldCat Record")</f>
        <v>WorldCat Record</v>
      </c>
      <c r="AU38" s="3" t="s">
        <v>564</v>
      </c>
      <c r="AV38" s="3" t="s">
        <v>565</v>
      </c>
      <c r="AW38" s="3" t="s">
        <v>566</v>
      </c>
      <c r="AX38" s="3" t="s">
        <v>566</v>
      </c>
      <c r="AY38" s="3" t="s">
        <v>567</v>
      </c>
      <c r="AZ38" s="3" t="s">
        <v>75</v>
      </c>
      <c r="BB38" s="3" t="s">
        <v>568</v>
      </c>
      <c r="BC38" s="3" t="s">
        <v>569</v>
      </c>
      <c r="BD38" s="3" t="s">
        <v>570</v>
      </c>
    </row>
    <row r="39" spans="1:56" ht="54" customHeight="1" x14ac:dyDescent="0.25">
      <c r="A39" s="7" t="s">
        <v>58</v>
      </c>
      <c r="B39" s="2" t="s">
        <v>571</v>
      </c>
      <c r="C39" s="2" t="s">
        <v>572</v>
      </c>
      <c r="D39" s="2" t="s">
        <v>573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L39" s="2" t="s">
        <v>574</v>
      </c>
      <c r="M39" s="3" t="s">
        <v>401</v>
      </c>
      <c r="O39" s="3" t="s">
        <v>65</v>
      </c>
      <c r="P39" s="3" t="s">
        <v>66</v>
      </c>
      <c r="R39" s="3" t="s">
        <v>67</v>
      </c>
      <c r="S39" s="4">
        <v>4</v>
      </c>
      <c r="T39" s="4">
        <v>4</v>
      </c>
      <c r="U39" s="5" t="s">
        <v>575</v>
      </c>
      <c r="V39" s="5" t="s">
        <v>575</v>
      </c>
      <c r="W39" s="5" t="s">
        <v>576</v>
      </c>
      <c r="X39" s="5" t="s">
        <v>576</v>
      </c>
      <c r="Y39" s="4">
        <v>1110</v>
      </c>
      <c r="Z39" s="4">
        <v>1049</v>
      </c>
      <c r="AA39" s="4">
        <v>1049</v>
      </c>
      <c r="AB39" s="4">
        <v>5</v>
      </c>
      <c r="AC39" s="4">
        <v>5</v>
      </c>
      <c r="AD39" s="4">
        <v>19</v>
      </c>
      <c r="AE39" s="4">
        <v>19</v>
      </c>
      <c r="AF39" s="4">
        <v>8</v>
      </c>
      <c r="AG39" s="4">
        <v>8</v>
      </c>
      <c r="AH39" s="4">
        <v>5</v>
      </c>
      <c r="AI39" s="4">
        <v>5</v>
      </c>
      <c r="AJ39" s="4">
        <v>9</v>
      </c>
      <c r="AK39" s="4">
        <v>9</v>
      </c>
      <c r="AL39" s="4">
        <v>2</v>
      </c>
      <c r="AM39" s="4">
        <v>2</v>
      </c>
      <c r="AN39" s="4">
        <v>0</v>
      </c>
      <c r="AO39" s="4">
        <v>0</v>
      </c>
      <c r="AP39" s="3" t="s">
        <v>58</v>
      </c>
      <c r="AQ39" s="3" t="s">
        <v>58</v>
      </c>
      <c r="AS39" s="6" t="str">
        <f>HYPERLINK("https://creighton-primo.hosted.exlibrisgroup.com/primo-explore/search?tab=default_tab&amp;search_scope=EVERYTHING&amp;vid=01CRU&amp;lang=en_US&amp;offset=0&amp;query=any,contains,991003662599702656","Catalog Record")</f>
        <v>Catalog Record</v>
      </c>
      <c r="AT39" s="6" t="str">
        <f>HYPERLINK("http://www.worldcat.org/oclc/1273446","WorldCat Record")</f>
        <v>WorldCat Record</v>
      </c>
      <c r="AU39" s="3" t="s">
        <v>577</v>
      </c>
      <c r="AV39" s="3" t="s">
        <v>578</v>
      </c>
      <c r="AW39" s="3" t="s">
        <v>579</v>
      </c>
      <c r="AX39" s="3" t="s">
        <v>579</v>
      </c>
      <c r="AY39" s="3" t="s">
        <v>580</v>
      </c>
      <c r="AZ39" s="3" t="s">
        <v>75</v>
      </c>
      <c r="BB39" s="3" t="s">
        <v>581</v>
      </c>
      <c r="BC39" s="3" t="s">
        <v>582</v>
      </c>
      <c r="BD39" s="3" t="s">
        <v>583</v>
      </c>
    </row>
    <row r="40" spans="1:56" ht="54" customHeight="1" x14ac:dyDescent="0.25">
      <c r="A40" s="7" t="s">
        <v>58</v>
      </c>
      <c r="B40" s="2" t="s">
        <v>584</v>
      </c>
      <c r="C40" s="2" t="s">
        <v>585</v>
      </c>
      <c r="D40" s="2" t="s">
        <v>586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K40" s="2" t="s">
        <v>587</v>
      </c>
      <c r="L40" s="2" t="s">
        <v>588</v>
      </c>
      <c r="M40" s="3" t="s">
        <v>589</v>
      </c>
      <c r="N40" s="2" t="s">
        <v>250</v>
      </c>
      <c r="O40" s="3" t="s">
        <v>65</v>
      </c>
      <c r="P40" s="3" t="s">
        <v>66</v>
      </c>
      <c r="R40" s="3" t="s">
        <v>67</v>
      </c>
      <c r="S40" s="4">
        <v>2</v>
      </c>
      <c r="T40" s="4">
        <v>2</v>
      </c>
      <c r="U40" s="5" t="s">
        <v>590</v>
      </c>
      <c r="V40" s="5" t="s">
        <v>590</v>
      </c>
      <c r="W40" s="5" t="s">
        <v>591</v>
      </c>
      <c r="X40" s="5" t="s">
        <v>591</v>
      </c>
      <c r="Y40" s="4">
        <v>622</v>
      </c>
      <c r="Z40" s="4">
        <v>569</v>
      </c>
      <c r="AA40" s="4">
        <v>582</v>
      </c>
      <c r="AB40" s="4">
        <v>3</v>
      </c>
      <c r="AC40" s="4">
        <v>3</v>
      </c>
      <c r="AD40" s="4">
        <v>14</v>
      </c>
      <c r="AE40" s="4">
        <v>14</v>
      </c>
      <c r="AF40" s="4">
        <v>4</v>
      </c>
      <c r="AG40" s="4">
        <v>4</v>
      </c>
      <c r="AH40" s="4">
        <v>2</v>
      </c>
      <c r="AI40" s="4">
        <v>2</v>
      </c>
      <c r="AJ40" s="4">
        <v>11</v>
      </c>
      <c r="AK40" s="4">
        <v>11</v>
      </c>
      <c r="AL40" s="4">
        <v>1</v>
      </c>
      <c r="AM40" s="4">
        <v>1</v>
      </c>
      <c r="AN40" s="4">
        <v>0</v>
      </c>
      <c r="AO40" s="4">
        <v>0</v>
      </c>
      <c r="AP40" s="3" t="s">
        <v>58</v>
      </c>
      <c r="AQ40" s="3" t="s">
        <v>70</v>
      </c>
      <c r="AR40" s="6" t="str">
        <f>HYPERLINK("http://catalog.hathitrust.org/Record/003017942","HathiTrust Record")</f>
        <v>HathiTrust Record</v>
      </c>
      <c r="AS40" s="6" t="str">
        <f>HYPERLINK("https://creighton-primo.hosted.exlibrisgroup.com/primo-explore/search?tab=default_tab&amp;search_scope=EVERYTHING&amp;vid=01CRU&amp;lang=en_US&amp;offset=0&amp;query=any,contains,991002448809702656","Catalog Record")</f>
        <v>Catalog Record</v>
      </c>
      <c r="AT40" s="6" t="str">
        <f>HYPERLINK("http://www.worldcat.org/oclc/31934660","WorldCat Record")</f>
        <v>WorldCat Record</v>
      </c>
      <c r="AU40" s="3" t="s">
        <v>592</v>
      </c>
      <c r="AV40" s="3" t="s">
        <v>593</v>
      </c>
      <c r="AW40" s="3" t="s">
        <v>594</v>
      </c>
      <c r="AX40" s="3" t="s">
        <v>594</v>
      </c>
      <c r="AY40" s="3" t="s">
        <v>595</v>
      </c>
      <c r="AZ40" s="3" t="s">
        <v>75</v>
      </c>
      <c r="BB40" s="3" t="s">
        <v>596</v>
      </c>
      <c r="BC40" s="3" t="s">
        <v>597</v>
      </c>
      <c r="BD40" s="3" t="s">
        <v>598</v>
      </c>
    </row>
    <row r="41" spans="1:56" ht="54" customHeight="1" x14ac:dyDescent="0.25">
      <c r="A41" s="7" t="s">
        <v>58</v>
      </c>
      <c r="B41" s="2" t="s">
        <v>599</v>
      </c>
      <c r="C41" s="2" t="s">
        <v>600</v>
      </c>
      <c r="D41" s="2" t="s">
        <v>601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K41" s="2" t="s">
        <v>602</v>
      </c>
      <c r="L41" s="2" t="s">
        <v>603</v>
      </c>
      <c r="M41" s="3" t="s">
        <v>207</v>
      </c>
      <c r="N41" s="2" t="s">
        <v>604</v>
      </c>
      <c r="O41" s="3" t="s">
        <v>65</v>
      </c>
      <c r="P41" s="3" t="s">
        <v>66</v>
      </c>
      <c r="R41" s="3" t="s">
        <v>67</v>
      </c>
      <c r="S41" s="4">
        <v>16</v>
      </c>
      <c r="T41" s="4">
        <v>16</v>
      </c>
      <c r="U41" s="5" t="s">
        <v>605</v>
      </c>
      <c r="V41" s="5" t="s">
        <v>605</v>
      </c>
      <c r="W41" s="5" t="s">
        <v>388</v>
      </c>
      <c r="X41" s="5" t="s">
        <v>388</v>
      </c>
      <c r="Y41" s="4">
        <v>777</v>
      </c>
      <c r="Z41" s="4">
        <v>756</v>
      </c>
      <c r="AA41" s="4">
        <v>1219</v>
      </c>
      <c r="AB41" s="4">
        <v>11</v>
      </c>
      <c r="AC41" s="4">
        <v>16</v>
      </c>
      <c r="AD41" s="4">
        <v>9</v>
      </c>
      <c r="AE41" s="4">
        <v>10</v>
      </c>
      <c r="AF41" s="4">
        <v>4</v>
      </c>
      <c r="AG41" s="4">
        <v>4</v>
      </c>
      <c r="AH41" s="4">
        <v>1</v>
      </c>
      <c r="AI41" s="4">
        <v>2</v>
      </c>
      <c r="AJ41" s="4">
        <v>4</v>
      </c>
      <c r="AK41" s="4">
        <v>4</v>
      </c>
      <c r="AL41" s="4">
        <v>2</v>
      </c>
      <c r="AM41" s="4">
        <v>2</v>
      </c>
      <c r="AN41" s="4">
        <v>0</v>
      </c>
      <c r="AO41" s="4">
        <v>0</v>
      </c>
      <c r="AP41" s="3" t="s">
        <v>58</v>
      </c>
      <c r="AQ41" s="3" t="s">
        <v>70</v>
      </c>
      <c r="AR41" s="6" t="str">
        <f>HYPERLINK("http://catalog.hathitrust.org/Record/001469375","HathiTrust Record")</f>
        <v>HathiTrust Record</v>
      </c>
      <c r="AS41" s="6" t="str">
        <f>HYPERLINK("https://creighton-primo.hosted.exlibrisgroup.com/primo-explore/search?tab=default_tab&amp;search_scope=EVERYTHING&amp;vid=01CRU&amp;lang=en_US&amp;offset=0&amp;query=any,contains,991002791509702656","Catalog Record")</f>
        <v>Catalog Record</v>
      </c>
      <c r="AT41" s="6" t="str">
        <f>HYPERLINK("http://www.worldcat.org/oclc/443592","WorldCat Record")</f>
        <v>WorldCat Record</v>
      </c>
      <c r="AU41" s="3" t="s">
        <v>606</v>
      </c>
      <c r="AV41" s="3" t="s">
        <v>607</v>
      </c>
      <c r="AW41" s="3" t="s">
        <v>608</v>
      </c>
      <c r="AX41" s="3" t="s">
        <v>608</v>
      </c>
      <c r="AY41" s="3" t="s">
        <v>609</v>
      </c>
      <c r="AZ41" s="3" t="s">
        <v>75</v>
      </c>
      <c r="BC41" s="3" t="s">
        <v>610</v>
      </c>
      <c r="BD41" s="3" t="s">
        <v>611</v>
      </c>
    </row>
    <row r="42" spans="1:56" ht="54" customHeight="1" x14ac:dyDescent="0.25">
      <c r="A42" s="7" t="s">
        <v>58</v>
      </c>
      <c r="B42" s="2" t="s">
        <v>612</v>
      </c>
      <c r="C42" s="2" t="s">
        <v>613</v>
      </c>
      <c r="D42" s="2" t="s">
        <v>614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K42" s="2" t="s">
        <v>615</v>
      </c>
      <c r="L42" s="2" t="s">
        <v>616</v>
      </c>
      <c r="M42" s="3" t="s">
        <v>617</v>
      </c>
      <c r="O42" s="3" t="s">
        <v>65</v>
      </c>
      <c r="P42" s="3" t="s">
        <v>84</v>
      </c>
      <c r="R42" s="3" t="s">
        <v>67</v>
      </c>
      <c r="S42" s="4">
        <v>1</v>
      </c>
      <c r="T42" s="4">
        <v>1</v>
      </c>
      <c r="U42" s="5" t="s">
        <v>618</v>
      </c>
      <c r="V42" s="5" t="s">
        <v>618</v>
      </c>
      <c r="W42" s="5" t="s">
        <v>87</v>
      </c>
      <c r="X42" s="5" t="s">
        <v>87</v>
      </c>
      <c r="Y42" s="4">
        <v>144</v>
      </c>
      <c r="Z42" s="4">
        <v>140</v>
      </c>
      <c r="AA42" s="4">
        <v>143</v>
      </c>
      <c r="AB42" s="4">
        <v>3</v>
      </c>
      <c r="AC42" s="4">
        <v>3</v>
      </c>
      <c r="AD42" s="4">
        <v>9</v>
      </c>
      <c r="AE42" s="4">
        <v>9</v>
      </c>
      <c r="AF42" s="4">
        <v>3</v>
      </c>
      <c r="AG42" s="4">
        <v>3</v>
      </c>
      <c r="AH42" s="4">
        <v>2</v>
      </c>
      <c r="AI42" s="4">
        <v>2</v>
      </c>
      <c r="AJ42" s="4">
        <v>2</v>
      </c>
      <c r="AK42" s="4">
        <v>2</v>
      </c>
      <c r="AL42" s="4">
        <v>2</v>
      </c>
      <c r="AM42" s="4">
        <v>2</v>
      </c>
      <c r="AN42" s="4">
        <v>0</v>
      </c>
      <c r="AO42" s="4">
        <v>0</v>
      </c>
      <c r="AP42" s="3" t="s">
        <v>58</v>
      </c>
      <c r="AQ42" s="3" t="s">
        <v>58</v>
      </c>
      <c r="AS42" s="6" t="str">
        <f>HYPERLINK("https://creighton-primo.hosted.exlibrisgroup.com/primo-explore/search?tab=default_tab&amp;search_scope=EVERYTHING&amp;vid=01CRU&amp;lang=en_US&amp;offset=0&amp;query=any,contains,991003646219702656","Catalog Record")</f>
        <v>Catalog Record</v>
      </c>
      <c r="AT42" s="6" t="str">
        <f>HYPERLINK("http://www.worldcat.org/oclc/1247641","WorldCat Record")</f>
        <v>WorldCat Record</v>
      </c>
      <c r="AU42" s="3" t="s">
        <v>619</v>
      </c>
      <c r="AV42" s="3" t="s">
        <v>620</v>
      </c>
      <c r="AW42" s="3" t="s">
        <v>621</v>
      </c>
      <c r="AX42" s="3" t="s">
        <v>621</v>
      </c>
      <c r="AY42" s="3" t="s">
        <v>622</v>
      </c>
      <c r="AZ42" s="3" t="s">
        <v>75</v>
      </c>
      <c r="BC42" s="3" t="s">
        <v>623</v>
      </c>
      <c r="BD42" s="3" t="s">
        <v>624</v>
      </c>
    </row>
    <row r="43" spans="1:56" ht="54" customHeight="1" x14ac:dyDescent="0.25">
      <c r="A43" s="7" t="s">
        <v>58</v>
      </c>
      <c r="B43" s="2" t="s">
        <v>625</v>
      </c>
      <c r="C43" s="2" t="s">
        <v>626</v>
      </c>
      <c r="D43" s="2" t="s">
        <v>627</v>
      </c>
      <c r="F43" s="3" t="s">
        <v>58</v>
      </c>
      <c r="G43" s="3" t="s">
        <v>59</v>
      </c>
      <c r="H43" s="3" t="s">
        <v>58</v>
      </c>
      <c r="I43" s="3" t="s">
        <v>58</v>
      </c>
      <c r="J43" s="3" t="s">
        <v>60</v>
      </c>
      <c r="K43" s="2" t="s">
        <v>628</v>
      </c>
      <c r="L43" s="2" t="s">
        <v>629</v>
      </c>
      <c r="M43" s="3" t="s">
        <v>630</v>
      </c>
      <c r="O43" s="3" t="s">
        <v>65</v>
      </c>
      <c r="P43" s="3" t="s">
        <v>66</v>
      </c>
      <c r="R43" s="3" t="s">
        <v>67</v>
      </c>
      <c r="S43" s="4">
        <v>3</v>
      </c>
      <c r="T43" s="4">
        <v>3</v>
      </c>
      <c r="U43" s="5" t="s">
        <v>631</v>
      </c>
      <c r="V43" s="5" t="s">
        <v>631</v>
      </c>
      <c r="W43" s="5" t="s">
        <v>632</v>
      </c>
      <c r="X43" s="5" t="s">
        <v>632</v>
      </c>
      <c r="Y43" s="4">
        <v>480</v>
      </c>
      <c r="Z43" s="4">
        <v>454</v>
      </c>
      <c r="AA43" s="4">
        <v>454</v>
      </c>
      <c r="AB43" s="4">
        <v>4</v>
      </c>
      <c r="AC43" s="4">
        <v>4</v>
      </c>
      <c r="AD43" s="4">
        <v>15</v>
      </c>
      <c r="AE43" s="4">
        <v>15</v>
      </c>
      <c r="AF43" s="4">
        <v>4</v>
      </c>
      <c r="AG43" s="4">
        <v>4</v>
      </c>
      <c r="AH43" s="4">
        <v>4</v>
      </c>
      <c r="AI43" s="4">
        <v>4</v>
      </c>
      <c r="AJ43" s="4">
        <v>8</v>
      </c>
      <c r="AK43" s="4">
        <v>8</v>
      </c>
      <c r="AL43" s="4">
        <v>2</v>
      </c>
      <c r="AM43" s="4">
        <v>2</v>
      </c>
      <c r="AN43" s="4">
        <v>0</v>
      </c>
      <c r="AO43" s="4">
        <v>0</v>
      </c>
      <c r="AP43" s="3" t="s">
        <v>58</v>
      </c>
      <c r="AQ43" s="3" t="s">
        <v>58</v>
      </c>
      <c r="AS43" s="6" t="str">
        <f>HYPERLINK("https://creighton-primo.hosted.exlibrisgroup.com/primo-explore/search?tab=default_tab&amp;search_scope=EVERYTHING&amp;vid=01CRU&amp;lang=en_US&amp;offset=0&amp;query=any,contains,991001882079702656","Catalog Record")</f>
        <v>Catalog Record</v>
      </c>
      <c r="AT43" s="6" t="str">
        <f>HYPERLINK("http://www.worldcat.org/oclc/23732687","WorldCat Record")</f>
        <v>WorldCat Record</v>
      </c>
      <c r="AU43" s="3" t="s">
        <v>633</v>
      </c>
      <c r="AV43" s="3" t="s">
        <v>634</v>
      </c>
      <c r="AW43" s="3" t="s">
        <v>635</v>
      </c>
      <c r="AX43" s="3" t="s">
        <v>635</v>
      </c>
      <c r="AY43" s="3" t="s">
        <v>636</v>
      </c>
      <c r="AZ43" s="3" t="s">
        <v>75</v>
      </c>
      <c r="BB43" s="3" t="s">
        <v>637</v>
      </c>
      <c r="BC43" s="3" t="s">
        <v>638</v>
      </c>
      <c r="BD43" s="3" t="s">
        <v>639</v>
      </c>
    </row>
    <row r="44" spans="1:56" ht="54" customHeight="1" x14ac:dyDescent="0.25">
      <c r="A44" s="7" t="s">
        <v>58</v>
      </c>
      <c r="B44" s="2" t="s">
        <v>640</v>
      </c>
      <c r="C44" s="2" t="s">
        <v>641</v>
      </c>
      <c r="D44" s="2" t="s">
        <v>642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K44" s="2" t="s">
        <v>643</v>
      </c>
      <c r="L44" s="2" t="s">
        <v>644</v>
      </c>
      <c r="M44" s="3" t="s">
        <v>207</v>
      </c>
      <c r="O44" s="3" t="s">
        <v>65</v>
      </c>
      <c r="P44" s="3" t="s">
        <v>66</v>
      </c>
      <c r="R44" s="3" t="s">
        <v>67</v>
      </c>
      <c r="S44" s="4">
        <v>6</v>
      </c>
      <c r="T44" s="4">
        <v>6</v>
      </c>
      <c r="U44" s="5" t="s">
        <v>645</v>
      </c>
      <c r="V44" s="5" t="s">
        <v>645</v>
      </c>
      <c r="W44" s="5" t="s">
        <v>646</v>
      </c>
      <c r="X44" s="5" t="s">
        <v>646</v>
      </c>
      <c r="Y44" s="4">
        <v>995</v>
      </c>
      <c r="Z44" s="4">
        <v>946</v>
      </c>
      <c r="AA44" s="4">
        <v>994</v>
      </c>
      <c r="AB44" s="4">
        <v>5</v>
      </c>
      <c r="AC44" s="4">
        <v>5</v>
      </c>
      <c r="AD44" s="4">
        <v>34</v>
      </c>
      <c r="AE44" s="4">
        <v>36</v>
      </c>
      <c r="AF44" s="4">
        <v>14</v>
      </c>
      <c r="AG44" s="4">
        <v>15</v>
      </c>
      <c r="AH44" s="4">
        <v>8</v>
      </c>
      <c r="AI44" s="4">
        <v>9</v>
      </c>
      <c r="AJ44" s="4">
        <v>15</v>
      </c>
      <c r="AK44" s="4">
        <v>16</v>
      </c>
      <c r="AL44" s="4">
        <v>3</v>
      </c>
      <c r="AM44" s="4">
        <v>3</v>
      </c>
      <c r="AN44" s="4">
        <v>1</v>
      </c>
      <c r="AO44" s="4">
        <v>1</v>
      </c>
      <c r="AP44" s="3" t="s">
        <v>58</v>
      </c>
      <c r="AQ44" s="3" t="s">
        <v>70</v>
      </c>
      <c r="AR44" s="6" t="str">
        <f>HYPERLINK("http://catalog.hathitrust.org/Record/001469370","HathiTrust Record")</f>
        <v>HathiTrust Record</v>
      </c>
      <c r="AS44" s="6" t="str">
        <f>HYPERLINK("https://creighton-primo.hosted.exlibrisgroup.com/primo-explore/search?tab=default_tab&amp;search_scope=EVERYTHING&amp;vid=01CRU&amp;lang=en_US&amp;offset=0&amp;query=any,contains,991002784259702656","Catalog Record")</f>
        <v>Catalog Record</v>
      </c>
      <c r="AT44" s="6" t="str">
        <f>HYPERLINK("http://www.worldcat.org/oclc/441139","WorldCat Record")</f>
        <v>WorldCat Record</v>
      </c>
      <c r="AU44" s="3" t="s">
        <v>647</v>
      </c>
      <c r="AV44" s="3" t="s">
        <v>648</v>
      </c>
      <c r="AW44" s="3" t="s">
        <v>649</v>
      </c>
      <c r="AX44" s="3" t="s">
        <v>649</v>
      </c>
      <c r="AY44" s="3" t="s">
        <v>650</v>
      </c>
      <c r="AZ44" s="3" t="s">
        <v>75</v>
      </c>
      <c r="BC44" s="3" t="s">
        <v>651</v>
      </c>
      <c r="BD44" s="3" t="s">
        <v>652</v>
      </c>
    </row>
    <row r="45" spans="1:56" ht="54" customHeight="1" x14ac:dyDescent="0.25">
      <c r="A45" s="7" t="s">
        <v>58</v>
      </c>
      <c r="B45" s="2" t="s">
        <v>653</v>
      </c>
      <c r="C45" s="2" t="s">
        <v>654</v>
      </c>
      <c r="D45" s="2" t="s">
        <v>655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60</v>
      </c>
      <c r="K45" s="2" t="s">
        <v>656</v>
      </c>
      <c r="L45" s="2" t="s">
        <v>657</v>
      </c>
      <c r="M45" s="3" t="s">
        <v>658</v>
      </c>
      <c r="O45" s="3" t="s">
        <v>65</v>
      </c>
      <c r="P45" s="3" t="s">
        <v>66</v>
      </c>
      <c r="R45" s="3" t="s">
        <v>67</v>
      </c>
      <c r="S45" s="4">
        <v>9</v>
      </c>
      <c r="T45" s="4">
        <v>9</v>
      </c>
      <c r="U45" s="5" t="s">
        <v>645</v>
      </c>
      <c r="V45" s="5" t="s">
        <v>645</v>
      </c>
      <c r="W45" s="5" t="s">
        <v>646</v>
      </c>
      <c r="X45" s="5" t="s">
        <v>646</v>
      </c>
      <c r="Y45" s="4">
        <v>641</v>
      </c>
      <c r="Z45" s="4">
        <v>588</v>
      </c>
      <c r="AA45" s="4">
        <v>594</v>
      </c>
      <c r="AB45" s="4">
        <v>2</v>
      </c>
      <c r="AC45" s="4">
        <v>2</v>
      </c>
      <c r="AD45" s="4">
        <v>17</v>
      </c>
      <c r="AE45" s="4">
        <v>17</v>
      </c>
      <c r="AF45" s="4">
        <v>9</v>
      </c>
      <c r="AG45" s="4">
        <v>9</v>
      </c>
      <c r="AH45" s="4">
        <v>4</v>
      </c>
      <c r="AI45" s="4">
        <v>4</v>
      </c>
      <c r="AJ45" s="4">
        <v>7</v>
      </c>
      <c r="AK45" s="4">
        <v>7</v>
      </c>
      <c r="AL45" s="4">
        <v>1</v>
      </c>
      <c r="AM45" s="4">
        <v>1</v>
      </c>
      <c r="AN45" s="4">
        <v>0</v>
      </c>
      <c r="AO45" s="4">
        <v>0</v>
      </c>
      <c r="AP45" s="3" t="s">
        <v>58</v>
      </c>
      <c r="AQ45" s="3" t="s">
        <v>70</v>
      </c>
      <c r="AR45" s="6" t="str">
        <f>HYPERLINK("http://catalog.hathitrust.org/Record/001469368","HathiTrust Record")</f>
        <v>HathiTrust Record</v>
      </c>
      <c r="AS45" s="6" t="str">
        <f>HYPERLINK("https://creighton-primo.hosted.exlibrisgroup.com/primo-explore/search?tab=default_tab&amp;search_scope=EVERYTHING&amp;vid=01CRU&amp;lang=en_US&amp;offset=0&amp;query=any,contains,991003442799702656","Catalog Record")</f>
        <v>Catalog Record</v>
      </c>
      <c r="AT45" s="6" t="str">
        <f>HYPERLINK("http://www.worldcat.org/oclc/979016","WorldCat Record")</f>
        <v>WorldCat Record</v>
      </c>
      <c r="AU45" s="3" t="s">
        <v>659</v>
      </c>
      <c r="AV45" s="3" t="s">
        <v>660</v>
      </c>
      <c r="AW45" s="3" t="s">
        <v>661</v>
      </c>
      <c r="AX45" s="3" t="s">
        <v>661</v>
      </c>
      <c r="AY45" s="3" t="s">
        <v>662</v>
      </c>
      <c r="AZ45" s="3" t="s">
        <v>75</v>
      </c>
      <c r="BB45" s="3" t="s">
        <v>663</v>
      </c>
      <c r="BC45" s="3" t="s">
        <v>664</v>
      </c>
      <c r="BD45" s="3" t="s">
        <v>665</v>
      </c>
    </row>
    <row r="46" spans="1:56" ht="54" customHeight="1" x14ac:dyDescent="0.25">
      <c r="A46" s="7" t="s">
        <v>58</v>
      </c>
      <c r="B46" s="2" t="s">
        <v>666</v>
      </c>
      <c r="C46" s="2" t="s">
        <v>667</v>
      </c>
      <c r="D46" s="2" t="s">
        <v>668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K46" s="2" t="s">
        <v>669</v>
      </c>
      <c r="L46" s="2" t="s">
        <v>670</v>
      </c>
      <c r="M46" s="3" t="s">
        <v>671</v>
      </c>
      <c r="N46" s="2" t="s">
        <v>672</v>
      </c>
      <c r="O46" s="3" t="s">
        <v>65</v>
      </c>
      <c r="P46" s="3" t="s">
        <v>66</v>
      </c>
      <c r="R46" s="3" t="s">
        <v>67</v>
      </c>
      <c r="S46" s="4">
        <v>1</v>
      </c>
      <c r="T46" s="4">
        <v>1</v>
      </c>
      <c r="U46" s="5" t="s">
        <v>673</v>
      </c>
      <c r="V46" s="5" t="s">
        <v>673</v>
      </c>
      <c r="W46" s="5" t="s">
        <v>673</v>
      </c>
      <c r="X46" s="5" t="s">
        <v>673</v>
      </c>
      <c r="Y46" s="4">
        <v>429</v>
      </c>
      <c r="Z46" s="4">
        <v>399</v>
      </c>
      <c r="AA46" s="4">
        <v>443</v>
      </c>
      <c r="AB46" s="4">
        <v>5</v>
      </c>
      <c r="AC46" s="4">
        <v>5</v>
      </c>
      <c r="AD46" s="4">
        <v>15</v>
      </c>
      <c r="AE46" s="4">
        <v>15</v>
      </c>
      <c r="AF46" s="4">
        <v>6</v>
      </c>
      <c r="AG46" s="4">
        <v>6</v>
      </c>
      <c r="AH46" s="4">
        <v>4</v>
      </c>
      <c r="AI46" s="4">
        <v>4</v>
      </c>
      <c r="AJ46" s="4">
        <v>5</v>
      </c>
      <c r="AK46" s="4">
        <v>5</v>
      </c>
      <c r="AL46" s="4">
        <v>3</v>
      </c>
      <c r="AM46" s="4">
        <v>3</v>
      </c>
      <c r="AN46" s="4">
        <v>0</v>
      </c>
      <c r="AO46" s="4">
        <v>0</v>
      </c>
      <c r="AP46" s="3" t="s">
        <v>58</v>
      </c>
      <c r="AQ46" s="3" t="s">
        <v>58</v>
      </c>
      <c r="AS46" s="6" t="str">
        <f>HYPERLINK("https://creighton-primo.hosted.exlibrisgroup.com/primo-explore/search?tab=default_tab&amp;search_scope=EVERYTHING&amp;vid=01CRU&amp;lang=en_US&amp;offset=0&amp;query=any,contains,991004626669702656","Catalog Record")</f>
        <v>Catalog Record</v>
      </c>
      <c r="AT46" s="6" t="str">
        <f>HYPERLINK("http://www.worldcat.org/oclc/638917","WorldCat Record")</f>
        <v>WorldCat Record</v>
      </c>
      <c r="AU46" s="3" t="s">
        <v>674</v>
      </c>
      <c r="AV46" s="3" t="s">
        <v>675</v>
      </c>
      <c r="AW46" s="3" t="s">
        <v>676</v>
      </c>
      <c r="AX46" s="3" t="s">
        <v>676</v>
      </c>
      <c r="AY46" s="3" t="s">
        <v>677</v>
      </c>
      <c r="AZ46" s="3" t="s">
        <v>75</v>
      </c>
      <c r="BC46" s="3" t="s">
        <v>678</v>
      </c>
      <c r="BD46" s="3" t="s">
        <v>679</v>
      </c>
    </row>
    <row r="47" spans="1:56" ht="54" customHeight="1" x14ac:dyDescent="0.25">
      <c r="A47" s="7" t="s">
        <v>58</v>
      </c>
      <c r="B47" s="2" t="s">
        <v>680</v>
      </c>
      <c r="C47" s="2" t="s">
        <v>681</v>
      </c>
      <c r="D47" s="2" t="s">
        <v>682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60</v>
      </c>
      <c r="K47" s="2" t="s">
        <v>683</v>
      </c>
      <c r="L47" s="2" t="s">
        <v>684</v>
      </c>
      <c r="M47" s="3" t="s">
        <v>685</v>
      </c>
      <c r="O47" s="3" t="s">
        <v>65</v>
      </c>
      <c r="P47" s="3" t="s">
        <v>66</v>
      </c>
      <c r="R47" s="3" t="s">
        <v>67</v>
      </c>
      <c r="S47" s="4">
        <v>6</v>
      </c>
      <c r="T47" s="4">
        <v>6</v>
      </c>
      <c r="U47" s="5" t="s">
        <v>686</v>
      </c>
      <c r="V47" s="5" t="s">
        <v>686</v>
      </c>
      <c r="W47" s="5" t="s">
        <v>687</v>
      </c>
      <c r="X47" s="5" t="s">
        <v>687</v>
      </c>
      <c r="Y47" s="4">
        <v>791</v>
      </c>
      <c r="Z47" s="4">
        <v>761</v>
      </c>
      <c r="AA47" s="4">
        <v>767</v>
      </c>
      <c r="AB47" s="4">
        <v>5</v>
      </c>
      <c r="AC47" s="4">
        <v>5</v>
      </c>
      <c r="AD47" s="4">
        <v>24</v>
      </c>
      <c r="AE47" s="4">
        <v>24</v>
      </c>
      <c r="AF47" s="4">
        <v>11</v>
      </c>
      <c r="AG47" s="4">
        <v>11</v>
      </c>
      <c r="AH47" s="4">
        <v>4</v>
      </c>
      <c r="AI47" s="4">
        <v>4</v>
      </c>
      <c r="AJ47" s="4">
        <v>12</v>
      </c>
      <c r="AK47" s="4">
        <v>12</v>
      </c>
      <c r="AL47" s="4">
        <v>3</v>
      </c>
      <c r="AM47" s="4">
        <v>3</v>
      </c>
      <c r="AN47" s="4">
        <v>0</v>
      </c>
      <c r="AO47" s="4">
        <v>0</v>
      </c>
      <c r="AP47" s="3" t="s">
        <v>58</v>
      </c>
      <c r="AQ47" s="3" t="s">
        <v>58</v>
      </c>
      <c r="AR47" s="6" t="str">
        <f>HYPERLINK("http://catalog.hathitrust.org/Record/004503946","HathiTrust Record")</f>
        <v>HathiTrust Record</v>
      </c>
      <c r="AS47" s="6" t="str">
        <f>HYPERLINK("https://creighton-primo.hosted.exlibrisgroup.com/primo-explore/search?tab=default_tab&amp;search_scope=EVERYTHING&amp;vid=01CRU&amp;lang=en_US&amp;offset=0&amp;query=any,contains,991003097409702656","Catalog Record")</f>
        <v>Catalog Record</v>
      </c>
      <c r="AT47" s="6" t="str">
        <f>HYPERLINK("http://www.worldcat.org/oclc/647076","WorldCat Record")</f>
        <v>WorldCat Record</v>
      </c>
      <c r="AU47" s="3" t="s">
        <v>688</v>
      </c>
      <c r="AV47" s="3" t="s">
        <v>689</v>
      </c>
      <c r="AW47" s="3" t="s">
        <v>690</v>
      </c>
      <c r="AX47" s="3" t="s">
        <v>690</v>
      </c>
      <c r="AY47" s="3" t="s">
        <v>691</v>
      </c>
      <c r="AZ47" s="3" t="s">
        <v>75</v>
      </c>
      <c r="BC47" s="3" t="s">
        <v>692</v>
      </c>
      <c r="BD47" s="3" t="s">
        <v>693</v>
      </c>
    </row>
    <row r="48" spans="1:56" ht="54" customHeight="1" x14ac:dyDescent="0.25">
      <c r="A48" s="7" t="s">
        <v>58</v>
      </c>
      <c r="B48" s="2" t="s">
        <v>694</v>
      </c>
      <c r="C48" s="2" t="s">
        <v>695</v>
      </c>
      <c r="D48" s="2" t="s">
        <v>696</v>
      </c>
      <c r="F48" s="3" t="s">
        <v>58</v>
      </c>
      <c r="G48" s="3" t="s">
        <v>59</v>
      </c>
      <c r="H48" s="3" t="s">
        <v>58</v>
      </c>
      <c r="I48" s="3" t="s">
        <v>58</v>
      </c>
      <c r="J48" s="3" t="s">
        <v>60</v>
      </c>
      <c r="K48" s="2" t="s">
        <v>697</v>
      </c>
      <c r="L48" s="2" t="s">
        <v>698</v>
      </c>
      <c r="M48" s="3" t="s">
        <v>307</v>
      </c>
      <c r="O48" s="3" t="s">
        <v>65</v>
      </c>
      <c r="P48" s="3" t="s">
        <v>66</v>
      </c>
      <c r="R48" s="3" t="s">
        <v>67</v>
      </c>
      <c r="S48" s="4">
        <v>1</v>
      </c>
      <c r="T48" s="4">
        <v>1</v>
      </c>
      <c r="U48" s="5" t="s">
        <v>699</v>
      </c>
      <c r="V48" s="5" t="s">
        <v>699</v>
      </c>
      <c r="W48" s="5" t="s">
        <v>699</v>
      </c>
      <c r="X48" s="5" t="s">
        <v>699</v>
      </c>
      <c r="Y48" s="4">
        <v>173</v>
      </c>
      <c r="Z48" s="4">
        <v>162</v>
      </c>
      <c r="AA48" s="4">
        <v>183</v>
      </c>
      <c r="AB48" s="4">
        <v>3</v>
      </c>
      <c r="AC48" s="4">
        <v>3</v>
      </c>
      <c r="AD48" s="4">
        <v>8</v>
      </c>
      <c r="AE48" s="4">
        <v>8</v>
      </c>
      <c r="AF48" s="4">
        <v>2</v>
      </c>
      <c r="AG48" s="4">
        <v>2</v>
      </c>
      <c r="AH48" s="4">
        <v>3</v>
      </c>
      <c r="AI48" s="4">
        <v>3</v>
      </c>
      <c r="AJ48" s="4">
        <v>3</v>
      </c>
      <c r="AK48" s="4">
        <v>3</v>
      </c>
      <c r="AL48" s="4">
        <v>2</v>
      </c>
      <c r="AM48" s="4">
        <v>2</v>
      </c>
      <c r="AN48" s="4">
        <v>0</v>
      </c>
      <c r="AO48" s="4">
        <v>0</v>
      </c>
      <c r="AP48" s="3" t="s">
        <v>58</v>
      </c>
      <c r="AQ48" s="3" t="s">
        <v>58</v>
      </c>
      <c r="AS48" s="6" t="str">
        <f>HYPERLINK("https://creighton-primo.hosted.exlibrisgroup.com/primo-explore/search?tab=default_tab&amp;search_scope=EVERYTHING&amp;vid=01CRU&amp;lang=en_US&amp;offset=0&amp;query=any,contains,991004439399702656","Catalog Record")</f>
        <v>Catalog Record</v>
      </c>
      <c r="AT48" s="6" t="str">
        <f>HYPERLINK("http://www.worldcat.org/oclc/426884","WorldCat Record")</f>
        <v>WorldCat Record</v>
      </c>
      <c r="AU48" s="3" t="s">
        <v>700</v>
      </c>
      <c r="AV48" s="3" t="s">
        <v>701</v>
      </c>
      <c r="AW48" s="3" t="s">
        <v>702</v>
      </c>
      <c r="AX48" s="3" t="s">
        <v>702</v>
      </c>
      <c r="AY48" s="3" t="s">
        <v>703</v>
      </c>
      <c r="AZ48" s="3" t="s">
        <v>75</v>
      </c>
      <c r="BC48" s="3" t="s">
        <v>704</v>
      </c>
      <c r="BD48" s="3" t="s">
        <v>705</v>
      </c>
    </row>
    <row r="49" spans="1:56" ht="54" customHeight="1" x14ac:dyDescent="0.25">
      <c r="A49" s="7" t="s">
        <v>58</v>
      </c>
      <c r="B49" s="2" t="s">
        <v>706</v>
      </c>
      <c r="C49" s="2" t="s">
        <v>707</v>
      </c>
      <c r="D49" s="2" t="s">
        <v>708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K49" s="2" t="s">
        <v>709</v>
      </c>
      <c r="L49" s="2" t="s">
        <v>710</v>
      </c>
      <c r="M49" s="3" t="s">
        <v>711</v>
      </c>
      <c r="O49" s="3" t="s">
        <v>65</v>
      </c>
      <c r="P49" s="3" t="s">
        <v>66</v>
      </c>
      <c r="R49" s="3" t="s">
        <v>67</v>
      </c>
      <c r="S49" s="4">
        <v>2</v>
      </c>
      <c r="T49" s="4">
        <v>2</v>
      </c>
      <c r="U49" s="5" t="s">
        <v>712</v>
      </c>
      <c r="V49" s="5" t="s">
        <v>712</v>
      </c>
      <c r="W49" s="5" t="s">
        <v>103</v>
      </c>
      <c r="X49" s="5" t="s">
        <v>103</v>
      </c>
      <c r="Y49" s="4">
        <v>576</v>
      </c>
      <c r="Z49" s="4">
        <v>544</v>
      </c>
      <c r="AA49" s="4">
        <v>596</v>
      </c>
      <c r="AB49" s="4">
        <v>6</v>
      </c>
      <c r="AC49" s="4">
        <v>6</v>
      </c>
      <c r="AD49" s="4">
        <v>23</v>
      </c>
      <c r="AE49" s="4">
        <v>24</v>
      </c>
      <c r="AF49" s="4">
        <v>11</v>
      </c>
      <c r="AG49" s="4">
        <v>11</v>
      </c>
      <c r="AH49" s="4">
        <v>5</v>
      </c>
      <c r="AI49" s="4">
        <v>5</v>
      </c>
      <c r="AJ49" s="4">
        <v>10</v>
      </c>
      <c r="AK49" s="4">
        <v>11</v>
      </c>
      <c r="AL49" s="4">
        <v>4</v>
      </c>
      <c r="AM49" s="4">
        <v>4</v>
      </c>
      <c r="AN49" s="4">
        <v>0</v>
      </c>
      <c r="AO49" s="4">
        <v>0</v>
      </c>
      <c r="AP49" s="3" t="s">
        <v>58</v>
      </c>
      <c r="AQ49" s="3" t="s">
        <v>70</v>
      </c>
      <c r="AR49" s="6" t="str">
        <f>HYPERLINK("http://catalog.hathitrust.org/Record/008222868","HathiTrust Record")</f>
        <v>HathiTrust Record</v>
      </c>
      <c r="AS49" s="6" t="str">
        <f>HYPERLINK("https://creighton-primo.hosted.exlibrisgroup.com/primo-explore/search?tab=default_tab&amp;search_scope=EVERYTHING&amp;vid=01CRU&amp;lang=en_US&amp;offset=0&amp;query=any,contains,991002895849702656","Catalog Record")</f>
        <v>Catalog Record</v>
      </c>
      <c r="AT49" s="6" t="str">
        <f>HYPERLINK("http://www.worldcat.org/oclc/514230","WorldCat Record")</f>
        <v>WorldCat Record</v>
      </c>
      <c r="AU49" s="3" t="s">
        <v>713</v>
      </c>
      <c r="AV49" s="3" t="s">
        <v>714</v>
      </c>
      <c r="AW49" s="3" t="s">
        <v>715</v>
      </c>
      <c r="AX49" s="3" t="s">
        <v>715</v>
      </c>
      <c r="AY49" s="3" t="s">
        <v>716</v>
      </c>
      <c r="AZ49" s="3" t="s">
        <v>75</v>
      </c>
      <c r="BC49" s="3" t="s">
        <v>717</v>
      </c>
      <c r="BD49" s="3" t="s">
        <v>718</v>
      </c>
    </row>
    <row r="50" spans="1:56" ht="54" customHeight="1" x14ac:dyDescent="0.25">
      <c r="A50" s="7" t="s">
        <v>58</v>
      </c>
      <c r="B50" s="2" t="s">
        <v>719</v>
      </c>
      <c r="C50" s="2" t="s">
        <v>720</v>
      </c>
      <c r="D50" s="2" t="s">
        <v>721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L50" s="2" t="s">
        <v>722</v>
      </c>
      <c r="M50" s="3" t="s">
        <v>249</v>
      </c>
      <c r="O50" s="3" t="s">
        <v>65</v>
      </c>
      <c r="P50" s="3" t="s">
        <v>723</v>
      </c>
      <c r="R50" s="3" t="s">
        <v>67</v>
      </c>
      <c r="S50" s="4">
        <v>6</v>
      </c>
      <c r="T50" s="4">
        <v>6</v>
      </c>
      <c r="U50" s="5" t="s">
        <v>724</v>
      </c>
      <c r="V50" s="5" t="s">
        <v>724</v>
      </c>
      <c r="W50" s="5" t="s">
        <v>725</v>
      </c>
      <c r="X50" s="5" t="s">
        <v>725</v>
      </c>
      <c r="Y50" s="4">
        <v>199</v>
      </c>
      <c r="Z50" s="4">
        <v>175</v>
      </c>
      <c r="AA50" s="4">
        <v>201</v>
      </c>
      <c r="AB50" s="4">
        <v>2</v>
      </c>
      <c r="AC50" s="4">
        <v>2</v>
      </c>
      <c r="AD50" s="4">
        <v>4</v>
      </c>
      <c r="AE50" s="4">
        <v>5</v>
      </c>
      <c r="AF50" s="4">
        <v>0</v>
      </c>
      <c r="AG50" s="4">
        <v>0</v>
      </c>
      <c r="AH50" s="4">
        <v>2</v>
      </c>
      <c r="AI50" s="4">
        <v>2</v>
      </c>
      <c r="AJ50" s="4">
        <v>3</v>
      </c>
      <c r="AK50" s="4">
        <v>4</v>
      </c>
      <c r="AL50" s="4">
        <v>0</v>
      </c>
      <c r="AM50" s="4">
        <v>0</v>
      </c>
      <c r="AN50" s="4">
        <v>0</v>
      </c>
      <c r="AO50" s="4">
        <v>0</v>
      </c>
      <c r="AP50" s="3" t="s">
        <v>58</v>
      </c>
      <c r="AQ50" s="3" t="s">
        <v>70</v>
      </c>
      <c r="AR50" s="6" t="str">
        <f>HYPERLINK("http://catalog.hathitrust.org/Record/007470113","HathiTrust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HYPERLINK("https://creighton-primo.hosted.exlibrisgroup.com/primo-explore/search?tab=default_tab&amp;search_scope=EVERYTHING&amp;vid=01CRU&amp;lang=en_US&amp;offset=0&amp;query=any,contains,991005072449702656","Catalog Record")</f>
        <v>Catalog Record</v>
      </c>
      <c r="AT50" s="6" t="str">
        <f>HYPERLINK("http://www.worldcat.org/oclc/7053679","WorldCat Record")</f>
        <v>WorldCat Record</v>
      </c>
      <c r="AU50" s="3" t="s">
        <v>726</v>
      </c>
      <c r="AV50" s="3" t="s">
        <v>727</v>
      </c>
      <c r="AW50" s="3" t="s">
        <v>728</v>
      </c>
      <c r="AX50" s="3" t="s">
        <v>728</v>
      </c>
      <c r="AY50" s="3" t="s">
        <v>729</v>
      </c>
      <c r="AZ50" s="3" t="s">
        <v>75</v>
      </c>
      <c r="BC50" s="3" t="s">
        <v>730</v>
      </c>
      <c r="BD50" s="3" t="s">
        <v>731</v>
      </c>
    </row>
    <row r="51" spans="1:56" ht="54" customHeight="1" x14ac:dyDescent="0.25">
      <c r="A51" s="7" t="s">
        <v>58</v>
      </c>
      <c r="B51" s="2" t="s">
        <v>732</v>
      </c>
      <c r="C51" s="2" t="s">
        <v>733</v>
      </c>
      <c r="D51" s="2" t="s">
        <v>734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K51" s="2" t="s">
        <v>735</v>
      </c>
      <c r="L51" s="2" t="s">
        <v>736</v>
      </c>
      <c r="M51" s="3" t="s">
        <v>546</v>
      </c>
      <c r="O51" s="3" t="s">
        <v>65</v>
      </c>
      <c r="P51" s="3" t="s">
        <v>737</v>
      </c>
      <c r="R51" s="3" t="s">
        <v>67</v>
      </c>
      <c r="S51" s="4">
        <v>15</v>
      </c>
      <c r="T51" s="4">
        <v>15</v>
      </c>
      <c r="U51" s="5" t="s">
        <v>738</v>
      </c>
      <c r="V51" s="5" t="s">
        <v>738</v>
      </c>
      <c r="W51" s="5" t="s">
        <v>725</v>
      </c>
      <c r="X51" s="5" t="s">
        <v>725</v>
      </c>
      <c r="Y51" s="4">
        <v>382</v>
      </c>
      <c r="Z51" s="4">
        <v>290</v>
      </c>
      <c r="AA51" s="4">
        <v>290</v>
      </c>
      <c r="AB51" s="4">
        <v>3</v>
      </c>
      <c r="AC51" s="4">
        <v>3</v>
      </c>
      <c r="AD51" s="4">
        <v>13</v>
      </c>
      <c r="AE51" s="4">
        <v>13</v>
      </c>
      <c r="AF51" s="4">
        <v>4</v>
      </c>
      <c r="AG51" s="4">
        <v>4</v>
      </c>
      <c r="AH51" s="4">
        <v>2</v>
      </c>
      <c r="AI51" s="4">
        <v>2</v>
      </c>
      <c r="AJ51" s="4">
        <v>9</v>
      </c>
      <c r="AK51" s="4">
        <v>9</v>
      </c>
      <c r="AL51" s="4">
        <v>2</v>
      </c>
      <c r="AM51" s="4">
        <v>2</v>
      </c>
      <c r="AN51" s="4">
        <v>0</v>
      </c>
      <c r="AO51" s="4">
        <v>0</v>
      </c>
      <c r="AP51" s="3" t="s">
        <v>58</v>
      </c>
      <c r="AQ51" s="3" t="s">
        <v>58</v>
      </c>
      <c r="AS51" s="6" t="str">
        <f>HYPERLINK("https://creighton-primo.hosted.exlibrisgroup.com/primo-explore/search?tab=default_tab&amp;search_scope=EVERYTHING&amp;vid=01CRU&amp;lang=en_US&amp;offset=0&amp;query=any,contains,991000651669702656","Catalog Record")</f>
        <v>Catalog Record</v>
      </c>
      <c r="AT51" s="6" t="str">
        <f>HYPERLINK("http://www.worldcat.org/oclc/12173241","WorldCat Record")</f>
        <v>WorldCat Record</v>
      </c>
      <c r="AU51" s="3" t="s">
        <v>739</v>
      </c>
      <c r="AV51" s="3" t="s">
        <v>740</v>
      </c>
      <c r="AW51" s="3" t="s">
        <v>741</v>
      </c>
      <c r="AX51" s="3" t="s">
        <v>741</v>
      </c>
      <c r="AY51" s="3" t="s">
        <v>742</v>
      </c>
      <c r="AZ51" s="3" t="s">
        <v>75</v>
      </c>
      <c r="BB51" s="3" t="s">
        <v>743</v>
      </c>
      <c r="BC51" s="3" t="s">
        <v>744</v>
      </c>
      <c r="BD51" s="3" t="s">
        <v>745</v>
      </c>
    </row>
    <row r="52" spans="1:56" ht="54" customHeight="1" x14ac:dyDescent="0.25">
      <c r="A52" s="7" t="s">
        <v>58</v>
      </c>
      <c r="B52" s="2" t="s">
        <v>746</v>
      </c>
      <c r="C52" s="2" t="s">
        <v>747</v>
      </c>
      <c r="D52" s="2" t="s">
        <v>748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L52" s="2" t="s">
        <v>749</v>
      </c>
      <c r="M52" s="3" t="s">
        <v>750</v>
      </c>
      <c r="O52" s="3" t="s">
        <v>65</v>
      </c>
      <c r="P52" s="3" t="s">
        <v>751</v>
      </c>
      <c r="R52" s="3" t="s">
        <v>67</v>
      </c>
      <c r="S52" s="4">
        <v>4</v>
      </c>
      <c r="T52" s="4">
        <v>4</v>
      </c>
      <c r="U52" s="5" t="s">
        <v>752</v>
      </c>
      <c r="V52" s="5" t="s">
        <v>752</v>
      </c>
      <c r="W52" s="5" t="s">
        <v>753</v>
      </c>
      <c r="X52" s="5" t="s">
        <v>753</v>
      </c>
      <c r="Y52" s="4">
        <v>213</v>
      </c>
      <c r="Z52" s="4">
        <v>164</v>
      </c>
      <c r="AA52" s="4">
        <v>165</v>
      </c>
      <c r="AB52" s="4">
        <v>3</v>
      </c>
      <c r="AC52" s="4">
        <v>3</v>
      </c>
      <c r="AD52" s="4">
        <v>10</v>
      </c>
      <c r="AE52" s="4">
        <v>10</v>
      </c>
      <c r="AF52" s="4">
        <v>4</v>
      </c>
      <c r="AG52" s="4">
        <v>4</v>
      </c>
      <c r="AH52" s="4">
        <v>2</v>
      </c>
      <c r="AI52" s="4">
        <v>2</v>
      </c>
      <c r="AJ52" s="4">
        <v>3</v>
      </c>
      <c r="AK52" s="4">
        <v>3</v>
      </c>
      <c r="AL52" s="4">
        <v>2</v>
      </c>
      <c r="AM52" s="4">
        <v>2</v>
      </c>
      <c r="AN52" s="4">
        <v>0</v>
      </c>
      <c r="AO52" s="4">
        <v>0</v>
      </c>
      <c r="AP52" s="3" t="s">
        <v>58</v>
      </c>
      <c r="AQ52" s="3" t="s">
        <v>58</v>
      </c>
      <c r="AS52" s="6" t="str">
        <f>HYPERLINK("https://creighton-primo.hosted.exlibrisgroup.com/primo-explore/search?tab=default_tab&amp;search_scope=EVERYTHING&amp;vid=01CRU&amp;lang=en_US&amp;offset=0&amp;query=any,contains,991002050659702656","Catalog Record")</f>
        <v>Catalog Record</v>
      </c>
      <c r="AT52" s="6" t="str">
        <f>HYPERLINK("http://www.worldcat.org/oclc/261660","WorldCat Record")</f>
        <v>WorldCat Record</v>
      </c>
      <c r="AU52" s="3" t="s">
        <v>754</v>
      </c>
      <c r="AV52" s="3" t="s">
        <v>755</v>
      </c>
      <c r="AW52" s="3" t="s">
        <v>756</v>
      </c>
      <c r="AX52" s="3" t="s">
        <v>756</v>
      </c>
      <c r="AY52" s="3" t="s">
        <v>757</v>
      </c>
      <c r="AZ52" s="3" t="s">
        <v>75</v>
      </c>
      <c r="BB52" s="3" t="s">
        <v>758</v>
      </c>
      <c r="BC52" s="3" t="s">
        <v>759</v>
      </c>
      <c r="BD52" s="3" t="s">
        <v>760</v>
      </c>
    </row>
    <row r="53" spans="1:56" ht="54" customHeight="1" x14ac:dyDescent="0.25">
      <c r="A53" s="7" t="s">
        <v>58</v>
      </c>
      <c r="B53" s="2" t="s">
        <v>761</v>
      </c>
      <c r="C53" s="2" t="s">
        <v>762</v>
      </c>
      <c r="D53" s="2" t="s">
        <v>763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K53" s="2" t="s">
        <v>764</v>
      </c>
      <c r="L53" s="2" t="s">
        <v>765</v>
      </c>
      <c r="M53" s="3" t="s">
        <v>766</v>
      </c>
      <c r="O53" s="3" t="s">
        <v>65</v>
      </c>
      <c r="P53" s="3" t="s">
        <v>767</v>
      </c>
      <c r="R53" s="3" t="s">
        <v>67</v>
      </c>
      <c r="S53" s="4">
        <v>8</v>
      </c>
      <c r="T53" s="4">
        <v>8</v>
      </c>
      <c r="U53" s="5" t="s">
        <v>768</v>
      </c>
      <c r="V53" s="5" t="s">
        <v>768</v>
      </c>
      <c r="W53" s="5" t="s">
        <v>769</v>
      </c>
      <c r="X53" s="5" t="s">
        <v>769</v>
      </c>
      <c r="Y53" s="4">
        <v>983</v>
      </c>
      <c r="Z53" s="4">
        <v>842</v>
      </c>
      <c r="AA53" s="4">
        <v>873</v>
      </c>
      <c r="AB53" s="4">
        <v>4</v>
      </c>
      <c r="AC53" s="4">
        <v>4</v>
      </c>
      <c r="AD53" s="4">
        <v>25</v>
      </c>
      <c r="AE53" s="4">
        <v>26</v>
      </c>
      <c r="AF53" s="4">
        <v>10</v>
      </c>
      <c r="AG53" s="4">
        <v>10</v>
      </c>
      <c r="AH53" s="4">
        <v>6</v>
      </c>
      <c r="AI53" s="4">
        <v>7</v>
      </c>
      <c r="AJ53" s="4">
        <v>12</v>
      </c>
      <c r="AK53" s="4">
        <v>13</v>
      </c>
      <c r="AL53" s="4">
        <v>3</v>
      </c>
      <c r="AM53" s="4">
        <v>3</v>
      </c>
      <c r="AN53" s="4">
        <v>0</v>
      </c>
      <c r="AO53" s="4">
        <v>0</v>
      </c>
      <c r="AP53" s="3" t="s">
        <v>58</v>
      </c>
      <c r="AQ53" s="3" t="s">
        <v>70</v>
      </c>
      <c r="AR53" s="6" t="str">
        <f>HYPERLINK("http://catalog.hathitrust.org/Record/004534719","HathiTrust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HYPERLINK("https://creighton-primo.hosted.exlibrisgroup.com/primo-explore/search?tab=default_tab&amp;search_scope=EVERYTHING&amp;vid=01CRU&amp;lang=en_US&amp;offset=0&amp;query=any,contains,991002368499702656","Catalog Record")</f>
        <v>Catalog Record</v>
      </c>
      <c r="AT53" s="6" t="str">
        <f>HYPERLINK("http://www.worldcat.org/oclc/30780989","WorldCat Record")</f>
        <v>WorldCat Record</v>
      </c>
      <c r="AU53" s="3" t="s">
        <v>770</v>
      </c>
      <c r="AV53" s="3" t="s">
        <v>771</v>
      </c>
      <c r="AW53" s="3" t="s">
        <v>772</v>
      </c>
      <c r="AX53" s="3" t="s">
        <v>772</v>
      </c>
      <c r="AY53" s="3" t="s">
        <v>773</v>
      </c>
      <c r="AZ53" s="3" t="s">
        <v>75</v>
      </c>
      <c r="BB53" s="3" t="s">
        <v>774</v>
      </c>
      <c r="BC53" s="3" t="s">
        <v>775</v>
      </c>
      <c r="BD53" s="3" t="s">
        <v>776</v>
      </c>
    </row>
    <row r="54" spans="1:56" ht="54" customHeight="1" x14ac:dyDescent="0.25">
      <c r="A54" s="7" t="s">
        <v>58</v>
      </c>
      <c r="B54" s="2" t="s">
        <v>777</v>
      </c>
      <c r="C54" s="2" t="s">
        <v>778</v>
      </c>
      <c r="D54" s="2" t="s">
        <v>779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K54" s="2" t="s">
        <v>780</v>
      </c>
      <c r="L54" s="2" t="s">
        <v>781</v>
      </c>
      <c r="M54" s="3" t="s">
        <v>750</v>
      </c>
      <c r="O54" s="3" t="s">
        <v>65</v>
      </c>
      <c r="P54" s="3" t="s">
        <v>66</v>
      </c>
      <c r="Q54" s="2" t="s">
        <v>782</v>
      </c>
      <c r="R54" s="3" t="s">
        <v>67</v>
      </c>
      <c r="S54" s="4">
        <v>4</v>
      </c>
      <c r="T54" s="4">
        <v>4</v>
      </c>
      <c r="U54" s="5" t="s">
        <v>783</v>
      </c>
      <c r="V54" s="5" t="s">
        <v>783</v>
      </c>
      <c r="W54" s="5" t="s">
        <v>784</v>
      </c>
      <c r="X54" s="5" t="s">
        <v>784</v>
      </c>
      <c r="Y54" s="4">
        <v>498</v>
      </c>
      <c r="Z54" s="4">
        <v>449</v>
      </c>
      <c r="AA54" s="4">
        <v>456</v>
      </c>
      <c r="AB54" s="4">
        <v>6</v>
      </c>
      <c r="AC54" s="4">
        <v>6</v>
      </c>
      <c r="AD54" s="4">
        <v>15</v>
      </c>
      <c r="AE54" s="4">
        <v>15</v>
      </c>
      <c r="AF54" s="4">
        <v>4</v>
      </c>
      <c r="AG54" s="4">
        <v>4</v>
      </c>
      <c r="AH54" s="4">
        <v>3</v>
      </c>
      <c r="AI54" s="4">
        <v>3</v>
      </c>
      <c r="AJ54" s="4">
        <v>5</v>
      </c>
      <c r="AK54" s="4">
        <v>5</v>
      </c>
      <c r="AL54" s="4">
        <v>5</v>
      </c>
      <c r="AM54" s="4">
        <v>5</v>
      </c>
      <c r="AN54" s="4">
        <v>0</v>
      </c>
      <c r="AO54" s="4">
        <v>0</v>
      </c>
      <c r="AP54" s="3" t="s">
        <v>58</v>
      </c>
      <c r="AQ54" s="3" t="s">
        <v>70</v>
      </c>
      <c r="AR54" s="6" t="str">
        <f>HYPERLINK("http://catalog.hathitrust.org/Record/001469506","HathiTrust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HYPERLINK("https://creighton-primo.hosted.exlibrisgroup.com/primo-explore/search?tab=default_tab&amp;search_scope=EVERYTHING&amp;vid=01CRU&amp;lang=en_US&amp;offset=0&amp;query=any,contains,991000632469702656","Catalog Record")</f>
        <v>Catalog Record</v>
      </c>
      <c r="AT54" s="6" t="str">
        <f>HYPERLINK("http://www.worldcat.org/oclc/106306","WorldCat Record")</f>
        <v>WorldCat Record</v>
      </c>
      <c r="AU54" s="3" t="s">
        <v>785</v>
      </c>
      <c r="AV54" s="3" t="s">
        <v>786</v>
      </c>
      <c r="AW54" s="3" t="s">
        <v>787</v>
      </c>
      <c r="AX54" s="3" t="s">
        <v>787</v>
      </c>
      <c r="AY54" s="3" t="s">
        <v>788</v>
      </c>
      <c r="AZ54" s="3" t="s">
        <v>75</v>
      </c>
      <c r="BB54" s="3" t="s">
        <v>789</v>
      </c>
      <c r="BC54" s="3" t="s">
        <v>790</v>
      </c>
      <c r="BD54" s="3" t="s">
        <v>791</v>
      </c>
    </row>
    <row r="55" spans="1:56" ht="54" customHeight="1" x14ac:dyDescent="0.25">
      <c r="A55" s="7" t="s">
        <v>58</v>
      </c>
      <c r="B55" s="2" t="s">
        <v>792</v>
      </c>
      <c r="C55" s="2" t="s">
        <v>793</v>
      </c>
      <c r="D55" s="2" t="s">
        <v>794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K55" s="2" t="s">
        <v>780</v>
      </c>
      <c r="L55" s="2" t="s">
        <v>795</v>
      </c>
      <c r="M55" s="3" t="s">
        <v>415</v>
      </c>
      <c r="O55" s="3" t="s">
        <v>65</v>
      </c>
      <c r="P55" s="3" t="s">
        <v>66</v>
      </c>
      <c r="Q55" s="2" t="s">
        <v>782</v>
      </c>
      <c r="R55" s="3" t="s">
        <v>67</v>
      </c>
      <c r="S55" s="4">
        <v>1</v>
      </c>
      <c r="T55" s="4">
        <v>1</v>
      </c>
      <c r="U55" s="5" t="s">
        <v>783</v>
      </c>
      <c r="V55" s="5" t="s">
        <v>783</v>
      </c>
      <c r="W55" s="5" t="s">
        <v>796</v>
      </c>
      <c r="X55" s="5" t="s">
        <v>796</v>
      </c>
      <c r="Y55" s="4">
        <v>224</v>
      </c>
      <c r="Z55" s="4">
        <v>206</v>
      </c>
      <c r="AA55" s="4">
        <v>211</v>
      </c>
      <c r="AB55" s="4">
        <v>3</v>
      </c>
      <c r="AC55" s="4">
        <v>3</v>
      </c>
      <c r="AD55" s="4">
        <v>7</v>
      </c>
      <c r="AE55" s="4">
        <v>7</v>
      </c>
      <c r="AF55" s="4">
        <v>2</v>
      </c>
      <c r="AG55" s="4">
        <v>2</v>
      </c>
      <c r="AH55" s="4">
        <v>2</v>
      </c>
      <c r="AI55" s="4">
        <v>2</v>
      </c>
      <c r="AJ55" s="4">
        <v>3</v>
      </c>
      <c r="AK55" s="4">
        <v>3</v>
      </c>
      <c r="AL55" s="4">
        <v>2</v>
      </c>
      <c r="AM55" s="4">
        <v>2</v>
      </c>
      <c r="AN55" s="4">
        <v>0</v>
      </c>
      <c r="AO55" s="4">
        <v>0</v>
      </c>
      <c r="AP55" s="3" t="s">
        <v>58</v>
      </c>
      <c r="AQ55" s="3" t="s">
        <v>70</v>
      </c>
      <c r="AR55" s="6" t="str">
        <f>HYPERLINK("http://catalog.hathitrust.org/Record/007474988","HathiTrust Record")</f>
        <v>HathiTrust Record</v>
      </c>
      <c r="AS55" s="6" t="str">
        <f>HYPERLINK("https://creighton-primo.hosted.exlibrisgroup.com/primo-explore/search?tab=default_tab&amp;search_scope=EVERYTHING&amp;vid=01CRU&amp;lang=en_US&amp;offset=0&amp;query=any,contains,991002873859702656","Catalog Record")</f>
        <v>Catalog Record</v>
      </c>
      <c r="AT55" s="6" t="str">
        <f>HYPERLINK("http://www.worldcat.org/oclc/501496","WorldCat Record")</f>
        <v>WorldCat Record</v>
      </c>
      <c r="AU55" s="3" t="s">
        <v>797</v>
      </c>
      <c r="AV55" s="3" t="s">
        <v>798</v>
      </c>
      <c r="AW55" s="3" t="s">
        <v>799</v>
      </c>
      <c r="AX55" s="3" t="s">
        <v>799</v>
      </c>
      <c r="AY55" s="3" t="s">
        <v>800</v>
      </c>
      <c r="AZ55" s="3" t="s">
        <v>75</v>
      </c>
      <c r="BC55" s="3" t="s">
        <v>801</v>
      </c>
      <c r="BD55" s="3" t="s">
        <v>802</v>
      </c>
    </row>
    <row r="56" spans="1:56" ht="54" customHeight="1" x14ac:dyDescent="0.25">
      <c r="A56" s="7" t="s">
        <v>58</v>
      </c>
      <c r="B56" s="2" t="s">
        <v>803</v>
      </c>
      <c r="C56" s="2" t="s">
        <v>804</v>
      </c>
      <c r="D56" s="2" t="s">
        <v>805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K56" s="2" t="s">
        <v>806</v>
      </c>
      <c r="L56" s="2" t="s">
        <v>807</v>
      </c>
      <c r="M56" s="3" t="s">
        <v>808</v>
      </c>
      <c r="N56" s="2" t="s">
        <v>250</v>
      </c>
      <c r="O56" s="3" t="s">
        <v>65</v>
      </c>
      <c r="P56" s="3" t="s">
        <v>66</v>
      </c>
      <c r="R56" s="3" t="s">
        <v>67</v>
      </c>
      <c r="S56" s="4">
        <v>21</v>
      </c>
      <c r="T56" s="4">
        <v>21</v>
      </c>
      <c r="U56" s="5" t="s">
        <v>809</v>
      </c>
      <c r="V56" s="5" t="s">
        <v>809</v>
      </c>
      <c r="W56" s="5" t="s">
        <v>810</v>
      </c>
      <c r="X56" s="5" t="s">
        <v>810</v>
      </c>
      <c r="Y56" s="4">
        <v>653</v>
      </c>
      <c r="Z56" s="4">
        <v>581</v>
      </c>
      <c r="AA56" s="4">
        <v>873</v>
      </c>
      <c r="AB56" s="4">
        <v>5</v>
      </c>
      <c r="AC56" s="4">
        <v>6</v>
      </c>
      <c r="AD56" s="4">
        <v>16</v>
      </c>
      <c r="AE56" s="4">
        <v>17</v>
      </c>
      <c r="AF56" s="4">
        <v>6</v>
      </c>
      <c r="AG56" s="4">
        <v>6</v>
      </c>
      <c r="AH56" s="4">
        <v>3</v>
      </c>
      <c r="AI56" s="4">
        <v>3</v>
      </c>
      <c r="AJ56" s="4">
        <v>7</v>
      </c>
      <c r="AK56" s="4">
        <v>8</v>
      </c>
      <c r="AL56" s="4">
        <v>4</v>
      </c>
      <c r="AM56" s="4">
        <v>4</v>
      </c>
      <c r="AN56" s="4">
        <v>0</v>
      </c>
      <c r="AO56" s="4">
        <v>0</v>
      </c>
      <c r="AP56" s="3" t="s">
        <v>58</v>
      </c>
      <c r="AQ56" s="3" t="s">
        <v>70</v>
      </c>
      <c r="AR56" s="6" t="str">
        <f>HYPERLINK("http://catalog.hathitrust.org/Record/001841153","HathiTrust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HYPERLINK("https://creighton-primo.hosted.exlibrisgroup.com/primo-explore/search?tab=default_tab&amp;search_scope=EVERYTHING&amp;vid=01CRU&amp;lang=en_US&amp;offset=0&amp;query=any,contains,991001501959702656","Catalog Record")</f>
        <v>Catalog Record</v>
      </c>
      <c r="AT56" s="6" t="str">
        <f>HYPERLINK("http://www.worldcat.org/oclc/19811383","WorldCat Record")</f>
        <v>WorldCat Record</v>
      </c>
      <c r="AU56" s="3" t="s">
        <v>811</v>
      </c>
      <c r="AV56" s="3" t="s">
        <v>812</v>
      </c>
      <c r="AW56" s="3" t="s">
        <v>813</v>
      </c>
      <c r="AX56" s="3" t="s">
        <v>813</v>
      </c>
      <c r="AY56" s="3" t="s">
        <v>814</v>
      </c>
      <c r="AZ56" s="3" t="s">
        <v>75</v>
      </c>
      <c r="BB56" s="3" t="s">
        <v>815</v>
      </c>
      <c r="BC56" s="3" t="s">
        <v>816</v>
      </c>
      <c r="BD56" s="3" t="s">
        <v>817</v>
      </c>
    </row>
    <row r="57" spans="1:56" ht="54" customHeight="1" x14ac:dyDescent="0.25">
      <c r="A57" s="7" t="s">
        <v>58</v>
      </c>
      <c r="B57" s="2" t="s">
        <v>818</v>
      </c>
      <c r="C57" s="2" t="s">
        <v>819</v>
      </c>
      <c r="D57" s="2" t="s">
        <v>820</v>
      </c>
      <c r="F57" s="3" t="s">
        <v>58</v>
      </c>
      <c r="G57" s="3" t="s">
        <v>59</v>
      </c>
      <c r="H57" s="3" t="s">
        <v>58</v>
      </c>
      <c r="I57" s="3" t="s">
        <v>58</v>
      </c>
      <c r="J57" s="3" t="s">
        <v>60</v>
      </c>
      <c r="K57" s="2" t="s">
        <v>821</v>
      </c>
      <c r="L57" s="2" t="s">
        <v>822</v>
      </c>
      <c r="M57" s="3" t="s">
        <v>823</v>
      </c>
      <c r="N57" s="2" t="s">
        <v>250</v>
      </c>
      <c r="O57" s="3" t="s">
        <v>65</v>
      </c>
      <c r="P57" s="3" t="s">
        <v>66</v>
      </c>
      <c r="R57" s="3" t="s">
        <v>67</v>
      </c>
      <c r="S57" s="4">
        <v>21</v>
      </c>
      <c r="T57" s="4">
        <v>21</v>
      </c>
      <c r="U57" s="5" t="s">
        <v>824</v>
      </c>
      <c r="V57" s="5" t="s">
        <v>824</v>
      </c>
      <c r="W57" s="5" t="s">
        <v>825</v>
      </c>
      <c r="X57" s="5" t="s">
        <v>825</v>
      </c>
      <c r="Y57" s="4">
        <v>807</v>
      </c>
      <c r="Z57" s="4">
        <v>730</v>
      </c>
      <c r="AA57" s="4">
        <v>868</v>
      </c>
      <c r="AB57" s="4">
        <v>7</v>
      </c>
      <c r="AC57" s="4">
        <v>7</v>
      </c>
      <c r="AD57" s="4">
        <v>14</v>
      </c>
      <c r="AE57" s="4">
        <v>15</v>
      </c>
      <c r="AF57" s="4">
        <v>6</v>
      </c>
      <c r="AG57" s="4">
        <v>7</v>
      </c>
      <c r="AH57" s="4">
        <v>1</v>
      </c>
      <c r="AI57" s="4">
        <v>1</v>
      </c>
      <c r="AJ57" s="4">
        <v>5</v>
      </c>
      <c r="AK57" s="4">
        <v>6</v>
      </c>
      <c r="AL57" s="4">
        <v>3</v>
      </c>
      <c r="AM57" s="4">
        <v>3</v>
      </c>
      <c r="AN57" s="4">
        <v>0</v>
      </c>
      <c r="AO57" s="4">
        <v>0</v>
      </c>
      <c r="AP57" s="3" t="s">
        <v>58</v>
      </c>
      <c r="AQ57" s="3" t="s">
        <v>58</v>
      </c>
      <c r="AS57" s="6" t="str">
        <f>HYPERLINK("https://creighton-primo.hosted.exlibrisgroup.com/primo-explore/search?tab=default_tab&amp;search_scope=EVERYTHING&amp;vid=01CRU&amp;lang=en_US&amp;offset=0&amp;query=any,contains,991001335299702656","Catalog Record")</f>
        <v>Catalog Record</v>
      </c>
      <c r="AT57" s="6" t="str">
        <f>HYPERLINK("http://www.worldcat.org/oclc/18350940","WorldCat Record")</f>
        <v>WorldCat Record</v>
      </c>
      <c r="AU57" s="3" t="s">
        <v>826</v>
      </c>
      <c r="AV57" s="3" t="s">
        <v>827</v>
      </c>
      <c r="AW57" s="3" t="s">
        <v>828</v>
      </c>
      <c r="AX57" s="3" t="s">
        <v>828</v>
      </c>
      <c r="AY57" s="3" t="s">
        <v>829</v>
      </c>
      <c r="AZ57" s="3" t="s">
        <v>75</v>
      </c>
      <c r="BB57" s="3" t="s">
        <v>830</v>
      </c>
      <c r="BC57" s="3" t="s">
        <v>831</v>
      </c>
      <c r="BD57" s="3" t="s">
        <v>832</v>
      </c>
    </row>
    <row r="58" spans="1:56" ht="54" customHeight="1" x14ac:dyDescent="0.25">
      <c r="A58" s="7" t="s">
        <v>58</v>
      </c>
      <c r="B58" s="2" t="s">
        <v>833</v>
      </c>
      <c r="C58" s="2" t="s">
        <v>834</v>
      </c>
      <c r="D58" s="2" t="s">
        <v>835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K58" s="2" t="s">
        <v>836</v>
      </c>
      <c r="L58" s="2" t="s">
        <v>837</v>
      </c>
      <c r="M58" s="3" t="s">
        <v>750</v>
      </c>
      <c r="O58" s="3" t="s">
        <v>65</v>
      </c>
      <c r="P58" s="3" t="s">
        <v>66</v>
      </c>
      <c r="R58" s="3" t="s">
        <v>67</v>
      </c>
      <c r="S58" s="4">
        <v>6</v>
      </c>
      <c r="T58" s="4">
        <v>6</v>
      </c>
      <c r="U58" s="5" t="s">
        <v>838</v>
      </c>
      <c r="V58" s="5" t="s">
        <v>838</v>
      </c>
      <c r="W58" s="5" t="s">
        <v>87</v>
      </c>
      <c r="X58" s="5" t="s">
        <v>87</v>
      </c>
      <c r="Y58" s="4">
        <v>360</v>
      </c>
      <c r="Z58" s="4">
        <v>314</v>
      </c>
      <c r="AA58" s="4">
        <v>333</v>
      </c>
      <c r="AB58" s="4">
        <v>3</v>
      </c>
      <c r="AC58" s="4">
        <v>3</v>
      </c>
      <c r="AD58" s="4">
        <v>8</v>
      </c>
      <c r="AE58" s="4">
        <v>8</v>
      </c>
      <c r="AF58" s="4">
        <v>3</v>
      </c>
      <c r="AG58" s="4">
        <v>3</v>
      </c>
      <c r="AH58" s="4">
        <v>2</v>
      </c>
      <c r="AI58" s="4">
        <v>2</v>
      </c>
      <c r="AJ58" s="4">
        <v>3</v>
      </c>
      <c r="AK58" s="4">
        <v>3</v>
      </c>
      <c r="AL58" s="4">
        <v>1</v>
      </c>
      <c r="AM58" s="4">
        <v>1</v>
      </c>
      <c r="AN58" s="4">
        <v>0</v>
      </c>
      <c r="AO58" s="4">
        <v>0</v>
      </c>
      <c r="AP58" s="3" t="s">
        <v>58</v>
      </c>
      <c r="AQ58" s="3" t="s">
        <v>70</v>
      </c>
      <c r="AR58" s="6" t="str">
        <f>HYPERLINK("http://catalog.hathitrust.org/Record/000001317","HathiTrust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HYPERLINK("https://creighton-primo.hosted.exlibrisgroup.com/primo-explore/search?tab=default_tab&amp;search_scope=EVERYTHING&amp;vid=01CRU&amp;lang=en_US&amp;offset=0&amp;query=any,contains,991000587079702656","Catalog Record")</f>
        <v>Catalog Record</v>
      </c>
      <c r="AT58" s="6" t="str">
        <f>HYPERLINK("http://www.worldcat.org/oclc/96348","WorldCat Record")</f>
        <v>WorldCat Record</v>
      </c>
      <c r="AU58" s="3" t="s">
        <v>839</v>
      </c>
      <c r="AV58" s="3" t="s">
        <v>840</v>
      </c>
      <c r="AW58" s="3" t="s">
        <v>841</v>
      </c>
      <c r="AX58" s="3" t="s">
        <v>841</v>
      </c>
      <c r="AY58" s="3" t="s">
        <v>842</v>
      </c>
      <c r="AZ58" s="3" t="s">
        <v>75</v>
      </c>
      <c r="BC58" s="3" t="s">
        <v>843</v>
      </c>
      <c r="BD58" s="3" t="s">
        <v>844</v>
      </c>
    </row>
    <row r="59" spans="1:56" ht="54" customHeight="1" x14ac:dyDescent="0.25">
      <c r="A59" s="7" t="s">
        <v>58</v>
      </c>
      <c r="B59" s="2" t="s">
        <v>845</v>
      </c>
      <c r="C59" s="2" t="s">
        <v>846</v>
      </c>
      <c r="D59" s="2" t="s">
        <v>847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60</v>
      </c>
      <c r="K59" s="2" t="s">
        <v>848</v>
      </c>
      <c r="L59" s="2" t="s">
        <v>849</v>
      </c>
      <c r="M59" s="3" t="s">
        <v>658</v>
      </c>
      <c r="O59" s="3" t="s">
        <v>65</v>
      </c>
      <c r="P59" s="3" t="s">
        <v>66</v>
      </c>
      <c r="R59" s="3" t="s">
        <v>67</v>
      </c>
      <c r="S59" s="4">
        <v>4</v>
      </c>
      <c r="T59" s="4">
        <v>4</v>
      </c>
      <c r="U59" s="5" t="s">
        <v>838</v>
      </c>
      <c r="V59" s="5" t="s">
        <v>838</v>
      </c>
      <c r="W59" s="5" t="s">
        <v>850</v>
      </c>
      <c r="X59" s="5" t="s">
        <v>850</v>
      </c>
      <c r="Y59" s="4">
        <v>956</v>
      </c>
      <c r="Z59" s="4">
        <v>893</v>
      </c>
      <c r="AA59" s="4">
        <v>1376</v>
      </c>
      <c r="AB59" s="4">
        <v>10</v>
      </c>
      <c r="AC59" s="4">
        <v>13</v>
      </c>
      <c r="AD59" s="4">
        <v>22</v>
      </c>
      <c r="AE59" s="4">
        <v>35</v>
      </c>
      <c r="AF59" s="4">
        <v>6</v>
      </c>
      <c r="AG59" s="4">
        <v>14</v>
      </c>
      <c r="AH59" s="4">
        <v>7</v>
      </c>
      <c r="AI59" s="4">
        <v>7</v>
      </c>
      <c r="AJ59" s="4">
        <v>7</v>
      </c>
      <c r="AK59" s="4">
        <v>14</v>
      </c>
      <c r="AL59" s="4">
        <v>6</v>
      </c>
      <c r="AM59" s="4">
        <v>8</v>
      </c>
      <c r="AN59" s="4">
        <v>0</v>
      </c>
      <c r="AO59" s="4">
        <v>0</v>
      </c>
      <c r="AP59" s="3" t="s">
        <v>58</v>
      </c>
      <c r="AQ59" s="3" t="s">
        <v>70</v>
      </c>
      <c r="AR59" s="6" t="str">
        <f>HYPERLINK("http://catalog.hathitrust.org/Record/001482874","HathiTrust Record")</f>
        <v>HathiTrust Record</v>
      </c>
      <c r="AS59" s="6" t="str">
        <f>HYPERLINK("https://creighton-primo.hosted.exlibrisgroup.com/primo-explore/search?tab=default_tab&amp;search_scope=EVERYTHING&amp;vid=01CRU&amp;lang=en_US&amp;offset=0&amp;query=any,contains,991003229559702656","Catalog Record")</f>
        <v>Catalog Record</v>
      </c>
      <c r="AT59" s="6" t="str">
        <f>HYPERLINK("http://www.worldcat.org/oclc/754451","WorldCat Record")</f>
        <v>WorldCat Record</v>
      </c>
      <c r="AU59" s="3" t="s">
        <v>851</v>
      </c>
      <c r="AV59" s="3" t="s">
        <v>852</v>
      </c>
      <c r="AW59" s="3" t="s">
        <v>853</v>
      </c>
      <c r="AX59" s="3" t="s">
        <v>853</v>
      </c>
      <c r="AY59" s="3" t="s">
        <v>854</v>
      </c>
      <c r="AZ59" s="3" t="s">
        <v>75</v>
      </c>
      <c r="BB59" s="3" t="s">
        <v>855</v>
      </c>
      <c r="BC59" s="3" t="s">
        <v>856</v>
      </c>
      <c r="BD59" s="3" t="s">
        <v>857</v>
      </c>
    </row>
    <row r="60" spans="1:56" ht="54" customHeight="1" x14ac:dyDescent="0.25">
      <c r="A60" s="7" t="s">
        <v>58</v>
      </c>
      <c r="B60" s="2" t="s">
        <v>858</v>
      </c>
      <c r="C60" s="2" t="s">
        <v>859</v>
      </c>
      <c r="D60" s="2" t="s">
        <v>860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60</v>
      </c>
      <c r="K60" s="2" t="s">
        <v>861</v>
      </c>
      <c r="L60" s="2" t="s">
        <v>862</v>
      </c>
      <c r="M60" s="3" t="s">
        <v>630</v>
      </c>
      <c r="O60" s="3" t="s">
        <v>65</v>
      </c>
      <c r="P60" s="3" t="s">
        <v>281</v>
      </c>
      <c r="R60" s="3" t="s">
        <v>67</v>
      </c>
      <c r="S60" s="4">
        <v>5</v>
      </c>
      <c r="T60" s="4">
        <v>5</v>
      </c>
      <c r="U60" s="5" t="s">
        <v>863</v>
      </c>
      <c r="V60" s="5" t="s">
        <v>863</v>
      </c>
      <c r="W60" s="5" t="s">
        <v>864</v>
      </c>
      <c r="X60" s="5" t="s">
        <v>864</v>
      </c>
      <c r="Y60" s="4">
        <v>321</v>
      </c>
      <c r="Z60" s="4">
        <v>269</v>
      </c>
      <c r="AA60" s="4">
        <v>276</v>
      </c>
      <c r="AB60" s="4">
        <v>3</v>
      </c>
      <c r="AC60" s="4">
        <v>3</v>
      </c>
      <c r="AD60" s="4">
        <v>6</v>
      </c>
      <c r="AE60" s="4">
        <v>6</v>
      </c>
      <c r="AF60" s="4">
        <v>4</v>
      </c>
      <c r="AG60" s="4">
        <v>4</v>
      </c>
      <c r="AH60" s="4">
        <v>0</v>
      </c>
      <c r="AI60" s="4">
        <v>0</v>
      </c>
      <c r="AJ60" s="4">
        <v>3</v>
      </c>
      <c r="AK60" s="4">
        <v>3</v>
      </c>
      <c r="AL60" s="4">
        <v>0</v>
      </c>
      <c r="AM60" s="4">
        <v>0</v>
      </c>
      <c r="AN60" s="4">
        <v>0</v>
      </c>
      <c r="AO60" s="4">
        <v>0</v>
      </c>
      <c r="AP60" s="3" t="s">
        <v>58</v>
      </c>
      <c r="AQ60" s="3" t="s">
        <v>58</v>
      </c>
      <c r="AS60" s="6" t="str">
        <f>HYPERLINK("https://creighton-primo.hosted.exlibrisgroup.com/primo-explore/search?tab=default_tab&amp;search_scope=EVERYTHING&amp;vid=01CRU&amp;lang=en_US&amp;offset=0&amp;query=any,contains,991002067959702656","Catalog Record")</f>
        <v>Catalog Record</v>
      </c>
      <c r="AT60" s="6" t="str">
        <f>HYPERLINK("http://www.worldcat.org/oclc/26502253","WorldCat Record")</f>
        <v>WorldCat Record</v>
      </c>
      <c r="AU60" s="3" t="s">
        <v>865</v>
      </c>
      <c r="AV60" s="3" t="s">
        <v>866</v>
      </c>
      <c r="AW60" s="3" t="s">
        <v>867</v>
      </c>
      <c r="AX60" s="3" t="s">
        <v>867</v>
      </c>
      <c r="AY60" s="3" t="s">
        <v>868</v>
      </c>
      <c r="AZ60" s="3" t="s">
        <v>75</v>
      </c>
      <c r="BB60" s="3" t="s">
        <v>869</v>
      </c>
      <c r="BC60" s="3" t="s">
        <v>870</v>
      </c>
      <c r="BD60" s="3" t="s">
        <v>871</v>
      </c>
    </row>
    <row r="61" spans="1:56" ht="54" customHeight="1" x14ac:dyDescent="0.25">
      <c r="A61" s="7" t="s">
        <v>58</v>
      </c>
      <c r="B61" s="2" t="s">
        <v>872</v>
      </c>
      <c r="C61" s="2" t="s">
        <v>873</v>
      </c>
      <c r="D61" s="2" t="s">
        <v>874</v>
      </c>
      <c r="F61" s="3" t="s">
        <v>58</v>
      </c>
      <c r="G61" s="3" t="s">
        <v>59</v>
      </c>
      <c r="H61" s="3" t="s">
        <v>58</v>
      </c>
      <c r="I61" s="3" t="s">
        <v>58</v>
      </c>
      <c r="J61" s="3" t="s">
        <v>60</v>
      </c>
      <c r="K61" s="2" t="s">
        <v>875</v>
      </c>
      <c r="L61" s="2" t="s">
        <v>876</v>
      </c>
      <c r="M61" s="3" t="s">
        <v>877</v>
      </c>
      <c r="O61" s="3" t="s">
        <v>65</v>
      </c>
      <c r="P61" s="3" t="s">
        <v>281</v>
      </c>
      <c r="R61" s="3" t="s">
        <v>67</v>
      </c>
      <c r="S61" s="4">
        <v>1</v>
      </c>
      <c r="T61" s="4">
        <v>1</v>
      </c>
      <c r="U61" s="5" t="s">
        <v>878</v>
      </c>
      <c r="V61" s="5" t="s">
        <v>878</v>
      </c>
      <c r="W61" s="5" t="s">
        <v>878</v>
      </c>
      <c r="X61" s="5" t="s">
        <v>878</v>
      </c>
      <c r="Y61" s="4">
        <v>285</v>
      </c>
      <c r="Z61" s="4">
        <v>248</v>
      </c>
      <c r="AA61" s="4">
        <v>304</v>
      </c>
      <c r="AB61" s="4">
        <v>2</v>
      </c>
      <c r="AC61" s="4">
        <v>3</v>
      </c>
      <c r="AD61" s="4">
        <v>8</v>
      </c>
      <c r="AE61" s="4">
        <v>9</v>
      </c>
      <c r="AF61" s="4">
        <v>2</v>
      </c>
      <c r="AG61" s="4">
        <v>2</v>
      </c>
      <c r="AH61" s="4">
        <v>1</v>
      </c>
      <c r="AI61" s="4">
        <v>1</v>
      </c>
      <c r="AJ61" s="4">
        <v>6</v>
      </c>
      <c r="AK61" s="4">
        <v>6</v>
      </c>
      <c r="AL61" s="4">
        <v>1</v>
      </c>
      <c r="AM61" s="4">
        <v>2</v>
      </c>
      <c r="AN61" s="4">
        <v>0</v>
      </c>
      <c r="AO61" s="4">
        <v>0</v>
      </c>
      <c r="AP61" s="3" t="s">
        <v>58</v>
      </c>
      <c r="AQ61" s="3" t="s">
        <v>58</v>
      </c>
      <c r="AS61" s="6" t="str">
        <f>HYPERLINK("https://creighton-primo.hosted.exlibrisgroup.com/primo-explore/search?tab=default_tab&amp;search_scope=EVERYTHING&amp;vid=01CRU&amp;lang=en_US&amp;offset=0&amp;query=any,contains,991005312159702656","Catalog Record")</f>
        <v>Catalog Record</v>
      </c>
      <c r="AT61" s="6" t="str">
        <f>HYPERLINK("http://www.worldcat.org/oclc/15549293","WorldCat Record")</f>
        <v>WorldCat Record</v>
      </c>
      <c r="AU61" s="3" t="s">
        <v>879</v>
      </c>
      <c r="AV61" s="3" t="s">
        <v>880</v>
      </c>
      <c r="AW61" s="3" t="s">
        <v>881</v>
      </c>
      <c r="AX61" s="3" t="s">
        <v>881</v>
      </c>
      <c r="AY61" s="3" t="s">
        <v>882</v>
      </c>
      <c r="AZ61" s="3" t="s">
        <v>75</v>
      </c>
      <c r="BB61" s="3" t="s">
        <v>883</v>
      </c>
      <c r="BC61" s="3" t="s">
        <v>884</v>
      </c>
      <c r="BD61" s="3" t="s">
        <v>885</v>
      </c>
    </row>
    <row r="62" spans="1:56" ht="54" customHeight="1" x14ac:dyDescent="0.25">
      <c r="A62" s="7" t="s">
        <v>58</v>
      </c>
      <c r="B62" s="2" t="s">
        <v>886</v>
      </c>
      <c r="C62" s="2" t="s">
        <v>887</v>
      </c>
      <c r="D62" s="2" t="s">
        <v>888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K62" s="2" t="s">
        <v>889</v>
      </c>
      <c r="L62" s="2" t="s">
        <v>890</v>
      </c>
      <c r="M62" s="3" t="s">
        <v>891</v>
      </c>
      <c r="O62" s="3" t="s">
        <v>65</v>
      </c>
      <c r="P62" s="3" t="s">
        <v>751</v>
      </c>
      <c r="R62" s="3" t="s">
        <v>67</v>
      </c>
      <c r="S62" s="4">
        <v>3</v>
      </c>
      <c r="T62" s="4">
        <v>3</v>
      </c>
      <c r="U62" s="5" t="s">
        <v>892</v>
      </c>
      <c r="V62" s="5" t="s">
        <v>892</v>
      </c>
      <c r="W62" s="5" t="s">
        <v>506</v>
      </c>
      <c r="X62" s="5" t="s">
        <v>506</v>
      </c>
      <c r="Y62" s="4">
        <v>611</v>
      </c>
      <c r="Z62" s="4">
        <v>506</v>
      </c>
      <c r="AA62" s="4">
        <v>575</v>
      </c>
      <c r="AB62" s="4">
        <v>9</v>
      </c>
      <c r="AC62" s="4">
        <v>9</v>
      </c>
      <c r="AD62" s="4">
        <v>31</v>
      </c>
      <c r="AE62" s="4">
        <v>33</v>
      </c>
      <c r="AF62" s="4">
        <v>7</v>
      </c>
      <c r="AG62" s="4">
        <v>8</v>
      </c>
      <c r="AH62" s="4">
        <v>7</v>
      </c>
      <c r="AI62" s="4">
        <v>8</v>
      </c>
      <c r="AJ62" s="4">
        <v>14</v>
      </c>
      <c r="AK62" s="4">
        <v>15</v>
      </c>
      <c r="AL62" s="4">
        <v>8</v>
      </c>
      <c r="AM62" s="4">
        <v>8</v>
      </c>
      <c r="AN62" s="4">
        <v>0</v>
      </c>
      <c r="AO62" s="4">
        <v>0</v>
      </c>
      <c r="AP62" s="3" t="s">
        <v>58</v>
      </c>
      <c r="AQ62" s="3" t="s">
        <v>58</v>
      </c>
      <c r="AS62" s="6" t="str">
        <f>HYPERLINK("https://creighton-primo.hosted.exlibrisgroup.com/primo-explore/search?tab=default_tab&amp;search_scope=EVERYTHING&amp;vid=01CRU&amp;lang=en_US&amp;offset=0&amp;query=any,contains,991002948459702656","Catalog Record")</f>
        <v>Catalog Record</v>
      </c>
      <c r="AT62" s="6" t="str">
        <f>HYPERLINK("http://www.worldcat.org/oclc/537582","WorldCat Record")</f>
        <v>WorldCat Record</v>
      </c>
      <c r="AU62" s="3" t="s">
        <v>893</v>
      </c>
      <c r="AV62" s="3" t="s">
        <v>894</v>
      </c>
      <c r="AW62" s="3" t="s">
        <v>895</v>
      </c>
      <c r="AX62" s="3" t="s">
        <v>895</v>
      </c>
      <c r="AY62" s="3" t="s">
        <v>896</v>
      </c>
      <c r="AZ62" s="3" t="s">
        <v>75</v>
      </c>
      <c r="BC62" s="3" t="s">
        <v>897</v>
      </c>
      <c r="BD62" s="3" t="s">
        <v>898</v>
      </c>
    </row>
    <row r="63" spans="1:56" ht="54" customHeight="1" x14ac:dyDescent="0.25">
      <c r="A63" s="7" t="s">
        <v>58</v>
      </c>
      <c r="B63" s="2" t="s">
        <v>899</v>
      </c>
      <c r="C63" s="2" t="s">
        <v>900</v>
      </c>
      <c r="D63" s="2" t="s">
        <v>901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K63" s="2" t="s">
        <v>902</v>
      </c>
      <c r="L63" s="2" t="s">
        <v>903</v>
      </c>
      <c r="M63" s="3" t="s">
        <v>372</v>
      </c>
      <c r="O63" s="3" t="s">
        <v>65</v>
      </c>
      <c r="P63" s="3" t="s">
        <v>281</v>
      </c>
      <c r="R63" s="3" t="s">
        <v>67</v>
      </c>
      <c r="S63" s="4">
        <v>4</v>
      </c>
      <c r="T63" s="4">
        <v>4</v>
      </c>
      <c r="U63" s="5" t="s">
        <v>904</v>
      </c>
      <c r="V63" s="5" t="s">
        <v>904</v>
      </c>
      <c r="W63" s="5" t="s">
        <v>905</v>
      </c>
      <c r="X63" s="5" t="s">
        <v>905</v>
      </c>
      <c r="Y63" s="4">
        <v>262</v>
      </c>
      <c r="Z63" s="4">
        <v>123</v>
      </c>
      <c r="AA63" s="4">
        <v>307</v>
      </c>
      <c r="AB63" s="4">
        <v>2</v>
      </c>
      <c r="AC63" s="4">
        <v>3</v>
      </c>
      <c r="AD63" s="4">
        <v>6</v>
      </c>
      <c r="AE63" s="4">
        <v>14</v>
      </c>
      <c r="AF63" s="4">
        <v>1</v>
      </c>
      <c r="AG63" s="4">
        <v>5</v>
      </c>
      <c r="AH63" s="4">
        <v>1</v>
      </c>
      <c r="AI63" s="4">
        <v>5</v>
      </c>
      <c r="AJ63" s="4">
        <v>5</v>
      </c>
      <c r="AK63" s="4">
        <v>7</v>
      </c>
      <c r="AL63" s="4">
        <v>1</v>
      </c>
      <c r="AM63" s="4">
        <v>1</v>
      </c>
      <c r="AN63" s="4">
        <v>0</v>
      </c>
      <c r="AO63" s="4">
        <v>0</v>
      </c>
      <c r="AP63" s="3" t="s">
        <v>58</v>
      </c>
      <c r="AQ63" s="3" t="s">
        <v>70</v>
      </c>
      <c r="AR63" s="6" t="str">
        <f>HYPERLINK("http://catalog.hathitrust.org/Record/001468429","HathiTrust Record")</f>
        <v>HathiTrust Record</v>
      </c>
      <c r="AS63" s="6" t="str">
        <f>HYPERLINK("https://creighton-primo.hosted.exlibrisgroup.com/primo-explore/search?tab=default_tab&amp;search_scope=EVERYTHING&amp;vid=01CRU&amp;lang=en_US&amp;offset=0&amp;query=any,contains,991003050359702656","Catalog Record")</f>
        <v>Catalog Record</v>
      </c>
      <c r="AT63" s="6" t="str">
        <f>HYPERLINK("http://www.worldcat.org/oclc/610068","WorldCat Record")</f>
        <v>WorldCat Record</v>
      </c>
      <c r="AU63" s="3" t="s">
        <v>906</v>
      </c>
      <c r="AV63" s="3" t="s">
        <v>907</v>
      </c>
      <c r="AW63" s="3" t="s">
        <v>908</v>
      </c>
      <c r="AX63" s="3" t="s">
        <v>908</v>
      </c>
      <c r="AY63" s="3" t="s">
        <v>909</v>
      </c>
      <c r="AZ63" s="3" t="s">
        <v>75</v>
      </c>
      <c r="BB63" s="3" t="s">
        <v>910</v>
      </c>
      <c r="BC63" s="3" t="s">
        <v>911</v>
      </c>
      <c r="BD63" s="3" t="s">
        <v>912</v>
      </c>
    </row>
    <row r="64" spans="1:56" ht="54" customHeight="1" x14ac:dyDescent="0.25">
      <c r="A64" s="7" t="s">
        <v>58</v>
      </c>
      <c r="B64" s="2" t="s">
        <v>913</v>
      </c>
      <c r="C64" s="2" t="s">
        <v>914</v>
      </c>
      <c r="D64" s="2" t="s">
        <v>915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K64" s="2" t="s">
        <v>916</v>
      </c>
      <c r="L64" s="2" t="s">
        <v>917</v>
      </c>
      <c r="M64" s="3" t="s">
        <v>918</v>
      </c>
      <c r="O64" s="3" t="s">
        <v>65</v>
      </c>
      <c r="P64" s="3" t="s">
        <v>66</v>
      </c>
      <c r="Q64" s="2" t="s">
        <v>919</v>
      </c>
      <c r="R64" s="3" t="s">
        <v>67</v>
      </c>
      <c r="S64" s="4">
        <v>2</v>
      </c>
      <c r="T64" s="4">
        <v>2</v>
      </c>
      <c r="U64" s="5" t="s">
        <v>920</v>
      </c>
      <c r="V64" s="5" t="s">
        <v>920</v>
      </c>
      <c r="W64" s="5" t="s">
        <v>506</v>
      </c>
      <c r="X64" s="5" t="s">
        <v>506</v>
      </c>
      <c r="Y64" s="4">
        <v>470</v>
      </c>
      <c r="Z64" s="4">
        <v>440</v>
      </c>
      <c r="AA64" s="4">
        <v>722</v>
      </c>
      <c r="AB64" s="4">
        <v>4</v>
      </c>
      <c r="AC64" s="4">
        <v>6</v>
      </c>
      <c r="AD64" s="4">
        <v>15</v>
      </c>
      <c r="AE64" s="4">
        <v>23</v>
      </c>
      <c r="AF64" s="4">
        <v>5</v>
      </c>
      <c r="AG64" s="4">
        <v>8</v>
      </c>
      <c r="AH64" s="4">
        <v>3</v>
      </c>
      <c r="AI64" s="4">
        <v>5</v>
      </c>
      <c r="AJ64" s="4">
        <v>6</v>
      </c>
      <c r="AK64" s="4">
        <v>11</v>
      </c>
      <c r="AL64" s="4">
        <v>3</v>
      </c>
      <c r="AM64" s="4">
        <v>4</v>
      </c>
      <c r="AN64" s="4">
        <v>0</v>
      </c>
      <c r="AO64" s="4">
        <v>0</v>
      </c>
      <c r="AP64" s="3" t="s">
        <v>58</v>
      </c>
      <c r="AQ64" s="3" t="s">
        <v>70</v>
      </c>
      <c r="AR64" s="6" t="str">
        <f>HYPERLINK("http://catalog.hathitrust.org/Record/001469142","HathiTrust Record")</f>
        <v>HathiTrust Record</v>
      </c>
      <c r="AS64" s="6" t="str">
        <f>HYPERLINK("https://creighton-primo.hosted.exlibrisgroup.com/primo-explore/search?tab=default_tab&amp;search_scope=EVERYTHING&amp;vid=01CRU&amp;lang=en_US&amp;offset=0&amp;query=any,contains,991002614059702656","Catalog Record")</f>
        <v>Catalog Record</v>
      </c>
      <c r="AT64" s="6" t="str">
        <f>HYPERLINK("http://www.worldcat.org/oclc/378893","WorldCat Record")</f>
        <v>WorldCat Record</v>
      </c>
      <c r="AU64" s="3" t="s">
        <v>921</v>
      </c>
      <c r="AV64" s="3" t="s">
        <v>922</v>
      </c>
      <c r="AW64" s="3" t="s">
        <v>923</v>
      </c>
      <c r="AX64" s="3" t="s">
        <v>923</v>
      </c>
      <c r="AY64" s="3" t="s">
        <v>924</v>
      </c>
      <c r="AZ64" s="3" t="s">
        <v>75</v>
      </c>
      <c r="BC64" s="3" t="s">
        <v>925</v>
      </c>
      <c r="BD64" s="3" t="s">
        <v>926</v>
      </c>
    </row>
    <row r="65" spans="1:56" ht="54" customHeight="1" x14ac:dyDescent="0.25">
      <c r="A65" s="7" t="s">
        <v>58</v>
      </c>
      <c r="B65" s="2" t="s">
        <v>927</v>
      </c>
      <c r="C65" s="2" t="s">
        <v>928</v>
      </c>
      <c r="D65" s="2" t="s">
        <v>929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60</v>
      </c>
      <c r="K65" s="2" t="s">
        <v>930</v>
      </c>
      <c r="L65" s="2" t="s">
        <v>931</v>
      </c>
      <c r="M65" s="3" t="s">
        <v>932</v>
      </c>
      <c r="O65" s="3" t="s">
        <v>65</v>
      </c>
      <c r="P65" s="3" t="s">
        <v>933</v>
      </c>
      <c r="R65" s="3" t="s">
        <v>67</v>
      </c>
      <c r="S65" s="4">
        <v>2</v>
      </c>
      <c r="T65" s="4">
        <v>2</v>
      </c>
      <c r="U65" s="5" t="s">
        <v>934</v>
      </c>
      <c r="V65" s="5" t="s">
        <v>934</v>
      </c>
      <c r="W65" s="5" t="s">
        <v>477</v>
      </c>
      <c r="X65" s="5" t="s">
        <v>477</v>
      </c>
      <c r="Y65" s="4">
        <v>593</v>
      </c>
      <c r="Z65" s="4">
        <v>491</v>
      </c>
      <c r="AA65" s="4">
        <v>500</v>
      </c>
      <c r="AB65" s="4">
        <v>5</v>
      </c>
      <c r="AC65" s="4">
        <v>5</v>
      </c>
      <c r="AD65" s="4">
        <v>20</v>
      </c>
      <c r="AE65" s="4">
        <v>20</v>
      </c>
      <c r="AF65" s="4">
        <v>5</v>
      </c>
      <c r="AG65" s="4">
        <v>5</v>
      </c>
      <c r="AH65" s="4">
        <v>6</v>
      </c>
      <c r="AI65" s="4">
        <v>6</v>
      </c>
      <c r="AJ65" s="4">
        <v>10</v>
      </c>
      <c r="AK65" s="4">
        <v>10</v>
      </c>
      <c r="AL65" s="4">
        <v>4</v>
      </c>
      <c r="AM65" s="4">
        <v>4</v>
      </c>
      <c r="AN65" s="4">
        <v>0</v>
      </c>
      <c r="AO65" s="4">
        <v>0</v>
      </c>
      <c r="AP65" s="3" t="s">
        <v>58</v>
      </c>
      <c r="AQ65" s="3" t="s">
        <v>70</v>
      </c>
      <c r="AR65" s="6" t="str">
        <f>HYPERLINK("http://catalog.hathitrust.org/Record/004503140","HathiTrust Record")</f>
        <v>HathiTrust Record</v>
      </c>
      <c r="AS65" s="6" t="str">
        <f>HYPERLINK("https://creighton-primo.hosted.exlibrisgroup.com/primo-explore/search?tab=default_tab&amp;search_scope=EVERYTHING&amp;vid=01CRU&amp;lang=en_US&amp;offset=0&amp;query=any,contains,991004018339702656","Catalog Record")</f>
        <v>Catalog Record</v>
      </c>
      <c r="AT65" s="6" t="str">
        <f>HYPERLINK("http://www.worldcat.org/oclc/2118568","WorldCat Record")</f>
        <v>WorldCat Record</v>
      </c>
      <c r="AU65" s="3" t="s">
        <v>935</v>
      </c>
      <c r="AV65" s="3" t="s">
        <v>936</v>
      </c>
      <c r="AW65" s="3" t="s">
        <v>937</v>
      </c>
      <c r="AX65" s="3" t="s">
        <v>937</v>
      </c>
      <c r="AY65" s="3" t="s">
        <v>938</v>
      </c>
      <c r="AZ65" s="3" t="s">
        <v>75</v>
      </c>
      <c r="BB65" s="3" t="s">
        <v>939</v>
      </c>
      <c r="BC65" s="3" t="s">
        <v>940</v>
      </c>
      <c r="BD65" s="3" t="s">
        <v>941</v>
      </c>
    </row>
    <row r="66" spans="1:56" ht="54" customHeight="1" x14ac:dyDescent="0.25">
      <c r="A66" s="7" t="s">
        <v>58</v>
      </c>
      <c r="B66" s="2" t="s">
        <v>942</v>
      </c>
      <c r="C66" s="2" t="s">
        <v>943</v>
      </c>
      <c r="D66" s="2" t="s">
        <v>944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60</v>
      </c>
      <c r="K66" s="2" t="s">
        <v>945</v>
      </c>
      <c r="L66" s="2" t="s">
        <v>946</v>
      </c>
      <c r="M66" s="3" t="s">
        <v>428</v>
      </c>
      <c r="O66" s="3" t="s">
        <v>65</v>
      </c>
      <c r="P66" s="3" t="s">
        <v>281</v>
      </c>
      <c r="Q66" s="2" t="s">
        <v>947</v>
      </c>
      <c r="R66" s="3" t="s">
        <v>67</v>
      </c>
      <c r="S66" s="4">
        <v>5</v>
      </c>
      <c r="T66" s="4">
        <v>5</v>
      </c>
      <c r="U66" s="5" t="s">
        <v>948</v>
      </c>
      <c r="V66" s="5" t="s">
        <v>948</v>
      </c>
      <c r="W66" s="5" t="s">
        <v>949</v>
      </c>
      <c r="X66" s="5" t="s">
        <v>949</v>
      </c>
      <c r="Y66" s="4">
        <v>420</v>
      </c>
      <c r="Z66" s="4">
        <v>289</v>
      </c>
      <c r="AA66" s="4">
        <v>289</v>
      </c>
      <c r="AB66" s="4">
        <v>3</v>
      </c>
      <c r="AC66" s="4">
        <v>3</v>
      </c>
      <c r="AD66" s="4">
        <v>15</v>
      </c>
      <c r="AE66" s="4">
        <v>15</v>
      </c>
      <c r="AF66" s="4">
        <v>4</v>
      </c>
      <c r="AG66" s="4">
        <v>4</v>
      </c>
      <c r="AH66" s="4">
        <v>5</v>
      </c>
      <c r="AI66" s="4">
        <v>5</v>
      </c>
      <c r="AJ66" s="4">
        <v>9</v>
      </c>
      <c r="AK66" s="4">
        <v>9</v>
      </c>
      <c r="AL66" s="4">
        <v>2</v>
      </c>
      <c r="AM66" s="4">
        <v>2</v>
      </c>
      <c r="AN66" s="4">
        <v>0</v>
      </c>
      <c r="AO66" s="4">
        <v>0</v>
      </c>
      <c r="AP66" s="3" t="s">
        <v>58</v>
      </c>
      <c r="AQ66" s="3" t="s">
        <v>58</v>
      </c>
      <c r="AS66" s="6" t="str">
        <f>HYPERLINK("https://creighton-primo.hosted.exlibrisgroup.com/primo-explore/search?tab=default_tab&amp;search_scope=EVERYTHING&amp;vid=01CRU&amp;lang=en_US&amp;offset=0&amp;query=any,contains,991001591719702656","Catalog Record")</f>
        <v>Catalog Record</v>
      </c>
      <c r="AT66" s="6" t="str">
        <f>HYPERLINK("http://www.worldcat.org/oclc/20593081","WorldCat Record")</f>
        <v>WorldCat Record</v>
      </c>
      <c r="AU66" s="3" t="s">
        <v>950</v>
      </c>
      <c r="AV66" s="3" t="s">
        <v>951</v>
      </c>
      <c r="AW66" s="3" t="s">
        <v>952</v>
      </c>
      <c r="AX66" s="3" t="s">
        <v>952</v>
      </c>
      <c r="AY66" s="3" t="s">
        <v>953</v>
      </c>
      <c r="AZ66" s="3" t="s">
        <v>75</v>
      </c>
      <c r="BB66" s="3" t="s">
        <v>954</v>
      </c>
      <c r="BC66" s="3" t="s">
        <v>955</v>
      </c>
      <c r="BD66" s="3" t="s">
        <v>956</v>
      </c>
    </row>
    <row r="67" spans="1:56" ht="54" customHeight="1" x14ac:dyDescent="0.25">
      <c r="A67" s="7" t="s">
        <v>58</v>
      </c>
      <c r="B67" s="2" t="s">
        <v>957</v>
      </c>
      <c r="C67" s="2" t="s">
        <v>958</v>
      </c>
      <c r="D67" s="2" t="s">
        <v>959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60</v>
      </c>
      <c r="K67" s="2" t="s">
        <v>292</v>
      </c>
      <c r="L67" s="2" t="s">
        <v>960</v>
      </c>
      <c r="M67" s="3" t="s">
        <v>750</v>
      </c>
      <c r="O67" s="3" t="s">
        <v>65</v>
      </c>
      <c r="P67" s="3" t="s">
        <v>66</v>
      </c>
      <c r="R67" s="3" t="s">
        <v>67</v>
      </c>
      <c r="S67" s="4">
        <v>3</v>
      </c>
      <c r="T67" s="4">
        <v>3</v>
      </c>
      <c r="U67" s="5" t="s">
        <v>961</v>
      </c>
      <c r="V67" s="5" t="s">
        <v>961</v>
      </c>
      <c r="W67" s="5" t="s">
        <v>962</v>
      </c>
      <c r="X67" s="5" t="s">
        <v>962</v>
      </c>
      <c r="Y67" s="4">
        <v>885</v>
      </c>
      <c r="Z67" s="4">
        <v>704</v>
      </c>
      <c r="AA67" s="4">
        <v>707</v>
      </c>
      <c r="AB67" s="4">
        <v>7</v>
      </c>
      <c r="AC67" s="4">
        <v>7</v>
      </c>
      <c r="AD67" s="4">
        <v>20</v>
      </c>
      <c r="AE67" s="4">
        <v>20</v>
      </c>
      <c r="AF67" s="4">
        <v>4</v>
      </c>
      <c r="AG67" s="4">
        <v>4</v>
      </c>
      <c r="AH67" s="4">
        <v>4</v>
      </c>
      <c r="AI67" s="4">
        <v>4</v>
      </c>
      <c r="AJ67" s="4">
        <v>11</v>
      </c>
      <c r="AK67" s="4">
        <v>11</v>
      </c>
      <c r="AL67" s="4">
        <v>5</v>
      </c>
      <c r="AM67" s="4">
        <v>5</v>
      </c>
      <c r="AN67" s="4">
        <v>0</v>
      </c>
      <c r="AO67" s="4">
        <v>0</v>
      </c>
      <c r="AP67" s="3" t="s">
        <v>58</v>
      </c>
      <c r="AQ67" s="3" t="s">
        <v>58</v>
      </c>
      <c r="AS67" s="6" t="str">
        <f>HYPERLINK("https://creighton-primo.hosted.exlibrisgroup.com/primo-explore/search?tab=default_tab&amp;search_scope=EVERYTHING&amp;vid=01CRU&amp;lang=en_US&amp;offset=0&amp;query=any,contains,991004113459702656","Catalog Record")</f>
        <v>Catalog Record</v>
      </c>
      <c r="AT67" s="6" t="str">
        <f>HYPERLINK("http://www.worldcat.org/oclc/104185","WorldCat Record")</f>
        <v>WorldCat Record</v>
      </c>
      <c r="AU67" s="3" t="s">
        <v>963</v>
      </c>
      <c r="AV67" s="3" t="s">
        <v>964</v>
      </c>
      <c r="AW67" s="3" t="s">
        <v>965</v>
      </c>
      <c r="AX67" s="3" t="s">
        <v>965</v>
      </c>
      <c r="AY67" s="3" t="s">
        <v>966</v>
      </c>
      <c r="AZ67" s="3" t="s">
        <v>75</v>
      </c>
      <c r="BB67" s="3" t="s">
        <v>967</v>
      </c>
      <c r="BC67" s="3" t="s">
        <v>968</v>
      </c>
      <c r="BD67" s="3" t="s">
        <v>969</v>
      </c>
    </row>
    <row r="68" spans="1:56" ht="54" customHeight="1" x14ac:dyDescent="0.25">
      <c r="A68" s="7" t="s">
        <v>58</v>
      </c>
      <c r="B68" s="2" t="s">
        <v>970</v>
      </c>
      <c r="C68" s="2" t="s">
        <v>971</v>
      </c>
      <c r="D68" s="2" t="s">
        <v>972</v>
      </c>
      <c r="F68" s="3" t="s">
        <v>58</v>
      </c>
      <c r="G68" s="3" t="s">
        <v>59</v>
      </c>
      <c r="H68" s="3" t="s">
        <v>58</v>
      </c>
      <c r="I68" s="3" t="s">
        <v>58</v>
      </c>
      <c r="J68" s="3" t="s">
        <v>60</v>
      </c>
      <c r="K68" s="2" t="s">
        <v>973</v>
      </c>
      <c r="L68" s="2" t="s">
        <v>974</v>
      </c>
      <c r="M68" s="3" t="s">
        <v>975</v>
      </c>
      <c r="O68" s="3" t="s">
        <v>65</v>
      </c>
      <c r="P68" s="3" t="s">
        <v>933</v>
      </c>
      <c r="R68" s="3" t="s">
        <v>67</v>
      </c>
      <c r="S68" s="4">
        <v>0</v>
      </c>
      <c r="T68" s="4">
        <v>0</v>
      </c>
      <c r="U68" s="5" t="s">
        <v>976</v>
      </c>
      <c r="V68" s="5" t="s">
        <v>976</v>
      </c>
      <c r="W68" s="5" t="s">
        <v>977</v>
      </c>
      <c r="X68" s="5" t="s">
        <v>977</v>
      </c>
      <c r="Y68" s="4">
        <v>437</v>
      </c>
      <c r="Z68" s="4">
        <v>416</v>
      </c>
      <c r="AA68" s="4">
        <v>422</v>
      </c>
      <c r="AB68" s="4">
        <v>8</v>
      </c>
      <c r="AC68" s="4">
        <v>8</v>
      </c>
      <c r="AD68" s="4">
        <v>9</v>
      </c>
      <c r="AE68" s="4">
        <v>9</v>
      </c>
      <c r="AF68" s="4">
        <v>2</v>
      </c>
      <c r="AG68" s="4">
        <v>2</v>
      </c>
      <c r="AH68" s="4">
        <v>1</v>
      </c>
      <c r="AI68" s="4">
        <v>1</v>
      </c>
      <c r="AJ68" s="4">
        <v>4</v>
      </c>
      <c r="AK68" s="4">
        <v>4</v>
      </c>
      <c r="AL68" s="4">
        <v>4</v>
      </c>
      <c r="AM68" s="4">
        <v>4</v>
      </c>
      <c r="AN68" s="4">
        <v>0</v>
      </c>
      <c r="AO68" s="4">
        <v>0</v>
      </c>
      <c r="AP68" s="3" t="s">
        <v>58</v>
      </c>
      <c r="AQ68" s="3" t="s">
        <v>58</v>
      </c>
      <c r="AR68" s="6" t="str">
        <f>HYPERLINK("http://catalog.hathitrust.org/Record/001468446","HathiTrust Record")</f>
        <v>HathiTrust Record</v>
      </c>
      <c r="AS68" s="6" t="str">
        <f>HYPERLINK("https://creighton-primo.hosted.exlibrisgroup.com/primo-explore/search?tab=default_tab&amp;search_scope=EVERYTHING&amp;vid=01CRU&amp;lang=en_US&amp;offset=0&amp;query=any,contains,991003112359702656","Catalog Record")</f>
        <v>Catalog Record</v>
      </c>
      <c r="AT68" s="6" t="str">
        <f>HYPERLINK("http://www.worldcat.org/oclc/657774","WorldCat Record")</f>
        <v>WorldCat Record</v>
      </c>
      <c r="AU68" s="3" t="s">
        <v>978</v>
      </c>
      <c r="AV68" s="3" t="s">
        <v>979</v>
      </c>
      <c r="AW68" s="3" t="s">
        <v>980</v>
      </c>
      <c r="AX68" s="3" t="s">
        <v>980</v>
      </c>
      <c r="AY68" s="3" t="s">
        <v>981</v>
      </c>
      <c r="AZ68" s="3" t="s">
        <v>75</v>
      </c>
      <c r="BC68" s="3" t="s">
        <v>982</v>
      </c>
      <c r="BD68" s="3" t="s">
        <v>983</v>
      </c>
    </row>
    <row r="69" spans="1:56" ht="54" customHeight="1" x14ac:dyDescent="0.25">
      <c r="A69" s="7" t="s">
        <v>58</v>
      </c>
      <c r="B69" s="2" t="s">
        <v>984</v>
      </c>
      <c r="C69" s="2" t="s">
        <v>985</v>
      </c>
      <c r="D69" s="2" t="s">
        <v>986</v>
      </c>
      <c r="F69" s="3" t="s">
        <v>58</v>
      </c>
      <c r="G69" s="3" t="s">
        <v>59</v>
      </c>
      <c r="H69" s="3" t="s">
        <v>58</v>
      </c>
      <c r="I69" s="3" t="s">
        <v>58</v>
      </c>
      <c r="J69" s="3" t="s">
        <v>60</v>
      </c>
      <c r="K69" s="2" t="s">
        <v>987</v>
      </c>
      <c r="L69" s="2" t="s">
        <v>988</v>
      </c>
      <c r="M69" s="3" t="s">
        <v>443</v>
      </c>
      <c r="O69" s="3" t="s">
        <v>65</v>
      </c>
      <c r="P69" s="3" t="s">
        <v>281</v>
      </c>
      <c r="R69" s="3" t="s">
        <v>67</v>
      </c>
      <c r="S69" s="4">
        <v>2</v>
      </c>
      <c r="T69" s="4">
        <v>2</v>
      </c>
      <c r="U69" s="5" t="s">
        <v>961</v>
      </c>
      <c r="V69" s="5" t="s">
        <v>961</v>
      </c>
      <c r="W69" s="5" t="s">
        <v>989</v>
      </c>
      <c r="X69" s="5" t="s">
        <v>989</v>
      </c>
      <c r="Y69" s="4">
        <v>151</v>
      </c>
      <c r="Z69" s="4">
        <v>104</v>
      </c>
      <c r="AA69" s="4">
        <v>182</v>
      </c>
      <c r="AB69" s="4">
        <v>2</v>
      </c>
      <c r="AC69" s="4">
        <v>3</v>
      </c>
      <c r="AD69" s="4">
        <v>5</v>
      </c>
      <c r="AE69" s="4">
        <v>8</v>
      </c>
      <c r="AF69" s="4">
        <v>3</v>
      </c>
      <c r="AG69" s="4">
        <v>4</v>
      </c>
      <c r="AH69" s="4">
        <v>1</v>
      </c>
      <c r="AI69" s="4">
        <v>1</v>
      </c>
      <c r="AJ69" s="4">
        <v>2</v>
      </c>
      <c r="AK69" s="4">
        <v>4</v>
      </c>
      <c r="AL69" s="4">
        <v>1</v>
      </c>
      <c r="AM69" s="4">
        <v>2</v>
      </c>
      <c r="AN69" s="4">
        <v>0</v>
      </c>
      <c r="AO69" s="4">
        <v>0</v>
      </c>
      <c r="AP69" s="3" t="s">
        <v>58</v>
      </c>
      <c r="AQ69" s="3" t="s">
        <v>58</v>
      </c>
      <c r="AS69" s="6" t="str">
        <f>HYPERLINK("https://creighton-primo.hosted.exlibrisgroup.com/primo-explore/search?tab=default_tab&amp;search_scope=EVERYTHING&amp;vid=01CRU&amp;lang=en_US&amp;offset=0&amp;query=any,contains,991004492809702656","Catalog Record")</f>
        <v>Catalog Record</v>
      </c>
      <c r="AT69" s="6" t="str">
        <f>HYPERLINK("http://www.worldcat.org/oclc/50525454","WorldCat Record")</f>
        <v>WorldCat Record</v>
      </c>
      <c r="AU69" s="3" t="s">
        <v>990</v>
      </c>
      <c r="AV69" s="3" t="s">
        <v>991</v>
      </c>
      <c r="AW69" s="3" t="s">
        <v>992</v>
      </c>
      <c r="AX69" s="3" t="s">
        <v>992</v>
      </c>
      <c r="AY69" s="3" t="s">
        <v>993</v>
      </c>
      <c r="AZ69" s="3" t="s">
        <v>75</v>
      </c>
      <c r="BB69" s="3" t="s">
        <v>994</v>
      </c>
      <c r="BC69" s="3" t="s">
        <v>995</v>
      </c>
      <c r="BD69" s="3" t="s">
        <v>996</v>
      </c>
    </row>
    <row r="70" spans="1:56" ht="54" customHeight="1" x14ac:dyDescent="0.25">
      <c r="A70" s="7" t="s">
        <v>58</v>
      </c>
      <c r="B70" s="2" t="s">
        <v>997</v>
      </c>
      <c r="C70" s="2" t="s">
        <v>998</v>
      </c>
      <c r="D70" s="2" t="s">
        <v>999</v>
      </c>
      <c r="F70" s="3" t="s">
        <v>58</v>
      </c>
      <c r="G70" s="3" t="s">
        <v>59</v>
      </c>
      <c r="H70" s="3" t="s">
        <v>58</v>
      </c>
      <c r="I70" s="3" t="s">
        <v>58</v>
      </c>
      <c r="J70" s="3" t="s">
        <v>60</v>
      </c>
      <c r="K70" s="2" t="s">
        <v>1000</v>
      </c>
      <c r="L70" s="2" t="s">
        <v>1001</v>
      </c>
      <c r="M70" s="3" t="s">
        <v>546</v>
      </c>
      <c r="O70" s="3" t="s">
        <v>65</v>
      </c>
      <c r="P70" s="3" t="s">
        <v>66</v>
      </c>
      <c r="R70" s="3" t="s">
        <v>67</v>
      </c>
      <c r="S70" s="4">
        <v>1</v>
      </c>
      <c r="T70" s="4">
        <v>1</v>
      </c>
      <c r="U70" s="5" t="s">
        <v>1002</v>
      </c>
      <c r="V70" s="5" t="s">
        <v>1002</v>
      </c>
      <c r="W70" s="5" t="s">
        <v>1003</v>
      </c>
      <c r="X70" s="5" t="s">
        <v>1003</v>
      </c>
      <c r="Y70" s="4">
        <v>90</v>
      </c>
      <c r="Z70" s="4">
        <v>80</v>
      </c>
      <c r="AA70" s="4">
        <v>399</v>
      </c>
      <c r="AB70" s="4">
        <v>1</v>
      </c>
      <c r="AC70" s="4">
        <v>2</v>
      </c>
      <c r="AD70" s="4">
        <v>1</v>
      </c>
      <c r="AE70" s="4">
        <v>18</v>
      </c>
      <c r="AF70" s="4">
        <v>0</v>
      </c>
      <c r="AG70" s="4">
        <v>5</v>
      </c>
      <c r="AH70" s="4">
        <v>0</v>
      </c>
      <c r="AI70" s="4">
        <v>3</v>
      </c>
      <c r="AJ70" s="4">
        <v>1</v>
      </c>
      <c r="AK70" s="4">
        <v>13</v>
      </c>
      <c r="AL70" s="4">
        <v>0</v>
      </c>
      <c r="AM70" s="4">
        <v>1</v>
      </c>
      <c r="AN70" s="4">
        <v>0</v>
      </c>
      <c r="AO70" s="4">
        <v>0</v>
      </c>
      <c r="AP70" s="3" t="s">
        <v>58</v>
      </c>
      <c r="AQ70" s="3" t="s">
        <v>70</v>
      </c>
      <c r="AR70" s="6" t="str">
        <f>HYPERLINK("http://catalog.hathitrust.org/Record/007049728","HathiTrust Record")</f>
        <v>HathiTrust Record</v>
      </c>
      <c r="AS70" s="6" t="str">
        <f>HYPERLINK("https://creighton-primo.hosted.exlibrisgroup.com/primo-explore/search?tab=default_tab&amp;search_scope=EVERYTHING&amp;vid=01CRU&amp;lang=en_US&amp;offset=0&amp;query=any,contains,991000627029702656","Catalog Record")</f>
        <v>Catalog Record</v>
      </c>
      <c r="AT70" s="6" t="str">
        <f>HYPERLINK("http://www.worldcat.org/oclc/12041565","WorldCat Record")</f>
        <v>WorldCat Record</v>
      </c>
      <c r="AU70" s="3" t="s">
        <v>1004</v>
      </c>
      <c r="AV70" s="3" t="s">
        <v>1005</v>
      </c>
      <c r="AW70" s="3" t="s">
        <v>1006</v>
      </c>
      <c r="AX70" s="3" t="s">
        <v>1006</v>
      </c>
      <c r="AY70" s="3" t="s">
        <v>1007</v>
      </c>
      <c r="AZ70" s="3" t="s">
        <v>75</v>
      </c>
      <c r="BB70" s="3" t="s">
        <v>1008</v>
      </c>
      <c r="BC70" s="3" t="s">
        <v>1009</v>
      </c>
      <c r="BD70" s="3" t="s">
        <v>1010</v>
      </c>
    </row>
    <row r="71" spans="1:56" ht="54" customHeight="1" x14ac:dyDescent="0.25">
      <c r="A71" s="7" t="s">
        <v>58</v>
      </c>
      <c r="B71" s="2" t="s">
        <v>1011</v>
      </c>
      <c r="C71" s="2" t="s">
        <v>1012</v>
      </c>
      <c r="D71" s="2" t="s">
        <v>1013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60</v>
      </c>
      <c r="K71" s="2" t="s">
        <v>1014</v>
      </c>
      <c r="L71" s="2" t="s">
        <v>1015</v>
      </c>
      <c r="M71" s="3" t="s">
        <v>1016</v>
      </c>
      <c r="O71" s="3" t="s">
        <v>65</v>
      </c>
      <c r="P71" s="3" t="s">
        <v>281</v>
      </c>
      <c r="R71" s="3" t="s">
        <v>67</v>
      </c>
      <c r="S71" s="4">
        <v>3</v>
      </c>
      <c r="T71" s="4">
        <v>3</v>
      </c>
      <c r="U71" s="5" t="s">
        <v>1017</v>
      </c>
      <c r="V71" s="5" t="s">
        <v>1017</v>
      </c>
      <c r="W71" s="5" t="s">
        <v>1018</v>
      </c>
      <c r="X71" s="5" t="s">
        <v>1018</v>
      </c>
      <c r="Y71" s="4">
        <v>435</v>
      </c>
      <c r="Z71" s="4">
        <v>325</v>
      </c>
      <c r="AA71" s="4">
        <v>519</v>
      </c>
      <c r="AB71" s="4">
        <v>2</v>
      </c>
      <c r="AC71" s="4">
        <v>2</v>
      </c>
      <c r="AD71" s="4">
        <v>9</v>
      </c>
      <c r="AE71" s="4">
        <v>18</v>
      </c>
      <c r="AF71" s="4">
        <v>5</v>
      </c>
      <c r="AG71" s="4">
        <v>9</v>
      </c>
      <c r="AH71" s="4">
        <v>2</v>
      </c>
      <c r="AI71" s="4">
        <v>3</v>
      </c>
      <c r="AJ71" s="4">
        <v>3</v>
      </c>
      <c r="AK71" s="4">
        <v>8</v>
      </c>
      <c r="AL71" s="4">
        <v>1</v>
      </c>
      <c r="AM71" s="4">
        <v>1</v>
      </c>
      <c r="AN71" s="4">
        <v>0</v>
      </c>
      <c r="AO71" s="4">
        <v>0</v>
      </c>
      <c r="AP71" s="3" t="s">
        <v>58</v>
      </c>
      <c r="AQ71" s="3" t="s">
        <v>58</v>
      </c>
      <c r="AS71" s="6" t="str">
        <f>HYPERLINK("https://creighton-primo.hosted.exlibrisgroup.com/primo-explore/search?tab=default_tab&amp;search_scope=EVERYTHING&amp;vid=01CRU&amp;lang=en_US&amp;offset=0&amp;query=any,contains,991004101499702656","Catalog Record")</f>
        <v>Catalog Record</v>
      </c>
      <c r="AT71" s="6" t="str">
        <f>HYPERLINK("http://www.worldcat.org/oclc/51439000","WorldCat Record")</f>
        <v>WorldCat Record</v>
      </c>
      <c r="AU71" s="3" t="s">
        <v>1019</v>
      </c>
      <c r="AV71" s="3" t="s">
        <v>1020</v>
      </c>
      <c r="AW71" s="3" t="s">
        <v>1021</v>
      </c>
      <c r="AX71" s="3" t="s">
        <v>1021</v>
      </c>
      <c r="AY71" s="3" t="s">
        <v>1022</v>
      </c>
      <c r="AZ71" s="3" t="s">
        <v>75</v>
      </c>
      <c r="BB71" s="3" t="s">
        <v>1023</v>
      </c>
      <c r="BC71" s="3" t="s">
        <v>1024</v>
      </c>
      <c r="BD71" s="3" t="s">
        <v>1025</v>
      </c>
    </row>
    <row r="72" spans="1:56" ht="54" customHeight="1" x14ac:dyDescent="0.25">
      <c r="A72" s="7" t="s">
        <v>58</v>
      </c>
      <c r="B72" s="2" t="s">
        <v>1026</v>
      </c>
      <c r="C72" s="2" t="s">
        <v>1027</v>
      </c>
      <c r="D72" s="2" t="s">
        <v>1028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K72" s="2" t="s">
        <v>1029</v>
      </c>
      <c r="L72" s="2" t="s">
        <v>1030</v>
      </c>
      <c r="M72" s="3" t="s">
        <v>1031</v>
      </c>
      <c r="O72" s="3" t="s">
        <v>65</v>
      </c>
      <c r="P72" s="3" t="s">
        <v>281</v>
      </c>
      <c r="R72" s="3" t="s">
        <v>67</v>
      </c>
      <c r="S72" s="4">
        <v>4</v>
      </c>
      <c r="T72" s="4">
        <v>4</v>
      </c>
      <c r="U72" s="5" t="s">
        <v>961</v>
      </c>
      <c r="V72" s="5" t="s">
        <v>961</v>
      </c>
      <c r="W72" s="5" t="s">
        <v>477</v>
      </c>
      <c r="X72" s="5" t="s">
        <v>477</v>
      </c>
      <c r="Y72" s="4">
        <v>382</v>
      </c>
      <c r="Z72" s="4">
        <v>221</v>
      </c>
      <c r="AA72" s="4">
        <v>228</v>
      </c>
      <c r="AB72" s="4">
        <v>3</v>
      </c>
      <c r="AC72" s="4">
        <v>3</v>
      </c>
      <c r="AD72" s="4">
        <v>6</v>
      </c>
      <c r="AE72" s="4">
        <v>6</v>
      </c>
      <c r="AF72" s="4">
        <v>2</v>
      </c>
      <c r="AG72" s="4">
        <v>2</v>
      </c>
      <c r="AH72" s="4">
        <v>1</v>
      </c>
      <c r="AI72" s="4">
        <v>1</v>
      </c>
      <c r="AJ72" s="4">
        <v>3</v>
      </c>
      <c r="AK72" s="4">
        <v>3</v>
      </c>
      <c r="AL72" s="4">
        <v>2</v>
      </c>
      <c r="AM72" s="4">
        <v>2</v>
      </c>
      <c r="AN72" s="4">
        <v>0</v>
      </c>
      <c r="AO72" s="4">
        <v>0</v>
      </c>
      <c r="AP72" s="3" t="s">
        <v>58</v>
      </c>
      <c r="AQ72" s="3" t="s">
        <v>70</v>
      </c>
      <c r="AR72" s="6" t="str">
        <f>HYPERLINK("http://catalog.hathitrust.org/Record/000622286","HathiTrust Record")</f>
        <v>HathiTrust Record</v>
      </c>
      <c r="AS72" s="6" t="str">
        <f>HYPERLINK("https://creighton-primo.hosted.exlibrisgroup.com/primo-explore/search?tab=default_tab&amp;search_scope=EVERYTHING&amp;vid=01CRU&amp;lang=en_US&amp;offset=0&amp;query=any,contains,991000928639702656","Catalog Record")</f>
        <v>Catalog Record</v>
      </c>
      <c r="AT72" s="6" t="str">
        <f>HYPERLINK("http://www.worldcat.org/oclc/14242801","WorldCat Record")</f>
        <v>WorldCat Record</v>
      </c>
      <c r="AU72" s="3" t="s">
        <v>1032</v>
      </c>
      <c r="AV72" s="3" t="s">
        <v>1033</v>
      </c>
      <c r="AW72" s="3" t="s">
        <v>1034</v>
      </c>
      <c r="AX72" s="3" t="s">
        <v>1034</v>
      </c>
      <c r="AY72" s="3" t="s">
        <v>1035</v>
      </c>
      <c r="AZ72" s="3" t="s">
        <v>75</v>
      </c>
      <c r="BB72" s="3" t="s">
        <v>1036</v>
      </c>
      <c r="BC72" s="3" t="s">
        <v>1037</v>
      </c>
      <c r="BD72" s="3" t="s">
        <v>1038</v>
      </c>
    </row>
    <row r="73" spans="1:56" ht="54" customHeight="1" x14ac:dyDescent="0.25">
      <c r="A73" s="7" t="s">
        <v>58</v>
      </c>
      <c r="B73" s="2" t="s">
        <v>1039</v>
      </c>
      <c r="C73" s="2" t="s">
        <v>1040</v>
      </c>
      <c r="D73" s="2" t="s">
        <v>1041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K73" s="2" t="s">
        <v>1042</v>
      </c>
      <c r="L73" s="2" t="s">
        <v>1043</v>
      </c>
      <c r="M73" s="3" t="s">
        <v>658</v>
      </c>
      <c r="O73" s="3" t="s">
        <v>65</v>
      </c>
      <c r="P73" s="3" t="s">
        <v>66</v>
      </c>
      <c r="R73" s="3" t="s">
        <v>67</v>
      </c>
      <c r="S73" s="4">
        <v>5</v>
      </c>
      <c r="T73" s="4">
        <v>5</v>
      </c>
      <c r="U73" s="5" t="s">
        <v>1044</v>
      </c>
      <c r="V73" s="5" t="s">
        <v>1044</v>
      </c>
      <c r="W73" s="5" t="s">
        <v>477</v>
      </c>
      <c r="X73" s="5" t="s">
        <v>477</v>
      </c>
      <c r="Y73" s="4">
        <v>398</v>
      </c>
      <c r="Z73" s="4">
        <v>336</v>
      </c>
      <c r="AA73" s="4">
        <v>370</v>
      </c>
      <c r="AB73" s="4">
        <v>2</v>
      </c>
      <c r="AC73" s="4">
        <v>2</v>
      </c>
      <c r="AD73" s="4">
        <v>12</v>
      </c>
      <c r="AE73" s="4">
        <v>12</v>
      </c>
      <c r="AF73" s="4">
        <v>6</v>
      </c>
      <c r="AG73" s="4">
        <v>6</v>
      </c>
      <c r="AH73" s="4">
        <v>3</v>
      </c>
      <c r="AI73" s="4">
        <v>3</v>
      </c>
      <c r="AJ73" s="4">
        <v>8</v>
      </c>
      <c r="AK73" s="4">
        <v>8</v>
      </c>
      <c r="AL73" s="4">
        <v>0</v>
      </c>
      <c r="AM73" s="4">
        <v>0</v>
      </c>
      <c r="AN73" s="4">
        <v>0</v>
      </c>
      <c r="AO73" s="4">
        <v>0</v>
      </c>
      <c r="AP73" s="3" t="s">
        <v>58</v>
      </c>
      <c r="AQ73" s="3" t="s">
        <v>70</v>
      </c>
      <c r="AR73" s="6" t="str">
        <f>HYPERLINK("http://catalog.hathitrust.org/Record/001468502","HathiTrust Record")</f>
        <v>HathiTrust Record</v>
      </c>
      <c r="AS73" s="6" t="str">
        <f>HYPERLINK("https://creighton-primo.hosted.exlibrisgroup.com/primo-explore/search?tab=default_tab&amp;search_scope=EVERYTHING&amp;vid=01CRU&amp;lang=en_US&amp;offset=0&amp;query=any,contains,991003483429702656","Catalog Record")</f>
        <v>Catalog Record</v>
      </c>
      <c r="AT73" s="6" t="str">
        <f>HYPERLINK("http://www.worldcat.org/oclc/1031001","WorldCat Record")</f>
        <v>WorldCat Record</v>
      </c>
      <c r="AU73" s="3" t="s">
        <v>1045</v>
      </c>
      <c r="AV73" s="3" t="s">
        <v>1046</v>
      </c>
      <c r="AW73" s="3" t="s">
        <v>1047</v>
      </c>
      <c r="AX73" s="3" t="s">
        <v>1047</v>
      </c>
      <c r="AY73" s="3" t="s">
        <v>1048</v>
      </c>
      <c r="AZ73" s="3" t="s">
        <v>75</v>
      </c>
      <c r="BB73" s="3" t="s">
        <v>1049</v>
      </c>
      <c r="BC73" s="3" t="s">
        <v>1050</v>
      </c>
      <c r="BD73" s="3" t="s">
        <v>1051</v>
      </c>
    </row>
    <row r="74" spans="1:56" ht="54" customHeight="1" x14ac:dyDescent="0.25">
      <c r="A74" s="7" t="s">
        <v>58</v>
      </c>
      <c r="B74" s="2" t="s">
        <v>1052</v>
      </c>
      <c r="C74" s="2" t="s">
        <v>1053</v>
      </c>
      <c r="D74" s="2" t="s">
        <v>1054</v>
      </c>
      <c r="F74" s="3" t="s">
        <v>58</v>
      </c>
      <c r="G74" s="3" t="s">
        <v>59</v>
      </c>
      <c r="H74" s="3" t="s">
        <v>58</v>
      </c>
      <c r="I74" s="3" t="s">
        <v>58</v>
      </c>
      <c r="J74" s="3" t="s">
        <v>60</v>
      </c>
      <c r="K74" s="2" t="s">
        <v>1055</v>
      </c>
      <c r="L74" s="2" t="s">
        <v>1056</v>
      </c>
      <c r="M74" s="3" t="s">
        <v>630</v>
      </c>
      <c r="O74" s="3" t="s">
        <v>65</v>
      </c>
      <c r="P74" s="3" t="s">
        <v>281</v>
      </c>
      <c r="R74" s="3" t="s">
        <v>67</v>
      </c>
      <c r="S74" s="4">
        <v>6</v>
      </c>
      <c r="T74" s="4">
        <v>6</v>
      </c>
      <c r="U74" s="5" t="s">
        <v>359</v>
      </c>
      <c r="V74" s="5" t="s">
        <v>359</v>
      </c>
      <c r="W74" s="5" t="s">
        <v>1057</v>
      </c>
      <c r="X74" s="5" t="s">
        <v>1057</v>
      </c>
      <c r="Y74" s="4">
        <v>296</v>
      </c>
      <c r="Z74" s="4">
        <v>196</v>
      </c>
      <c r="AA74" s="4">
        <v>250</v>
      </c>
      <c r="AB74" s="4">
        <v>3</v>
      </c>
      <c r="AC74" s="4">
        <v>3</v>
      </c>
      <c r="AD74" s="4">
        <v>5</v>
      </c>
      <c r="AE74" s="4">
        <v>6</v>
      </c>
      <c r="AF74" s="4">
        <v>1</v>
      </c>
      <c r="AG74" s="4">
        <v>1</v>
      </c>
      <c r="AH74" s="4">
        <v>1</v>
      </c>
      <c r="AI74" s="4">
        <v>1</v>
      </c>
      <c r="AJ74" s="4">
        <v>3</v>
      </c>
      <c r="AK74" s="4">
        <v>4</v>
      </c>
      <c r="AL74" s="4">
        <v>1</v>
      </c>
      <c r="AM74" s="4">
        <v>1</v>
      </c>
      <c r="AN74" s="4">
        <v>0</v>
      </c>
      <c r="AO74" s="4">
        <v>0</v>
      </c>
      <c r="AP74" s="3" t="s">
        <v>58</v>
      </c>
      <c r="AQ74" s="3" t="s">
        <v>70</v>
      </c>
      <c r="AR74" s="6" t="str">
        <f>HYPERLINK("http://catalog.hathitrust.org/Record/002503798","HathiTrust Record")</f>
        <v>HathiTrust Record</v>
      </c>
      <c r="AS74" s="6" t="str">
        <f>HYPERLINK("https://creighton-primo.hosted.exlibrisgroup.com/primo-explore/search?tab=default_tab&amp;search_scope=EVERYTHING&amp;vid=01CRU&amp;lang=en_US&amp;offset=0&amp;query=any,contains,991001945269702656","Catalog Record")</f>
        <v>Catalog Record</v>
      </c>
      <c r="AT74" s="6" t="str">
        <f>HYPERLINK("http://www.worldcat.org/oclc/24584819","WorldCat Record")</f>
        <v>WorldCat Record</v>
      </c>
      <c r="AU74" s="3" t="s">
        <v>1058</v>
      </c>
      <c r="AV74" s="3" t="s">
        <v>1059</v>
      </c>
      <c r="AW74" s="3" t="s">
        <v>1060</v>
      </c>
      <c r="AX74" s="3" t="s">
        <v>1060</v>
      </c>
      <c r="AY74" s="3" t="s">
        <v>1061</v>
      </c>
      <c r="AZ74" s="3" t="s">
        <v>75</v>
      </c>
      <c r="BB74" s="3" t="s">
        <v>1062</v>
      </c>
      <c r="BC74" s="3" t="s">
        <v>1063</v>
      </c>
      <c r="BD74" s="3" t="s">
        <v>1064</v>
      </c>
    </row>
    <row r="75" spans="1:56" ht="54" customHeight="1" x14ac:dyDescent="0.25">
      <c r="A75" s="7" t="s">
        <v>58</v>
      </c>
      <c r="B75" s="2" t="s">
        <v>1065</v>
      </c>
      <c r="C75" s="2" t="s">
        <v>1066</v>
      </c>
      <c r="D75" s="2" t="s">
        <v>1067</v>
      </c>
      <c r="F75" s="3" t="s">
        <v>58</v>
      </c>
      <c r="G75" s="3" t="s">
        <v>59</v>
      </c>
      <c r="H75" s="3" t="s">
        <v>58</v>
      </c>
      <c r="I75" s="3" t="s">
        <v>58</v>
      </c>
      <c r="J75" s="3" t="s">
        <v>60</v>
      </c>
      <c r="K75" s="2" t="s">
        <v>1068</v>
      </c>
      <c r="L75" s="2" t="s">
        <v>1069</v>
      </c>
      <c r="M75" s="3" t="s">
        <v>561</v>
      </c>
      <c r="O75" s="3" t="s">
        <v>65</v>
      </c>
      <c r="P75" s="3" t="s">
        <v>737</v>
      </c>
      <c r="Q75" s="2" t="s">
        <v>1070</v>
      </c>
      <c r="R75" s="3" t="s">
        <v>67</v>
      </c>
      <c r="S75" s="4">
        <v>6</v>
      </c>
      <c r="T75" s="4">
        <v>6</v>
      </c>
      <c r="U75" s="5" t="s">
        <v>1071</v>
      </c>
      <c r="V75" s="5" t="s">
        <v>1071</v>
      </c>
      <c r="W75" s="5" t="s">
        <v>1072</v>
      </c>
      <c r="X75" s="5" t="s">
        <v>1072</v>
      </c>
      <c r="Y75" s="4">
        <v>444</v>
      </c>
      <c r="Z75" s="4">
        <v>422</v>
      </c>
      <c r="AA75" s="4">
        <v>439</v>
      </c>
      <c r="AB75" s="4">
        <v>4</v>
      </c>
      <c r="AC75" s="4">
        <v>4</v>
      </c>
      <c r="AD75" s="4">
        <v>10</v>
      </c>
      <c r="AE75" s="4">
        <v>10</v>
      </c>
      <c r="AF75" s="4">
        <v>2</v>
      </c>
      <c r="AG75" s="4">
        <v>2</v>
      </c>
      <c r="AH75" s="4">
        <v>2</v>
      </c>
      <c r="AI75" s="4">
        <v>2</v>
      </c>
      <c r="AJ75" s="4">
        <v>4</v>
      </c>
      <c r="AK75" s="4">
        <v>4</v>
      </c>
      <c r="AL75" s="4">
        <v>3</v>
      </c>
      <c r="AM75" s="4">
        <v>3</v>
      </c>
      <c r="AN75" s="4">
        <v>0</v>
      </c>
      <c r="AO75" s="4">
        <v>0</v>
      </c>
      <c r="AP75" s="3" t="s">
        <v>58</v>
      </c>
      <c r="AQ75" s="3" t="s">
        <v>58</v>
      </c>
      <c r="AS75" s="6" t="str">
        <f>HYPERLINK("https://creighton-primo.hosted.exlibrisgroup.com/primo-explore/search?tab=default_tab&amp;search_scope=EVERYTHING&amp;vid=01CRU&amp;lang=en_US&amp;offset=0&amp;query=any,contains,991001256939702656","Catalog Record")</f>
        <v>Catalog Record</v>
      </c>
      <c r="AT75" s="6" t="str">
        <f>HYPERLINK("http://www.worldcat.org/oclc/209395","WorldCat Record")</f>
        <v>WorldCat Record</v>
      </c>
      <c r="AU75" s="3" t="s">
        <v>1073</v>
      </c>
      <c r="AV75" s="3" t="s">
        <v>1074</v>
      </c>
      <c r="AW75" s="3" t="s">
        <v>1075</v>
      </c>
      <c r="AX75" s="3" t="s">
        <v>1075</v>
      </c>
      <c r="AY75" s="3" t="s">
        <v>1076</v>
      </c>
      <c r="AZ75" s="3" t="s">
        <v>75</v>
      </c>
      <c r="BB75" s="3" t="s">
        <v>1077</v>
      </c>
      <c r="BC75" s="3" t="s">
        <v>1078</v>
      </c>
      <c r="BD75" s="3" t="s">
        <v>1079</v>
      </c>
    </row>
    <row r="76" spans="1:56" ht="54" customHeight="1" x14ac:dyDescent="0.25">
      <c r="A76" s="7" t="s">
        <v>58</v>
      </c>
      <c r="B76" s="2" t="s">
        <v>1080</v>
      </c>
      <c r="C76" s="2" t="s">
        <v>1081</v>
      </c>
      <c r="D76" s="2" t="s">
        <v>1082</v>
      </c>
      <c r="F76" s="3" t="s">
        <v>58</v>
      </c>
      <c r="G76" s="3" t="s">
        <v>59</v>
      </c>
      <c r="H76" s="3" t="s">
        <v>58</v>
      </c>
      <c r="I76" s="3" t="s">
        <v>58</v>
      </c>
      <c r="J76" s="3" t="s">
        <v>60</v>
      </c>
      <c r="K76" s="2" t="s">
        <v>1083</v>
      </c>
      <c r="L76" s="2" t="s">
        <v>1084</v>
      </c>
      <c r="M76" s="3" t="s">
        <v>918</v>
      </c>
      <c r="O76" s="3" t="s">
        <v>65</v>
      </c>
      <c r="P76" s="3" t="s">
        <v>737</v>
      </c>
      <c r="R76" s="3" t="s">
        <v>67</v>
      </c>
      <c r="S76" s="4">
        <v>3</v>
      </c>
      <c r="T76" s="4">
        <v>3</v>
      </c>
      <c r="U76" s="5" t="s">
        <v>1085</v>
      </c>
      <c r="V76" s="5" t="s">
        <v>1085</v>
      </c>
      <c r="W76" s="5" t="s">
        <v>477</v>
      </c>
      <c r="X76" s="5" t="s">
        <v>477</v>
      </c>
      <c r="Y76" s="4">
        <v>722</v>
      </c>
      <c r="Z76" s="4">
        <v>668</v>
      </c>
      <c r="AA76" s="4">
        <v>699</v>
      </c>
      <c r="AB76" s="4">
        <v>7</v>
      </c>
      <c r="AC76" s="4">
        <v>7</v>
      </c>
      <c r="AD76" s="4">
        <v>27</v>
      </c>
      <c r="AE76" s="4">
        <v>27</v>
      </c>
      <c r="AF76" s="4">
        <v>10</v>
      </c>
      <c r="AG76" s="4">
        <v>10</v>
      </c>
      <c r="AH76" s="4">
        <v>6</v>
      </c>
      <c r="AI76" s="4">
        <v>6</v>
      </c>
      <c r="AJ76" s="4">
        <v>11</v>
      </c>
      <c r="AK76" s="4">
        <v>11</v>
      </c>
      <c r="AL76" s="4">
        <v>5</v>
      </c>
      <c r="AM76" s="4">
        <v>5</v>
      </c>
      <c r="AN76" s="4">
        <v>0</v>
      </c>
      <c r="AO76" s="4">
        <v>0</v>
      </c>
      <c r="AP76" s="3" t="s">
        <v>58</v>
      </c>
      <c r="AQ76" s="3" t="s">
        <v>70</v>
      </c>
      <c r="AR76" s="6" t="str">
        <f>HYPERLINK("http://catalog.hathitrust.org/Record/001468540","HathiTrust Record")</f>
        <v>HathiTrust Record</v>
      </c>
      <c r="AS76" s="6" t="str">
        <f>HYPERLINK("https://creighton-primo.hosted.exlibrisgroup.com/primo-explore/search?tab=default_tab&amp;search_scope=EVERYTHING&amp;vid=01CRU&amp;lang=en_US&amp;offset=0&amp;query=any,contains,991000974449702656","Catalog Record")</f>
        <v>Catalog Record</v>
      </c>
      <c r="AT76" s="6" t="str">
        <f>HYPERLINK("http://www.worldcat.org/oclc/170576","WorldCat Record")</f>
        <v>WorldCat Record</v>
      </c>
      <c r="AU76" s="3" t="s">
        <v>1086</v>
      </c>
      <c r="AV76" s="3" t="s">
        <v>1087</v>
      </c>
      <c r="AW76" s="3" t="s">
        <v>1088</v>
      </c>
      <c r="AX76" s="3" t="s">
        <v>1088</v>
      </c>
      <c r="AY76" s="3" t="s">
        <v>1089</v>
      </c>
      <c r="AZ76" s="3" t="s">
        <v>75</v>
      </c>
      <c r="BC76" s="3" t="s">
        <v>1090</v>
      </c>
      <c r="BD76" s="3" t="s">
        <v>1091</v>
      </c>
    </row>
    <row r="77" spans="1:56" ht="54" customHeight="1" x14ac:dyDescent="0.25">
      <c r="A77" s="7" t="s">
        <v>58</v>
      </c>
      <c r="B77" s="2" t="s">
        <v>1092</v>
      </c>
      <c r="C77" s="2" t="s">
        <v>1093</v>
      </c>
      <c r="D77" s="2" t="s">
        <v>1094</v>
      </c>
      <c r="F77" s="3" t="s">
        <v>58</v>
      </c>
      <c r="G77" s="3" t="s">
        <v>59</v>
      </c>
      <c r="H77" s="3" t="s">
        <v>58</v>
      </c>
      <c r="I77" s="3" t="s">
        <v>58</v>
      </c>
      <c r="J77" s="3" t="s">
        <v>60</v>
      </c>
      <c r="K77" s="2" t="s">
        <v>1095</v>
      </c>
      <c r="L77" s="2" t="s">
        <v>1096</v>
      </c>
      <c r="M77" s="3" t="s">
        <v>234</v>
      </c>
      <c r="O77" s="3" t="s">
        <v>65</v>
      </c>
      <c r="P77" s="3" t="s">
        <v>251</v>
      </c>
      <c r="R77" s="3" t="s">
        <v>67</v>
      </c>
      <c r="S77" s="4">
        <v>13</v>
      </c>
      <c r="T77" s="4">
        <v>13</v>
      </c>
      <c r="U77" s="5" t="s">
        <v>1097</v>
      </c>
      <c r="V77" s="5" t="s">
        <v>1097</v>
      </c>
      <c r="W77" s="5" t="s">
        <v>1098</v>
      </c>
      <c r="X77" s="5" t="s">
        <v>1098</v>
      </c>
      <c r="Y77" s="4">
        <v>620</v>
      </c>
      <c r="Z77" s="4">
        <v>540</v>
      </c>
      <c r="AA77" s="4">
        <v>543</v>
      </c>
      <c r="AB77" s="4">
        <v>4</v>
      </c>
      <c r="AC77" s="4">
        <v>4</v>
      </c>
      <c r="AD77" s="4">
        <v>17</v>
      </c>
      <c r="AE77" s="4">
        <v>17</v>
      </c>
      <c r="AF77" s="4">
        <v>7</v>
      </c>
      <c r="AG77" s="4">
        <v>7</v>
      </c>
      <c r="AH77" s="4">
        <v>4</v>
      </c>
      <c r="AI77" s="4">
        <v>4</v>
      </c>
      <c r="AJ77" s="4">
        <v>7</v>
      </c>
      <c r="AK77" s="4">
        <v>7</v>
      </c>
      <c r="AL77" s="4">
        <v>3</v>
      </c>
      <c r="AM77" s="4">
        <v>3</v>
      </c>
      <c r="AN77" s="4">
        <v>0</v>
      </c>
      <c r="AO77" s="4">
        <v>0</v>
      </c>
      <c r="AP77" s="3" t="s">
        <v>58</v>
      </c>
      <c r="AQ77" s="3" t="s">
        <v>70</v>
      </c>
      <c r="AR77" s="6" t="str">
        <f>HYPERLINK("http://catalog.hathitrust.org/Record/000102620","HathiTrust Record")</f>
        <v>HathiTrust Record</v>
      </c>
      <c r="AS77" s="6" t="str">
        <f>HYPERLINK("https://creighton-primo.hosted.exlibrisgroup.com/primo-explore/search?tab=default_tab&amp;search_scope=EVERYTHING&amp;vid=01CRU&amp;lang=en_US&amp;offset=0&amp;query=any,contains,991005117419702656","Catalog Record")</f>
        <v>Catalog Record</v>
      </c>
      <c r="AT77" s="6" t="str">
        <f>HYPERLINK("http://www.worldcat.org/oclc/7464281","WorldCat Record")</f>
        <v>WorldCat Record</v>
      </c>
      <c r="AU77" s="3" t="s">
        <v>1099</v>
      </c>
      <c r="AV77" s="3" t="s">
        <v>1100</v>
      </c>
      <c r="AW77" s="3" t="s">
        <v>1101</v>
      </c>
      <c r="AX77" s="3" t="s">
        <v>1101</v>
      </c>
      <c r="AY77" s="3" t="s">
        <v>1102</v>
      </c>
      <c r="AZ77" s="3" t="s">
        <v>75</v>
      </c>
      <c r="BB77" s="3" t="s">
        <v>1103</v>
      </c>
      <c r="BC77" s="3" t="s">
        <v>1104</v>
      </c>
      <c r="BD77" s="3" t="s">
        <v>1105</v>
      </c>
    </row>
    <row r="78" spans="1:56" ht="54" customHeight="1" x14ac:dyDescent="0.25">
      <c r="A78" s="7" t="s">
        <v>58</v>
      </c>
      <c r="B78" s="2" t="s">
        <v>1106</v>
      </c>
      <c r="C78" s="2" t="s">
        <v>1107</v>
      </c>
      <c r="D78" s="2" t="s">
        <v>1108</v>
      </c>
      <c r="F78" s="3" t="s">
        <v>58</v>
      </c>
      <c r="G78" s="3" t="s">
        <v>59</v>
      </c>
      <c r="H78" s="3" t="s">
        <v>58</v>
      </c>
      <c r="I78" s="3" t="s">
        <v>58</v>
      </c>
      <c r="J78" s="3" t="s">
        <v>60</v>
      </c>
      <c r="K78" s="2" t="s">
        <v>345</v>
      </c>
      <c r="L78" s="2" t="s">
        <v>1109</v>
      </c>
      <c r="M78" s="3" t="s">
        <v>877</v>
      </c>
      <c r="O78" s="3" t="s">
        <v>65</v>
      </c>
      <c r="P78" s="3" t="s">
        <v>66</v>
      </c>
      <c r="R78" s="3" t="s">
        <v>67</v>
      </c>
      <c r="S78" s="4">
        <v>13</v>
      </c>
      <c r="T78" s="4">
        <v>13</v>
      </c>
      <c r="U78" s="5" t="s">
        <v>1110</v>
      </c>
      <c r="V78" s="5" t="s">
        <v>1110</v>
      </c>
      <c r="W78" s="5" t="s">
        <v>477</v>
      </c>
      <c r="X78" s="5" t="s">
        <v>477</v>
      </c>
      <c r="Y78" s="4">
        <v>561</v>
      </c>
      <c r="Z78" s="4">
        <v>502</v>
      </c>
      <c r="AA78" s="4">
        <v>527</v>
      </c>
      <c r="AB78" s="4">
        <v>4</v>
      </c>
      <c r="AC78" s="4">
        <v>4</v>
      </c>
      <c r="AD78" s="4">
        <v>16</v>
      </c>
      <c r="AE78" s="4">
        <v>16</v>
      </c>
      <c r="AF78" s="4">
        <v>3</v>
      </c>
      <c r="AG78" s="4">
        <v>3</v>
      </c>
      <c r="AH78" s="4">
        <v>5</v>
      </c>
      <c r="AI78" s="4">
        <v>5</v>
      </c>
      <c r="AJ78" s="4">
        <v>8</v>
      </c>
      <c r="AK78" s="4">
        <v>8</v>
      </c>
      <c r="AL78" s="4">
        <v>3</v>
      </c>
      <c r="AM78" s="4">
        <v>3</v>
      </c>
      <c r="AN78" s="4">
        <v>0</v>
      </c>
      <c r="AO78" s="4">
        <v>0</v>
      </c>
      <c r="AP78" s="3" t="s">
        <v>58</v>
      </c>
      <c r="AQ78" s="3" t="s">
        <v>70</v>
      </c>
      <c r="AR78" s="6" t="str">
        <f>HYPERLINK("http://catalog.hathitrust.org/Record/000879274","HathiTrust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HYPERLINK("https://creighton-primo.hosted.exlibrisgroup.com/primo-explore/search?tab=default_tab&amp;search_scope=EVERYTHING&amp;vid=01CRU&amp;lang=en_US&amp;offset=0&amp;query=any,contains,991001066659702656","Catalog Record")</f>
        <v>Catalog Record</v>
      </c>
      <c r="AT78" s="6" t="str">
        <f>HYPERLINK("http://www.worldcat.org/oclc/15793907","WorldCat Record")</f>
        <v>WorldCat Record</v>
      </c>
      <c r="AU78" s="3" t="s">
        <v>1111</v>
      </c>
      <c r="AV78" s="3" t="s">
        <v>1112</v>
      </c>
      <c r="AW78" s="3" t="s">
        <v>1113</v>
      </c>
      <c r="AX78" s="3" t="s">
        <v>1113</v>
      </c>
      <c r="AY78" s="3" t="s">
        <v>1114</v>
      </c>
      <c r="AZ78" s="3" t="s">
        <v>75</v>
      </c>
      <c r="BB78" s="3" t="s">
        <v>1115</v>
      </c>
      <c r="BC78" s="3" t="s">
        <v>1116</v>
      </c>
      <c r="BD78" s="3" t="s">
        <v>1117</v>
      </c>
    </row>
    <row r="79" spans="1:56" ht="54" customHeight="1" x14ac:dyDescent="0.25">
      <c r="A79" s="7" t="s">
        <v>58</v>
      </c>
      <c r="B79" s="2" t="s">
        <v>1118</v>
      </c>
      <c r="C79" s="2" t="s">
        <v>1119</v>
      </c>
      <c r="D79" s="2" t="s">
        <v>1120</v>
      </c>
      <c r="F79" s="3" t="s">
        <v>58</v>
      </c>
      <c r="G79" s="3" t="s">
        <v>59</v>
      </c>
      <c r="H79" s="3" t="s">
        <v>58</v>
      </c>
      <c r="I79" s="3" t="s">
        <v>58</v>
      </c>
      <c r="J79" s="3" t="s">
        <v>60</v>
      </c>
      <c r="K79" s="2" t="s">
        <v>1121</v>
      </c>
      <c r="L79" s="2" t="s">
        <v>1122</v>
      </c>
      <c r="M79" s="3" t="s">
        <v>1123</v>
      </c>
      <c r="N79" s="2" t="s">
        <v>1124</v>
      </c>
      <c r="O79" s="3" t="s">
        <v>65</v>
      </c>
      <c r="P79" s="3" t="s">
        <v>251</v>
      </c>
      <c r="R79" s="3" t="s">
        <v>67</v>
      </c>
      <c r="S79" s="4">
        <v>6</v>
      </c>
      <c r="T79" s="4">
        <v>6</v>
      </c>
      <c r="U79" s="5" t="s">
        <v>1125</v>
      </c>
      <c r="V79" s="5" t="s">
        <v>1125</v>
      </c>
      <c r="W79" s="5" t="s">
        <v>1126</v>
      </c>
      <c r="X79" s="5" t="s">
        <v>1126</v>
      </c>
      <c r="Y79" s="4">
        <v>571</v>
      </c>
      <c r="Z79" s="4">
        <v>514</v>
      </c>
      <c r="AA79" s="4">
        <v>515</v>
      </c>
      <c r="AB79" s="4">
        <v>2</v>
      </c>
      <c r="AC79" s="4">
        <v>2</v>
      </c>
      <c r="AD79" s="4">
        <v>17</v>
      </c>
      <c r="AE79" s="4">
        <v>17</v>
      </c>
      <c r="AF79" s="4">
        <v>8</v>
      </c>
      <c r="AG79" s="4">
        <v>8</v>
      </c>
      <c r="AH79" s="4">
        <v>4</v>
      </c>
      <c r="AI79" s="4">
        <v>4</v>
      </c>
      <c r="AJ79" s="4">
        <v>9</v>
      </c>
      <c r="AK79" s="4">
        <v>9</v>
      </c>
      <c r="AL79" s="4">
        <v>1</v>
      </c>
      <c r="AM79" s="4">
        <v>1</v>
      </c>
      <c r="AN79" s="4">
        <v>0</v>
      </c>
      <c r="AO79" s="4">
        <v>0</v>
      </c>
      <c r="AP79" s="3" t="s">
        <v>58</v>
      </c>
      <c r="AQ79" s="3" t="s">
        <v>58</v>
      </c>
      <c r="AS79" s="6" t="str">
        <f>HYPERLINK("https://creighton-primo.hosted.exlibrisgroup.com/primo-explore/search?tab=default_tab&amp;search_scope=EVERYTHING&amp;vid=01CRU&amp;lang=en_US&amp;offset=0&amp;query=any,contains,991000511849702656","Catalog Record")</f>
        <v>Catalog Record</v>
      </c>
      <c r="AT79" s="6" t="str">
        <f>HYPERLINK("http://www.worldcat.org/oclc/11244324","WorldCat Record")</f>
        <v>WorldCat Record</v>
      </c>
      <c r="AU79" s="3" t="s">
        <v>1127</v>
      </c>
      <c r="AV79" s="3" t="s">
        <v>1128</v>
      </c>
      <c r="AW79" s="3" t="s">
        <v>1129</v>
      </c>
      <c r="AX79" s="3" t="s">
        <v>1129</v>
      </c>
      <c r="AY79" s="3" t="s">
        <v>1130</v>
      </c>
      <c r="AZ79" s="3" t="s">
        <v>75</v>
      </c>
      <c r="BB79" s="3" t="s">
        <v>1131</v>
      </c>
      <c r="BC79" s="3" t="s">
        <v>1132</v>
      </c>
      <c r="BD79" s="3" t="s">
        <v>1133</v>
      </c>
    </row>
    <row r="80" spans="1:56" ht="54" customHeight="1" x14ac:dyDescent="0.25">
      <c r="A80" s="7" t="s">
        <v>58</v>
      </c>
      <c r="B80" s="2" t="s">
        <v>1134</v>
      </c>
      <c r="C80" s="2" t="s">
        <v>1135</v>
      </c>
      <c r="D80" s="2" t="s">
        <v>1136</v>
      </c>
      <c r="F80" s="3" t="s">
        <v>58</v>
      </c>
      <c r="G80" s="3" t="s">
        <v>59</v>
      </c>
      <c r="H80" s="3" t="s">
        <v>58</v>
      </c>
      <c r="I80" s="3" t="s">
        <v>58</v>
      </c>
      <c r="J80" s="3" t="s">
        <v>60</v>
      </c>
      <c r="K80" s="2" t="s">
        <v>1137</v>
      </c>
      <c r="L80" s="2" t="s">
        <v>1138</v>
      </c>
      <c r="M80" s="3" t="s">
        <v>932</v>
      </c>
      <c r="O80" s="3" t="s">
        <v>65</v>
      </c>
      <c r="P80" s="3" t="s">
        <v>474</v>
      </c>
      <c r="R80" s="3" t="s">
        <v>67</v>
      </c>
      <c r="S80" s="4">
        <v>2</v>
      </c>
      <c r="T80" s="4">
        <v>2</v>
      </c>
      <c r="U80" s="5" t="s">
        <v>961</v>
      </c>
      <c r="V80" s="5" t="s">
        <v>961</v>
      </c>
      <c r="W80" s="5" t="s">
        <v>506</v>
      </c>
      <c r="X80" s="5" t="s">
        <v>506</v>
      </c>
      <c r="Y80" s="4">
        <v>104</v>
      </c>
      <c r="Z80" s="4">
        <v>101</v>
      </c>
      <c r="AA80" s="4">
        <v>103</v>
      </c>
      <c r="AB80" s="4">
        <v>3</v>
      </c>
      <c r="AC80" s="4">
        <v>3</v>
      </c>
      <c r="AD80" s="4">
        <v>7</v>
      </c>
      <c r="AE80" s="4">
        <v>7</v>
      </c>
      <c r="AF80" s="4">
        <v>2</v>
      </c>
      <c r="AG80" s="4">
        <v>2</v>
      </c>
      <c r="AH80" s="4">
        <v>1</v>
      </c>
      <c r="AI80" s="4">
        <v>1</v>
      </c>
      <c r="AJ80" s="4">
        <v>2</v>
      </c>
      <c r="AK80" s="4">
        <v>2</v>
      </c>
      <c r="AL80" s="4">
        <v>2</v>
      </c>
      <c r="AM80" s="4">
        <v>2</v>
      </c>
      <c r="AN80" s="4">
        <v>0</v>
      </c>
      <c r="AO80" s="4">
        <v>0</v>
      </c>
      <c r="AP80" s="3" t="s">
        <v>58</v>
      </c>
      <c r="AQ80" s="3" t="s">
        <v>70</v>
      </c>
      <c r="AR80" s="6" t="str">
        <f>HYPERLINK("http://catalog.hathitrust.org/Record/008510904","HathiTrust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HYPERLINK("https://creighton-primo.hosted.exlibrisgroup.com/primo-explore/search?tab=default_tab&amp;search_scope=EVERYTHING&amp;vid=01CRU&amp;lang=en_US&amp;offset=0&amp;query=any,contains,991003961339702656","Catalog Record")</f>
        <v>Catalog Record</v>
      </c>
      <c r="AT80" s="6" t="str">
        <f>HYPERLINK("http://www.worldcat.org/oclc/1975259","WorldCat Record")</f>
        <v>WorldCat Record</v>
      </c>
      <c r="AU80" s="3" t="s">
        <v>1139</v>
      </c>
      <c r="AV80" s="3" t="s">
        <v>1140</v>
      </c>
      <c r="AW80" s="3" t="s">
        <v>1141</v>
      </c>
      <c r="AX80" s="3" t="s">
        <v>1141</v>
      </c>
      <c r="AY80" s="3" t="s">
        <v>1142</v>
      </c>
      <c r="AZ80" s="3" t="s">
        <v>75</v>
      </c>
      <c r="BB80" s="3" t="s">
        <v>1143</v>
      </c>
      <c r="BC80" s="3" t="s">
        <v>1144</v>
      </c>
      <c r="BD80" s="3" t="s">
        <v>1145</v>
      </c>
    </row>
    <row r="81" spans="1:56" ht="54" customHeight="1" x14ac:dyDescent="0.25">
      <c r="A81" s="7" t="s">
        <v>58</v>
      </c>
      <c r="B81" s="2" t="s">
        <v>1146</v>
      </c>
      <c r="C81" s="2" t="s">
        <v>1147</v>
      </c>
      <c r="D81" s="2" t="s">
        <v>1148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60</v>
      </c>
      <c r="K81" s="2" t="s">
        <v>1149</v>
      </c>
      <c r="L81" s="2" t="s">
        <v>1150</v>
      </c>
      <c r="M81" s="3" t="s">
        <v>561</v>
      </c>
      <c r="O81" s="3" t="s">
        <v>65</v>
      </c>
      <c r="P81" s="3" t="s">
        <v>1151</v>
      </c>
      <c r="R81" s="3" t="s">
        <v>67</v>
      </c>
      <c r="S81" s="4">
        <v>6</v>
      </c>
      <c r="T81" s="4">
        <v>6</v>
      </c>
      <c r="U81" s="5" t="s">
        <v>724</v>
      </c>
      <c r="V81" s="5" t="s">
        <v>724</v>
      </c>
      <c r="W81" s="5" t="s">
        <v>1152</v>
      </c>
      <c r="X81" s="5" t="s">
        <v>1152</v>
      </c>
      <c r="Y81" s="4">
        <v>873</v>
      </c>
      <c r="Z81" s="4">
        <v>710</v>
      </c>
      <c r="AA81" s="4">
        <v>804</v>
      </c>
      <c r="AB81" s="4">
        <v>3</v>
      </c>
      <c r="AC81" s="4">
        <v>6</v>
      </c>
      <c r="AD81" s="4">
        <v>37</v>
      </c>
      <c r="AE81" s="4">
        <v>40</v>
      </c>
      <c r="AF81" s="4">
        <v>16</v>
      </c>
      <c r="AG81" s="4">
        <v>17</v>
      </c>
      <c r="AH81" s="4">
        <v>8</v>
      </c>
      <c r="AI81" s="4">
        <v>8</v>
      </c>
      <c r="AJ81" s="4">
        <v>20</v>
      </c>
      <c r="AK81" s="4">
        <v>21</v>
      </c>
      <c r="AL81" s="4">
        <v>2</v>
      </c>
      <c r="AM81" s="4">
        <v>4</v>
      </c>
      <c r="AN81" s="4">
        <v>0</v>
      </c>
      <c r="AO81" s="4">
        <v>0</v>
      </c>
      <c r="AP81" s="3" t="s">
        <v>58</v>
      </c>
      <c r="AQ81" s="3" t="s">
        <v>70</v>
      </c>
      <c r="AR81" s="6" t="str">
        <f>HYPERLINK("http://catalog.hathitrust.org/Record/001468592","HathiTrust Record")</f>
        <v>HathiTrust Record</v>
      </c>
      <c r="AS81" s="6" t="str">
        <f>HYPERLINK("https://creighton-primo.hosted.exlibrisgroup.com/primo-explore/search?tab=default_tab&amp;search_scope=EVERYTHING&amp;vid=01CRU&amp;lang=en_US&amp;offset=0&amp;query=any,contains,991000855169702656","Catalog Record")</f>
        <v>Catalog Record</v>
      </c>
      <c r="AT81" s="6" t="str">
        <f>HYPERLINK("http://www.worldcat.org/oclc/149201","WorldCat Record")</f>
        <v>WorldCat Record</v>
      </c>
      <c r="AU81" s="3" t="s">
        <v>1153</v>
      </c>
      <c r="AV81" s="3" t="s">
        <v>1154</v>
      </c>
      <c r="AW81" s="3" t="s">
        <v>1155</v>
      </c>
      <c r="AX81" s="3" t="s">
        <v>1155</v>
      </c>
      <c r="AY81" s="3" t="s">
        <v>1156</v>
      </c>
      <c r="AZ81" s="3" t="s">
        <v>75</v>
      </c>
      <c r="BB81" s="3" t="s">
        <v>1157</v>
      </c>
      <c r="BC81" s="3" t="s">
        <v>1158</v>
      </c>
      <c r="BD81" s="3" t="s">
        <v>1159</v>
      </c>
    </row>
    <row r="82" spans="1:56" ht="54" customHeight="1" x14ac:dyDescent="0.25">
      <c r="A82" s="7" t="s">
        <v>58</v>
      </c>
      <c r="B82" s="2" t="s">
        <v>1160</v>
      </c>
      <c r="C82" s="2" t="s">
        <v>1161</v>
      </c>
      <c r="D82" s="2" t="s">
        <v>1162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60</v>
      </c>
      <c r="K82" s="2" t="s">
        <v>1163</v>
      </c>
      <c r="L82" s="2" t="s">
        <v>1164</v>
      </c>
      <c r="M82" s="3" t="s">
        <v>1165</v>
      </c>
      <c r="N82" s="2" t="s">
        <v>1166</v>
      </c>
      <c r="O82" s="3" t="s">
        <v>1167</v>
      </c>
      <c r="P82" s="3" t="s">
        <v>1168</v>
      </c>
      <c r="Q82" s="2" t="s">
        <v>1169</v>
      </c>
      <c r="R82" s="3" t="s">
        <v>67</v>
      </c>
      <c r="S82" s="4">
        <v>1</v>
      </c>
      <c r="T82" s="4">
        <v>1</v>
      </c>
      <c r="U82" s="5" t="s">
        <v>1170</v>
      </c>
      <c r="V82" s="5" t="s">
        <v>1170</v>
      </c>
      <c r="W82" s="5" t="s">
        <v>1171</v>
      </c>
      <c r="X82" s="5" t="s">
        <v>1171</v>
      </c>
      <c r="Y82" s="4">
        <v>7</v>
      </c>
      <c r="Z82" s="4">
        <v>7</v>
      </c>
      <c r="AA82" s="4">
        <v>95</v>
      </c>
      <c r="AB82" s="4">
        <v>1</v>
      </c>
      <c r="AC82" s="4">
        <v>2</v>
      </c>
      <c r="AD82" s="4">
        <v>0</v>
      </c>
      <c r="AE82" s="4">
        <v>3</v>
      </c>
      <c r="AF82" s="4">
        <v>0</v>
      </c>
      <c r="AG82" s="4">
        <v>1</v>
      </c>
      <c r="AH82" s="4">
        <v>0</v>
      </c>
      <c r="AI82" s="4">
        <v>1</v>
      </c>
      <c r="AJ82" s="4">
        <v>0</v>
      </c>
      <c r="AK82" s="4">
        <v>1</v>
      </c>
      <c r="AL82" s="4">
        <v>0</v>
      </c>
      <c r="AM82" s="4">
        <v>1</v>
      </c>
      <c r="AN82" s="4">
        <v>0</v>
      </c>
      <c r="AO82" s="4">
        <v>0</v>
      </c>
      <c r="AP82" s="3" t="s">
        <v>58</v>
      </c>
      <c r="AQ82" s="3" t="s">
        <v>58</v>
      </c>
      <c r="AS82" s="6" t="str">
        <f>HYPERLINK("https://creighton-primo.hosted.exlibrisgroup.com/primo-explore/search?tab=default_tab&amp;search_scope=EVERYTHING&amp;vid=01CRU&amp;lang=en_US&amp;offset=0&amp;query=any,contains,991004033129702656","Catalog Record")</f>
        <v>Catalog Record</v>
      </c>
      <c r="AT82" s="6" t="str">
        <f>HYPERLINK("http://www.worldcat.org/oclc/28332191","WorldCat Record")</f>
        <v>WorldCat Record</v>
      </c>
      <c r="AU82" s="3" t="s">
        <v>1172</v>
      </c>
      <c r="AV82" s="3" t="s">
        <v>1173</v>
      </c>
      <c r="AW82" s="3" t="s">
        <v>1174</v>
      </c>
      <c r="AX82" s="3" t="s">
        <v>1174</v>
      </c>
      <c r="AY82" s="3" t="s">
        <v>1175</v>
      </c>
      <c r="AZ82" s="3" t="s">
        <v>75</v>
      </c>
      <c r="BB82" s="3" t="s">
        <v>1176</v>
      </c>
      <c r="BC82" s="3" t="s">
        <v>1177</v>
      </c>
      <c r="BD82" s="3" t="s">
        <v>1178</v>
      </c>
    </row>
    <row r="83" spans="1:56" ht="54" customHeight="1" x14ac:dyDescent="0.25">
      <c r="A83" s="7" t="s">
        <v>58</v>
      </c>
      <c r="B83" s="2" t="s">
        <v>1179</v>
      </c>
      <c r="C83" s="2" t="s">
        <v>1180</v>
      </c>
      <c r="D83" s="2" t="s">
        <v>1181</v>
      </c>
      <c r="F83" s="3" t="s">
        <v>58</v>
      </c>
      <c r="G83" s="3" t="s">
        <v>59</v>
      </c>
      <c r="H83" s="3" t="s">
        <v>58</v>
      </c>
      <c r="I83" s="3" t="s">
        <v>58</v>
      </c>
      <c r="J83" s="3" t="s">
        <v>60</v>
      </c>
      <c r="K83" s="2" t="s">
        <v>1182</v>
      </c>
      <c r="L83" s="2" t="s">
        <v>1183</v>
      </c>
      <c r="M83" s="3" t="s">
        <v>160</v>
      </c>
      <c r="O83" s="3" t="s">
        <v>65</v>
      </c>
      <c r="P83" s="3" t="s">
        <v>66</v>
      </c>
      <c r="Q83" s="2" t="s">
        <v>1184</v>
      </c>
      <c r="R83" s="3" t="s">
        <v>67</v>
      </c>
      <c r="S83" s="4">
        <v>2</v>
      </c>
      <c r="T83" s="4">
        <v>2</v>
      </c>
      <c r="U83" s="5" t="s">
        <v>1002</v>
      </c>
      <c r="V83" s="5" t="s">
        <v>1002</v>
      </c>
      <c r="W83" s="5" t="s">
        <v>1072</v>
      </c>
      <c r="X83" s="5" t="s">
        <v>1072</v>
      </c>
      <c r="Y83" s="4">
        <v>636</v>
      </c>
      <c r="Z83" s="4">
        <v>566</v>
      </c>
      <c r="AA83" s="4">
        <v>568</v>
      </c>
      <c r="AB83" s="4">
        <v>4</v>
      </c>
      <c r="AC83" s="4">
        <v>4</v>
      </c>
      <c r="AD83" s="4">
        <v>13</v>
      </c>
      <c r="AE83" s="4">
        <v>13</v>
      </c>
      <c r="AF83" s="4">
        <v>2</v>
      </c>
      <c r="AG83" s="4">
        <v>2</v>
      </c>
      <c r="AH83" s="4">
        <v>4</v>
      </c>
      <c r="AI83" s="4">
        <v>4</v>
      </c>
      <c r="AJ83" s="4">
        <v>8</v>
      </c>
      <c r="AK83" s="4">
        <v>8</v>
      </c>
      <c r="AL83" s="4">
        <v>1</v>
      </c>
      <c r="AM83" s="4">
        <v>1</v>
      </c>
      <c r="AN83" s="4">
        <v>0</v>
      </c>
      <c r="AO83" s="4">
        <v>0</v>
      </c>
      <c r="AP83" s="3" t="s">
        <v>58</v>
      </c>
      <c r="AQ83" s="3" t="s">
        <v>70</v>
      </c>
      <c r="AR83" s="6" t="str">
        <f>HYPERLINK("http://catalog.hathitrust.org/Record/001644428","HathiTrust Record")</f>
        <v>HathiTrust Record</v>
      </c>
      <c r="AS83" s="6" t="str">
        <f>HYPERLINK("https://creighton-primo.hosted.exlibrisgroup.com/primo-explore/search?tab=default_tab&amp;search_scope=EVERYTHING&amp;vid=01CRU&amp;lang=en_US&amp;offset=0&amp;query=any,contains,991002961899702656","Catalog Record")</f>
        <v>Catalog Record</v>
      </c>
      <c r="AT83" s="6" t="str">
        <f>HYPERLINK("http://www.worldcat.org/oclc/544221","WorldCat Record")</f>
        <v>WorldCat Record</v>
      </c>
      <c r="AU83" s="3" t="s">
        <v>1185</v>
      </c>
      <c r="AV83" s="3" t="s">
        <v>1186</v>
      </c>
      <c r="AW83" s="3" t="s">
        <v>1187</v>
      </c>
      <c r="AX83" s="3" t="s">
        <v>1187</v>
      </c>
      <c r="AY83" s="3" t="s">
        <v>1188</v>
      </c>
      <c r="AZ83" s="3" t="s">
        <v>75</v>
      </c>
      <c r="BC83" s="3" t="s">
        <v>1189</v>
      </c>
      <c r="BD83" s="3" t="s">
        <v>1190</v>
      </c>
    </row>
    <row r="84" spans="1:56" ht="54" customHeight="1" x14ac:dyDescent="0.25">
      <c r="A84" s="7" t="s">
        <v>58</v>
      </c>
      <c r="B84" s="2" t="s">
        <v>1191</v>
      </c>
      <c r="C84" s="2" t="s">
        <v>1192</v>
      </c>
      <c r="D84" s="2" t="s">
        <v>1193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60</v>
      </c>
      <c r="K84" s="2" t="s">
        <v>1194</v>
      </c>
      <c r="L84" s="2" t="s">
        <v>1195</v>
      </c>
      <c r="M84" s="3" t="s">
        <v>249</v>
      </c>
      <c r="O84" s="3" t="s">
        <v>65</v>
      </c>
      <c r="P84" s="3" t="s">
        <v>66</v>
      </c>
      <c r="R84" s="3" t="s">
        <v>67</v>
      </c>
      <c r="S84" s="4">
        <v>1</v>
      </c>
      <c r="T84" s="4">
        <v>1</v>
      </c>
      <c r="U84" s="5" t="s">
        <v>1196</v>
      </c>
      <c r="V84" s="5" t="s">
        <v>1196</v>
      </c>
      <c r="W84" s="5" t="s">
        <v>477</v>
      </c>
      <c r="X84" s="5" t="s">
        <v>477</v>
      </c>
      <c r="Y84" s="4">
        <v>482</v>
      </c>
      <c r="Z84" s="4">
        <v>413</v>
      </c>
      <c r="AA84" s="4">
        <v>416</v>
      </c>
      <c r="AB84" s="4">
        <v>5</v>
      </c>
      <c r="AC84" s="4">
        <v>5</v>
      </c>
      <c r="AD84" s="4">
        <v>17</v>
      </c>
      <c r="AE84" s="4">
        <v>17</v>
      </c>
      <c r="AF84" s="4">
        <v>4</v>
      </c>
      <c r="AG84" s="4">
        <v>4</v>
      </c>
      <c r="AH84" s="4">
        <v>4</v>
      </c>
      <c r="AI84" s="4">
        <v>4</v>
      </c>
      <c r="AJ84" s="4">
        <v>7</v>
      </c>
      <c r="AK84" s="4">
        <v>7</v>
      </c>
      <c r="AL84" s="4">
        <v>4</v>
      </c>
      <c r="AM84" s="4">
        <v>4</v>
      </c>
      <c r="AN84" s="4">
        <v>0</v>
      </c>
      <c r="AO84" s="4">
        <v>0</v>
      </c>
      <c r="AP84" s="3" t="s">
        <v>58</v>
      </c>
      <c r="AQ84" s="3" t="s">
        <v>70</v>
      </c>
      <c r="AR84" s="6" t="str">
        <f>HYPERLINK("http://catalog.hathitrust.org/Record/000732685","HathiTrust Record")</f>
        <v>HathiTrust Record</v>
      </c>
      <c r="AS84" s="6" t="str">
        <f>HYPERLINK("https://creighton-primo.hosted.exlibrisgroup.com/primo-explore/search?tab=default_tab&amp;search_scope=EVERYTHING&amp;vid=01CRU&amp;lang=en_US&amp;offset=0&amp;query=any,contains,991004894899702656","Catalog Record")</f>
        <v>Catalog Record</v>
      </c>
      <c r="AT84" s="6" t="str">
        <f>HYPERLINK("http://www.worldcat.org/oclc/5892522","WorldCat Record")</f>
        <v>WorldCat Record</v>
      </c>
      <c r="AU84" s="3" t="s">
        <v>1197</v>
      </c>
      <c r="AV84" s="3" t="s">
        <v>1198</v>
      </c>
      <c r="AW84" s="3" t="s">
        <v>1199</v>
      </c>
      <c r="AX84" s="3" t="s">
        <v>1199</v>
      </c>
      <c r="AY84" s="3" t="s">
        <v>1200</v>
      </c>
      <c r="AZ84" s="3" t="s">
        <v>75</v>
      </c>
      <c r="BB84" s="3" t="s">
        <v>1201</v>
      </c>
      <c r="BC84" s="3" t="s">
        <v>1202</v>
      </c>
      <c r="BD84" s="3" t="s">
        <v>1203</v>
      </c>
    </row>
    <row r="85" spans="1:56" ht="54" customHeight="1" x14ac:dyDescent="0.25">
      <c r="A85" s="7" t="s">
        <v>58</v>
      </c>
      <c r="B85" s="2" t="s">
        <v>1204</v>
      </c>
      <c r="C85" s="2" t="s">
        <v>1205</v>
      </c>
      <c r="D85" s="2" t="s">
        <v>1206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60</v>
      </c>
      <c r="K85" s="2" t="s">
        <v>1207</v>
      </c>
      <c r="L85" s="2" t="s">
        <v>1208</v>
      </c>
      <c r="M85" s="3" t="s">
        <v>823</v>
      </c>
      <c r="O85" s="3" t="s">
        <v>65</v>
      </c>
      <c r="P85" s="3" t="s">
        <v>737</v>
      </c>
      <c r="R85" s="3" t="s">
        <v>67</v>
      </c>
      <c r="S85" s="4">
        <v>12</v>
      </c>
      <c r="T85" s="4">
        <v>12</v>
      </c>
      <c r="U85" s="5" t="s">
        <v>1209</v>
      </c>
      <c r="V85" s="5" t="s">
        <v>1209</v>
      </c>
      <c r="W85" s="5" t="s">
        <v>1210</v>
      </c>
      <c r="X85" s="5" t="s">
        <v>1210</v>
      </c>
      <c r="Y85" s="4">
        <v>921</v>
      </c>
      <c r="Z85" s="4">
        <v>748</v>
      </c>
      <c r="AA85" s="4">
        <v>761</v>
      </c>
      <c r="AB85" s="4">
        <v>6</v>
      </c>
      <c r="AC85" s="4">
        <v>6</v>
      </c>
      <c r="AD85" s="4">
        <v>35</v>
      </c>
      <c r="AE85" s="4">
        <v>36</v>
      </c>
      <c r="AF85" s="4">
        <v>16</v>
      </c>
      <c r="AG85" s="4">
        <v>16</v>
      </c>
      <c r="AH85" s="4">
        <v>5</v>
      </c>
      <c r="AI85" s="4">
        <v>6</v>
      </c>
      <c r="AJ85" s="4">
        <v>18</v>
      </c>
      <c r="AK85" s="4">
        <v>19</v>
      </c>
      <c r="AL85" s="4">
        <v>4</v>
      </c>
      <c r="AM85" s="4">
        <v>4</v>
      </c>
      <c r="AN85" s="4">
        <v>0</v>
      </c>
      <c r="AO85" s="4">
        <v>0</v>
      </c>
      <c r="AP85" s="3" t="s">
        <v>58</v>
      </c>
      <c r="AQ85" s="3" t="s">
        <v>58</v>
      </c>
      <c r="AS85" s="6" t="str">
        <f>HYPERLINK("https://creighton-primo.hosted.exlibrisgroup.com/primo-explore/search?tab=default_tab&amp;search_scope=EVERYTHING&amp;vid=01CRU&amp;lang=en_US&amp;offset=0&amp;query=any,contains,991001459839702656","Catalog Record")</f>
        <v>Catalog Record</v>
      </c>
      <c r="AT85" s="6" t="str">
        <f>HYPERLINK("http://www.worldcat.org/oclc/19413617","WorldCat Record")</f>
        <v>WorldCat Record</v>
      </c>
      <c r="AU85" s="3" t="s">
        <v>1211</v>
      </c>
      <c r="AV85" s="3" t="s">
        <v>1212</v>
      </c>
      <c r="AW85" s="3" t="s">
        <v>1213</v>
      </c>
      <c r="AX85" s="3" t="s">
        <v>1213</v>
      </c>
      <c r="AY85" s="3" t="s">
        <v>1214</v>
      </c>
      <c r="AZ85" s="3" t="s">
        <v>75</v>
      </c>
      <c r="BB85" s="3" t="s">
        <v>1215</v>
      </c>
      <c r="BC85" s="3" t="s">
        <v>1216</v>
      </c>
      <c r="BD85" s="3" t="s">
        <v>1217</v>
      </c>
    </row>
    <row r="86" spans="1:56" ht="54" customHeight="1" x14ac:dyDescent="0.25">
      <c r="A86" s="7" t="s">
        <v>58</v>
      </c>
      <c r="B86" s="2" t="s">
        <v>1218</v>
      </c>
      <c r="C86" s="2" t="s">
        <v>1219</v>
      </c>
      <c r="D86" s="2" t="s">
        <v>1220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K86" s="2" t="s">
        <v>1221</v>
      </c>
      <c r="L86" s="2" t="s">
        <v>1222</v>
      </c>
      <c r="M86" s="3" t="s">
        <v>630</v>
      </c>
      <c r="O86" s="3" t="s">
        <v>65</v>
      </c>
      <c r="P86" s="3" t="s">
        <v>737</v>
      </c>
      <c r="R86" s="3" t="s">
        <v>67</v>
      </c>
      <c r="S86" s="4">
        <v>4</v>
      </c>
      <c r="T86" s="4">
        <v>4</v>
      </c>
      <c r="U86" s="5" t="s">
        <v>1223</v>
      </c>
      <c r="V86" s="5" t="s">
        <v>1223</v>
      </c>
      <c r="W86" s="5" t="s">
        <v>1057</v>
      </c>
      <c r="X86" s="5" t="s">
        <v>1057</v>
      </c>
      <c r="Y86" s="4">
        <v>514</v>
      </c>
      <c r="Z86" s="4">
        <v>407</v>
      </c>
      <c r="AA86" s="4">
        <v>408</v>
      </c>
      <c r="AB86" s="4">
        <v>3</v>
      </c>
      <c r="AC86" s="4">
        <v>3</v>
      </c>
      <c r="AD86" s="4">
        <v>17</v>
      </c>
      <c r="AE86" s="4">
        <v>18</v>
      </c>
      <c r="AF86" s="4">
        <v>6</v>
      </c>
      <c r="AG86" s="4">
        <v>7</v>
      </c>
      <c r="AH86" s="4">
        <v>4</v>
      </c>
      <c r="AI86" s="4">
        <v>4</v>
      </c>
      <c r="AJ86" s="4">
        <v>9</v>
      </c>
      <c r="AK86" s="4">
        <v>9</v>
      </c>
      <c r="AL86" s="4">
        <v>2</v>
      </c>
      <c r="AM86" s="4">
        <v>2</v>
      </c>
      <c r="AN86" s="4">
        <v>0</v>
      </c>
      <c r="AO86" s="4">
        <v>0</v>
      </c>
      <c r="AP86" s="3" t="s">
        <v>58</v>
      </c>
      <c r="AQ86" s="3" t="s">
        <v>58</v>
      </c>
      <c r="AS86" s="6" t="str">
        <f>HYPERLINK("https://creighton-primo.hosted.exlibrisgroup.com/primo-explore/search?tab=default_tab&amp;search_scope=EVERYTHING&amp;vid=01CRU&amp;lang=en_US&amp;offset=0&amp;query=any,contains,991001750239702656","Catalog Record")</f>
        <v>Catalog Record</v>
      </c>
      <c r="AT86" s="6" t="str">
        <f>HYPERLINK("http://www.worldcat.org/oclc/22178838","WorldCat Record")</f>
        <v>WorldCat Record</v>
      </c>
      <c r="AU86" s="3" t="s">
        <v>1224</v>
      </c>
      <c r="AV86" s="3" t="s">
        <v>1225</v>
      </c>
      <c r="AW86" s="3" t="s">
        <v>1226</v>
      </c>
      <c r="AX86" s="3" t="s">
        <v>1226</v>
      </c>
      <c r="AY86" s="3" t="s">
        <v>1227</v>
      </c>
      <c r="AZ86" s="3" t="s">
        <v>75</v>
      </c>
      <c r="BB86" s="3" t="s">
        <v>1228</v>
      </c>
      <c r="BC86" s="3" t="s">
        <v>1229</v>
      </c>
      <c r="BD86" s="3" t="s">
        <v>1230</v>
      </c>
    </row>
    <row r="87" spans="1:56" ht="54" customHeight="1" x14ac:dyDescent="0.25">
      <c r="A87" s="7" t="s">
        <v>58</v>
      </c>
      <c r="B87" s="2" t="s">
        <v>1231</v>
      </c>
      <c r="C87" s="2" t="s">
        <v>1232</v>
      </c>
      <c r="D87" s="2" t="s">
        <v>1233</v>
      </c>
      <c r="F87" s="3" t="s">
        <v>58</v>
      </c>
      <c r="G87" s="3" t="s">
        <v>59</v>
      </c>
      <c r="H87" s="3" t="s">
        <v>58</v>
      </c>
      <c r="I87" s="3" t="s">
        <v>58</v>
      </c>
      <c r="J87" s="3" t="s">
        <v>60</v>
      </c>
      <c r="K87" s="2" t="s">
        <v>143</v>
      </c>
      <c r="L87" s="2" t="s">
        <v>1234</v>
      </c>
      <c r="M87" s="3" t="s">
        <v>1016</v>
      </c>
      <c r="O87" s="3" t="s">
        <v>65</v>
      </c>
      <c r="P87" s="3" t="s">
        <v>66</v>
      </c>
      <c r="R87" s="3" t="s">
        <v>67</v>
      </c>
      <c r="S87" s="4">
        <v>5</v>
      </c>
      <c r="T87" s="4">
        <v>5</v>
      </c>
      <c r="U87" s="5" t="s">
        <v>1235</v>
      </c>
      <c r="V87" s="5" t="s">
        <v>1235</v>
      </c>
      <c r="W87" s="5" t="s">
        <v>1235</v>
      </c>
      <c r="X87" s="5" t="s">
        <v>1235</v>
      </c>
      <c r="Y87" s="4">
        <v>1051</v>
      </c>
      <c r="Z87" s="4">
        <v>903</v>
      </c>
      <c r="AA87" s="4">
        <v>944</v>
      </c>
      <c r="AB87" s="4">
        <v>5</v>
      </c>
      <c r="AC87" s="4">
        <v>6</v>
      </c>
      <c r="AD87" s="4">
        <v>30</v>
      </c>
      <c r="AE87" s="4">
        <v>31</v>
      </c>
      <c r="AF87" s="4">
        <v>12</v>
      </c>
      <c r="AG87" s="4">
        <v>12</v>
      </c>
      <c r="AH87" s="4">
        <v>7</v>
      </c>
      <c r="AI87" s="4">
        <v>7</v>
      </c>
      <c r="AJ87" s="4">
        <v>15</v>
      </c>
      <c r="AK87" s="4">
        <v>15</v>
      </c>
      <c r="AL87" s="4">
        <v>3</v>
      </c>
      <c r="AM87" s="4">
        <v>4</v>
      </c>
      <c r="AN87" s="4">
        <v>0</v>
      </c>
      <c r="AO87" s="4">
        <v>0</v>
      </c>
      <c r="AP87" s="3" t="s">
        <v>58</v>
      </c>
      <c r="AQ87" s="3" t="s">
        <v>58</v>
      </c>
      <c r="AS87" s="6" t="str">
        <f>HYPERLINK("https://creighton-primo.hosted.exlibrisgroup.com/primo-explore/search?tab=default_tab&amp;search_scope=EVERYTHING&amp;vid=01CRU&amp;lang=en_US&amp;offset=0&amp;query=any,contains,991004014579702656","Catalog Record")</f>
        <v>Catalog Record</v>
      </c>
      <c r="AT87" s="6" t="str">
        <f>HYPERLINK("http://www.worldcat.org/oclc/50959084","WorldCat Record")</f>
        <v>WorldCat Record</v>
      </c>
      <c r="AU87" s="3" t="s">
        <v>1236</v>
      </c>
      <c r="AV87" s="3" t="s">
        <v>1237</v>
      </c>
      <c r="AW87" s="3" t="s">
        <v>1238</v>
      </c>
      <c r="AX87" s="3" t="s">
        <v>1238</v>
      </c>
      <c r="AY87" s="3" t="s">
        <v>1239</v>
      </c>
      <c r="AZ87" s="3" t="s">
        <v>75</v>
      </c>
      <c r="BB87" s="3" t="s">
        <v>1240</v>
      </c>
      <c r="BC87" s="3" t="s">
        <v>1241</v>
      </c>
      <c r="BD87" s="3" t="s">
        <v>1242</v>
      </c>
    </row>
    <row r="88" spans="1:56" ht="54" customHeight="1" x14ac:dyDescent="0.25">
      <c r="A88" s="7" t="s">
        <v>58</v>
      </c>
      <c r="B88" s="2" t="s">
        <v>1243</v>
      </c>
      <c r="C88" s="2" t="s">
        <v>1244</v>
      </c>
      <c r="D88" s="2" t="s">
        <v>1245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60</v>
      </c>
      <c r="K88" s="2" t="s">
        <v>1246</v>
      </c>
      <c r="L88" s="2" t="s">
        <v>1247</v>
      </c>
      <c r="M88" s="3" t="s">
        <v>1248</v>
      </c>
      <c r="O88" s="3" t="s">
        <v>65</v>
      </c>
      <c r="P88" s="3" t="s">
        <v>66</v>
      </c>
      <c r="R88" s="3" t="s">
        <v>67</v>
      </c>
      <c r="S88" s="4">
        <v>5</v>
      </c>
      <c r="T88" s="4">
        <v>5</v>
      </c>
      <c r="U88" s="5" t="s">
        <v>1249</v>
      </c>
      <c r="V88" s="5" t="s">
        <v>1249</v>
      </c>
      <c r="W88" s="5" t="s">
        <v>1250</v>
      </c>
      <c r="X88" s="5" t="s">
        <v>1250</v>
      </c>
      <c r="Y88" s="4">
        <v>541</v>
      </c>
      <c r="Z88" s="4">
        <v>448</v>
      </c>
      <c r="AA88" s="4">
        <v>460</v>
      </c>
      <c r="AB88" s="4">
        <v>3</v>
      </c>
      <c r="AC88" s="4">
        <v>3</v>
      </c>
      <c r="AD88" s="4">
        <v>15</v>
      </c>
      <c r="AE88" s="4">
        <v>15</v>
      </c>
      <c r="AF88" s="4">
        <v>6</v>
      </c>
      <c r="AG88" s="4">
        <v>6</v>
      </c>
      <c r="AH88" s="4">
        <v>2</v>
      </c>
      <c r="AI88" s="4">
        <v>2</v>
      </c>
      <c r="AJ88" s="4">
        <v>9</v>
      </c>
      <c r="AK88" s="4">
        <v>9</v>
      </c>
      <c r="AL88" s="4">
        <v>1</v>
      </c>
      <c r="AM88" s="4">
        <v>1</v>
      </c>
      <c r="AN88" s="4">
        <v>0</v>
      </c>
      <c r="AO88" s="4">
        <v>0</v>
      </c>
      <c r="AP88" s="3" t="s">
        <v>58</v>
      </c>
      <c r="AQ88" s="3" t="s">
        <v>70</v>
      </c>
      <c r="AR88" s="6" t="str">
        <f>HYPERLINK("http://catalog.hathitrust.org/Record/004530750","HathiTrust Record")</f>
        <v>HathiTrust Record</v>
      </c>
      <c r="AS88" s="6" t="str">
        <f>HYPERLINK("https://creighton-primo.hosted.exlibrisgroup.com/primo-explore/search?tab=default_tab&amp;search_scope=EVERYTHING&amp;vid=01CRU&amp;lang=en_US&amp;offset=0&amp;query=any,contains,991002164529702656","Catalog Record")</f>
        <v>Catalog Record</v>
      </c>
      <c r="AT88" s="6" t="str">
        <f>HYPERLINK("http://www.worldcat.org/oclc/27894411","WorldCat Record")</f>
        <v>WorldCat Record</v>
      </c>
      <c r="AU88" s="3" t="s">
        <v>1251</v>
      </c>
      <c r="AV88" s="3" t="s">
        <v>1252</v>
      </c>
      <c r="AW88" s="3" t="s">
        <v>1253</v>
      </c>
      <c r="AX88" s="3" t="s">
        <v>1253</v>
      </c>
      <c r="AY88" s="3" t="s">
        <v>1254</v>
      </c>
      <c r="AZ88" s="3" t="s">
        <v>75</v>
      </c>
      <c r="BB88" s="3" t="s">
        <v>1255</v>
      </c>
      <c r="BC88" s="3" t="s">
        <v>1256</v>
      </c>
      <c r="BD88" s="3" t="s">
        <v>1257</v>
      </c>
    </row>
    <row r="89" spans="1:56" ht="54" customHeight="1" x14ac:dyDescent="0.25">
      <c r="A89" s="7" t="s">
        <v>58</v>
      </c>
      <c r="B89" s="2" t="s">
        <v>1258</v>
      </c>
      <c r="C89" s="2" t="s">
        <v>1259</v>
      </c>
      <c r="D89" s="2" t="s">
        <v>1260</v>
      </c>
      <c r="F89" s="3" t="s">
        <v>58</v>
      </c>
      <c r="G89" s="3" t="s">
        <v>59</v>
      </c>
      <c r="H89" s="3" t="s">
        <v>58</v>
      </c>
      <c r="I89" s="3" t="s">
        <v>58</v>
      </c>
      <c r="J89" s="3" t="s">
        <v>60</v>
      </c>
      <c r="K89" s="2" t="s">
        <v>1261</v>
      </c>
      <c r="L89" s="2" t="s">
        <v>1262</v>
      </c>
      <c r="M89" s="3" t="s">
        <v>428</v>
      </c>
      <c r="O89" s="3" t="s">
        <v>65</v>
      </c>
      <c r="P89" s="3" t="s">
        <v>66</v>
      </c>
      <c r="R89" s="3" t="s">
        <v>67</v>
      </c>
      <c r="S89" s="4">
        <v>13</v>
      </c>
      <c r="T89" s="4">
        <v>13</v>
      </c>
      <c r="U89" s="5" t="s">
        <v>1263</v>
      </c>
      <c r="V89" s="5" t="s">
        <v>1263</v>
      </c>
      <c r="W89" s="5" t="s">
        <v>1264</v>
      </c>
      <c r="X89" s="5" t="s">
        <v>1264</v>
      </c>
      <c r="Y89" s="4">
        <v>1317</v>
      </c>
      <c r="Z89" s="4">
        <v>1110</v>
      </c>
      <c r="AA89" s="4">
        <v>1121</v>
      </c>
      <c r="AB89" s="4">
        <v>11</v>
      </c>
      <c r="AC89" s="4">
        <v>11</v>
      </c>
      <c r="AD89" s="4">
        <v>38</v>
      </c>
      <c r="AE89" s="4">
        <v>38</v>
      </c>
      <c r="AF89" s="4">
        <v>13</v>
      </c>
      <c r="AG89" s="4">
        <v>13</v>
      </c>
      <c r="AH89" s="4">
        <v>7</v>
      </c>
      <c r="AI89" s="4">
        <v>7</v>
      </c>
      <c r="AJ89" s="4">
        <v>20</v>
      </c>
      <c r="AK89" s="4">
        <v>20</v>
      </c>
      <c r="AL89" s="4">
        <v>7</v>
      </c>
      <c r="AM89" s="4">
        <v>7</v>
      </c>
      <c r="AN89" s="4">
        <v>0</v>
      </c>
      <c r="AO89" s="4">
        <v>0</v>
      </c>
      <c r="AP89" s="3" t="s">
        <v>58</v>
      </c>
      <c r="AQ89" s="3" t="s">
        <v>58</v>
      </c>
      <c r="AS89" s="6" t="str">
        <f>HYPERLINK("https://creighton-primo.hosted.exlibrisgroup.com/primo-explore/search?tab=default_tab&amp;search_scope=EVERYTHING&amp;vid=01CRU&amp;lang=en_US&amp;offset=0&amp;query=any,contains,991001700939702656","Catalog Record")</f>
        <v>Catalog Record</v>
      </c>
      <c r="AT89" s="6" t="str">
        <f>HYPERLINK("http://www.worldcat.org/oclc/21523602","WorldCat Record")</f>
        <v>WorldCat Record</v>
      </c>
      <c r="AU89" s="3" t="s">
        <v>1265</v>
      </c>
      <c r="AV89" s="3" t="s">
        <v>1266</v>
      </c>
      <c r="AW89" s="3" t="s">
        <v>1267</v>
      </c>
      <c r="AX89" s="3" t="s">
        <v>1267</v>
      </c>
      <c r="AY89" s="3" t="s">
        <v>1268</v>
      </c>
      <c r="AZ89" s="3" t="s">
        <v>75</v>
      </c>
      <c r="BB89" s="3" t="s">
        <v>1269</v>
      </c>
      <c r="BC89" s="3" t="s">
        <v>1270</v>
      </c>
      <c r="BD89" s="3" t="s">
        <v>1271</v>
      </c>
    </row>
    <row r="90" spans="1:56" ht="54" customHeight="1" x14ac:dyDescent="0.25">
      <c r="A90" s="7" t="s">
        <v>58</v>
      </c>
      <c r="B90" s="2" t="s">
        <v>1272</v>
      </c>
      <c r="C90" s="2" t="s">
        <v>1273</v>
      </c>
      <c r="D90" s="2" t="s">
        <v>1274</v>
      </c>
      <c r="F90" s="3" t="s">
        <v>58</v>
      </c>
      <c r="G90" s="3" t="s">
        <v>59</v>
      </c>
      <c r="H90" s="3" t="s">
        <v>58</v>
      </c>
      <c r="I90" s="3" t="s">
        <v>58</v>
      </c>
      <c r="J90" s="3" t="s">
        <v>60</v>
      </c>
      <c r="K90" s="2" t="s">
        <v>158</v>
      </c>
      <c r="L90" s="2" t="s">
        <v>1275</v>
      </c>
      <c r="M90" s="3" t="s">
        <v>630</v>
      </c>
      <c r="O90" s="3" t="s">
        <v>65</v>
      </c>
      <c r="P90" s="3" t="s">
        <v>737</v>
      </c>
      <c r="R90" s="3" t="s">
        <v>67</v>
      </c>
      <c r="S90" s="4">
        <v>9</v>
      </c>
      <c r="T90" s="4">
        <v>9</v>
      </c>
      <c r="U90" s="5" t="s">
        <v>161</v>
      </c>
      <c r="V90" s="5" t="s">
        <v>161</v>
      </c>
      <c r="W90" s="5" t="s">
        <v>1276</v>
      </c>
      <c r="X90" s="5" t="s">
        <v>1276</v>
      </c>
      <c r="Y90" s="4">
        <v>238</v>
      </c>
      <c r="Z90" s="4">
        <v>201</v>
      </c>
      <c r="AA90" s="4">
        <v>209</v>
      </c>
      <c r="AB90" s="4">
        <v>3</v>
      </c>
      <c r="AC90" s="4">
        <v>3</v>
      </c>
      <c r="AD90" s="4">
        <v>9</v>
      </c>
      <c r="AE90" s="4">
        <v>9</v>
      </c>
      <c r="AF90" s="4">
        <v>5</v>
      </c>
      <c r="AG90" s="4">
        <v>5</v>
      </c>
      <c r="AH90" s="4">
        <v>1</v>
      </c>
      <c r="AI90" s="4">
        <v>1</v>
      </c>
      <c r="AJ90" s="4">
        <v>5</v>
      </c>
      <c r="AK90" s="4">
        <v>5</v>
      </c>
      <c r="AL90" s="4">
        <v>1</v>
      </c>
      <c r="AM90" s="4">
        <v>1</v>
      </c>
      <c r="AN90" s="4">
        <v>0</v>
      </c>
      <c r="AO90" s="4">
        <v>0</v>
      </c>
      <c r="AP90" s="3" t="s">
        <v>58</v>
      </c>
      <c r="AQ90" s="3" t="s">
        <v>58</v>
      </c>
      <c r="AS90" s="6" t="str">
        <f>HYPERLINK("https://creighton-primo.hosted.exlibrisgroup.com/primo-explore/search?tab=default_tab&amp;search_scope=EVERYTHING&amp;vid=01CRU&amp;lang=en_US&amp;offset=0&amp;query=any,contains,991001946789702656","Catalog Record")</f>
        <v>Catalog Record</v>
      </c>
      <c r="AT90" s="6" t="str">
        <f>HYPERLINK("http://www.worldcat.org/oclc/24603383","WorldCat Record")</f>
        <v>WorldCat Record</v>
      </c>
      <c r="AU90" s="3" t="s">
        <v>1277</v>
      </c>
      <c r="AV90" s="3" t="s">
        <v>1278</v>
      </c>
      <c r="AW90" s="3" t="s">
        <v>1279</v>
      </c>
      <c r="AX90" s="3" t="s">
        <v>1279</v>
      </c>
      <c r="AY90" s="3" t="s">
        <v>1280</v>
      </c>
      <c r="AZ90" s="3" t="s">
        <v>75</v>
      </c>
      <c r="BB90" s="3" t="s">
        <v>1281</v>
      </c>
      <c r="BC90" s="3" t="s">
        <v>1282</v>
      </c>
      <c r="BD90" s="3" t="s">
        <v>1283</v>
      </c>
    </row>
    <row r="91" spans="1:56" ht="54" customHeight="1" x14ac:dyDescent="0.25">
      <c r="A91" s="7" t="s">
        <v>58</v>
      </c>
      <c r="B91" s="2" t="s">
        <v>1284</v>
      </c>
      <c r="C91" s="2" t="s">
        <v>1285</v>
      </c>
      <c r="D91" s="2" t="s">
        <v>1286</v>
      </c>
      <c r="F91" s="3" t="s">
        <v>58</v>
      </c>
      <c r="G91" s="3" t="s">
        <v>59</v>
      </c>
      <c r="H91" s="3" t="s">
        <v>58</v>
      </c>
      <c r="I91" s="3" t="s">
        <v>58</v>
      </c>
      <c r="J91" s="3" t="s">
        <v>60</v>
      </c>
      <c r="K91" s="2" t="s">
        <v>1287</v>
      </c>
      <c r="L91" s="2" t="s">
        <v>1288</v>
      </c>
      <c r="M91" s="3" t="s">
        <v>750</v>
      </c>
      <c r="O91" s="3" t="s">
        <v>65</v>
      </c>
      <c r="P91" s="3" t="s">
        <v>66</v>
      </c>
      <c r="Q91" s="2" t="s">
        <v>1289</v>
      </c>
      <c r="R91" s="3" t="s">
        <v>67</v>
      </c>
      <c r="S91" s="4">
        <v>4</v>
      </c>
      <c r="T91" s="4">
        <v>4</v>
      </c>
      <c r="U91" s="5" t="s">
        <v>1290</v>
      </c>
      <c r="V91" s="5" t="s">
        <v>1290</v>
      </c>
      <c r="W91" s="5" t="s">
        <v>1291</v>
      </c>
      <c r="X91" s="5" t="s">
        <v>1291</v>
      </c>
      <c r="Y91" s="4">
        <v>463</v>
      </c>
      <c r="Z91" s="4">
        <v>438</v>
      </c>
      <c r="AA91" s="4">
        <v>519</v>
      </c>
      <c r="AB91" s="4">
        <v>3</v>
      </c>
      <c r="AC91" s="4">
        <v>5</v>
      </c>
      <c r="AD91" s="4">
        <v>15</v>
      </c>
      <c r="AE91" s="4">
        <v>20</v>
      </c>
      <c r="AF91" s="4">
        <v>5</v>
      </c>
      <c r="AG91" s="4">
        <v>7</v>
      </c>
      <c r="AH91" s="4">
        <v>1</v>
      </c>
      <c r="AI91" s="4">
        <v>1</v>
      </c>
      <c r="AJ91" s="4">
        <v>11</v>
      </c>
      <c r="AK91" s="4">
        <v>13</v>
      </c>
      <c r="AL91" s="4">
        <v>2</v>
      </c>
      <c r="AM91" s="4">
        <v>4</v>
      </c>
      <c r="AN91" s="4">
        <v>0</v>
      </c>
      <c r="AO91" s="4">
        <v>0</v>
      </c>
      <c r="AP91" s="3" t="s">
        <v>58</v>
      </c>
      <c r="AQ91" s="3" t="s">
        <v>70</v>
      </c>
      <c r="AR91" s="6" t="str">
        <f>HYPERLINK("http://catalog.hathitrust.org/Record/000001614","HathiTrust Record")</f>
        <v>HathiTrust Record</v>
      </c>
      <c r="AS91" s="6" t="str">
        <f>HYPERLINK("https://creighton-primo.hosted.exlibrisgroup.com/primo-explore/search?tab=default_tab&amp;search_scope=EVERYTHING&amp;vid=01CRU&amp;lang=en_US&amp;offset=0&amp;query=any,contains,991000655429702656","Catalog Record")</f>
        <v>Catalog Record</v>
      </c>
      <c r="AT91" s="6" t="str">
        <f>HYPERLINK("http://www.worldcat.org/oclc/115064","WorldCat Record")</f>
        <v>WorldCat Record</v>
      </c>
      <c r="AU91" s="3" t="s">
        <v>1292</v>
      </c>
      <c r="AV91" s="3" t="s">
        <v>1293</v>
      </c>
      <c r="AW91" s="3" t="s">
        <v>1294</v>
      </c>
      <c r="AX91" s="3" t="s">
        <v>1294</v>
      </c>
      <c r="AY91" s="3" t="s">
        <v>1295</v>
      </c>
      <c r="AZ91" s="3" t="s">
        <v>75</v>
      </c>
      <c r="BC91" s="3" t="s">
        <v>1296</v>
      </c>
      <c r="BD91" s="3" t="s">
        <v>1297</v>
      </c>
    </row>
    <row r="92" spans="1:56" ht="54" customHeight="1" x14ac:dyDescent="0.25">
      <c r="A92" s="7" t="s">
        <v>58</v>
      </c>
      <c r="B92" s="2" t="s">
        <v>1298</v>
      </c>
      <c r="C92" s="2" t="s">
        <v>1299</v>
      </c>
      <c r="D92" s="2" t="s">
        <v>1300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60</v>
      </c>
      <c r="K92" s="2" t="s">
        <v>1301</v>
      </c>
      <c r="L92" s="2" t="s">
        <v>1302</v>
      </c>
      <c r="M92" s="3" t="s">
        <v>505</v>
      </c>
      <c r="O92" s="3" t="s">
        <v>65</v>
      </c>
      <c r="P92" s="3" t="s">
        <v>66</v>
      </c>
      <c r="R92" s="3" t="s">
        <v>67</v>
      </c>
      <c r="S92" s="4">
        <v>4</v>
      </c>
      <c r="T92" s="4">
        <v>4</v>
      </c>
      <c r="U92" s="5" t="s">
        <v>1303</v>
      </c>
      <c r="V92" s="5" t="s">
        <v>1303</v>
      </c>
      <c r="W92" s="5" t="s">
        <v>1098</v>
      </c>
      <c r="X92" s="5" t="s">
        <v>1098</v>
      </c>
      <c r="Y92" s="4">
        <v>386</v>
      </c>
      <c r="Z92" s="4">
        <v>365</v>
      </c>
      <c r="AA92" s="4">
        <v>367</v>
      </c>
      <c r="AB92" s="4">
        <v>5</v>
      </c>
      <c r="AC92" s="4">
        <v>5</v>
      </c>
      <c r="AD92" s="4">
        <v>13</v>
      </c>
      <c r="AE92" s="4">
        <v>13</v>
      </c>
      <c r="AF92" s="4">
        <v>5</v>
      </c>
      <c r="AG92" s="4">
        <v>5</v>
      </c>
      <c r="AH92" s="4">
        <v>1</v>
      </c>
      <c r="AI92" s="4">
        <v>1</v>
      </c>
      <c r="AJ92" s="4">
        <v>5</v>
      </c>
      <c r="AK92" s="4">
        <v>5</v>
      </c>
      <c r="AL92" s="4">
        <v>4</v>
      </c>
      <c r="AM92" s="4">
        <v>4</v>
      </c>
      <c r="AN92" s="4">
        <v>0</v>
      </c>
      <c r="AO92" s="4">
        <v>0</v>
      </c>
      <c r="AP92" s="3" t="s">
        <v>58</v>
      </c>
      <c r="AQ92" s="3" t="s">
        <v>70</v>
      </c>
      <c r="AR92" s="6" t="str">
        <f>HYPERLINK("http://catalog.hathitrust.org/Record/008510923","HathiTrust Record")</f>
        <v>HathiTrust Record</v>
      </c>
      <c r="AS92" s="6" t="str">
        <f>HYPERLINK("https://creighton-primo.hosted.exlibrisgroup.com/primo-explore/search?tab=default_tab&amp;search_scope=EVERYTHING&amp;vid=01CRU&amp;lang=en_US&amp;offset=0&amp;query=any,contains,991000127419702656","Catalog Record")</f>
        <v>Catalog Record</v>
      </c>
      <c r="AT92" s="6" t="str">
        <f>HYPERLINK("http://www.worldcat.org/oclc/52587","WorldCat Record")</f>
        <v>WorldCat Record</v>
      </c>
      <c r="AU92" s="3" t="s">
        <v>1304</v>
      </c>
      <c r="AV92" s="3" t="s">
        <v>1305</v>
      </c>
      <c r="AW92" s="3" t="s">
        <v>1306</v>
      </c>
      <c r="AX92" s="3" t="s">
        <v>1306</v>
      </c>
      <c r="AY92" s="3" t="s">
        <v>1307</v>
      </c>
      <c r="AZ92" s="3" t="s">
        <v>75</v>
      </c>
      <c r="BC92" s="3" t="s">
        <v>1308</v>
      </c>
      <c r="BD92" s="3" t="s">
        <v>1309</v>
      </c>
    </row>
    <row r="93" spans="1:56" ht="54" customHeight="1" x14ac:dyDescent="0.25">
      <c r="A93" s="7" t="s">
        <v>58</v>
      </c>
      <c r="B93" s="2" t="s">
        <v>1310</v>
      </c>
      <c r="C93" s="2" t="s">
        <v>1311</v>
      </c>
      <c r="D93" s="2" t="s">
        <v>1312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K93" s="2" t="s">
        <v>1313</v>
      </c>
      <c r="L93" s="2" t="s">
        <v>1314</v>
      </c>
      <c r="M93" s="3" t="s">
        <v>918</v>
      </c>
      <c r="O93" s="3" t="s">
        <v>65</v>
      </c>
      <c r="P93" s="3" t="s">
        <v>547</v>
      </c>
      <c r="Q93" s="2" t="s">
        <v>1315</v>
      </c>
      <c r="R93" s="3" t="s">
        <v>67</v>
      </c>
      <c r="S93" s="4">
        <v>2</v>
      </c>
      <c r="T93" s="4">
        <v>2</v>
      </c>
      <c r="U93" s="5" t="s">
        <v>1316</v>
      </c>
      <c r="V93" s="5" t="s">
        <v>1316</v>
      </c>
      <c r="W93" s="5" t="s">
        <v>506</v>
      </c>
      <c r="X93" s="5" t="s">
        <v>506</v>
      </c>
      <c r="Y93" s="4">
        <v>487</v>
      </c>
      <c r="Z93" s="4">
        <v>438</v>
      </c>
      <c r="AA93" s="4">
        <v>446</v>
      </c>
      <c r="AB93" s="4">
        <v>2</v>
      </c>
      <c r="AC93" s="4">
        <v>2</v>
      </c>
      <c r="AD93" s="4">
        <v>14</v>
      </c>
      <c r="AE93" s="4">
        <v>14</v>
      </c>
      <c r="AF93" s="4">
        <v>7</v>
      </c>
      <c r="AG93" s="4">
        <v>7</v>
      </c>
      <c r="AH93" s="4">
        <v>4</v>
      </c>
      <c r="AI93" s="4">
        <v>4</v>
      </c>
      <c r="AJ93" s="4">
        <v>5</v>
      </c>
      <c r="AK93" s="4">
        <v>5</v>
      </c>
      <c r="AL93" s="4">
        <v>1</v>
      </c>
      <c r="AM93" s="4">
        <v>1</v>
      </c>
      <c r="AN93" s="4">
        <v>0</v>
      </c>
      <c r="AO93" s="4">
        <v>0</v>
      </c>
      <c r="AP93" s="3" t="s">
        <v>58</v>
      </c>
      <c r="AQ93" s="3" t="s">
        <v>70</v>
      </c>
      <c r="AR93" s="6" t="str">
        <f>HYPERLINK("http://catalog.hathitrust.org/Record/001468713","HathiTrust Record")</f>
        <v>HathiTrust Record</v>
      </c>
      <c r="AS93" s="6" t="str">
        <f>HYPERLINK("https://creighton-primo.hosted.exlibrisgroup.com/primo-explore/search?tab=default_tab&amp;search_scope=EVERYTHING&amp;vid=01CRU&amp;lang=en_US&amp;offset=0&amp;query=any,contains,991003352189702656","Catalog Record")</f>
        <v>Catalog Record</v>
      </c>
      <c r="AT93" s="6" t="str">
        <f>HYPERLINK("http://www.worldcat.org/oclc/885702","WorldCat Record")</f>
        <v>WorldCat Record</v>
      </c>
      <c r="AU93" s="3" t="s">
        <v>1317</v>
      </c>
      <c r="AV93" s="3" t="s">
        <v>1318</v>
      </c>
      <c r="AW93" s="3" t="s">
        <v>1319</v>
      </c>
      <c r="AX93" s="3" t="s">
        <v>1319</v>
      </c>
      <c r="AY93" s="3" t="s">
        <v>1320</v>
      </c>
      <c r="AZ93" s="3" t="s">
        <v>75</v>
      </c>
      <c r="BC93" s="3" t="s">
        <v>1321</v>
      </c>
      <c r="BD93" s="3" t="s">
        <v>1322</v>
      </c>
    </row>
    <row r="94" spans="1:56" ht="54" customHeight="1" x14ac:dyDescent="0.25">
      <c r="A94" s="7" t="s">
        <v>58</v>
      </c>
      <c r="B94" s="2" t="s">
        <v>1323</v>
      </c>
      <c r="C94" s="2" t="s">
        <v>1324</v>
      </c>
      <c r="D94" s="2" t="s">
        <v>1325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60</v>
      </c>
      <c r="K94" s="2" t="s">
        <v>1326</v>
      </c>
      <c r="L94" s="2" t="s">
        <v>1327</v>
      </c>
      <c r="M94" s="3" t="s">
        <v>1328</v>
      </c>
      <c r="O94" s="3" t="s">
        <v>65</v>
      </c>
      <c r="P94" s="3" t="s">
        <v>66</v>
      </c>
      <c r="R94" s="3" t="s">
        <v>67</v>
      </c>
      <c r="S94" s="4">
        <v>6</v>
      </c>
      <c r="T94" s="4">
        <v>6</v>
      </c>
      <c r="U94" s="5" t="s">
        <v>1329</v>
      </c>
      <c r="V94" s="5" t="s">
        <v>1329</v>
      </c>
      <c r="W94" s="5" t="s">
        <v>477</v>
      </c>
      <c r="X94" s="5" t="s">
        <v>477</v>
      </c>
      <c r="Y94" s="4">
        <v>433</v>
      </c>
      <c r="Z94" s="4">
        <v>397</v>
      </c>
      <c r="AA94" s="4">
        <v>477</v>
      </c>
      <c r="AB94" s="4">
        <v>4</v>
      </c>
      <c r="AC94" s="4">
        <v>4</v>
      </c>
      <c r="AD94" s="4">
        <v>13</v>
      </c>
      <c r="AE94" s="4">
        <v>13</v>
      </c>
      <c r="AF94" s="4">
        <v>4</v>
      </c>
      <c r="AG94" s="4">
        <v>4</v>
      </c>
      <c r="AH94" s="4">
        <v>2</v>
      </c>
      <c r="AI94" s="4">
        <v>2</v>
      </c>
      <c r="AJ94" s="4">
        <v>6</v>
      </c>
      <c r="AK94" s="4">
        <v>6</v>
      </c>
      <c r="AL94" s="4">
        <v>3</v>
      </c>
      <c r="AM94" s="4">
        <v>3</v>
      </c>
      <c r="AN94" s="4">
        <v>0</v>
      </c>
      <c r="AO94" s="4">
        <v>0</v>
      </c>
      <c r="AP94" s="3" t="s">
        <v>58</v>
      </c>
      <c r="AQ94" s="3" t="s">
        <v>58</v>
      </c>
      <c r="AS94" s="6" t="str">
        <f>HYPERLINK("https://creighton-primo.hosted.exlibrisgroup.com/primo-explore/search?tab=default_tab&amp;search_scope=EVERYTHING&amp;vid=01CRU&amp;lang=en_US&amp;offset=0&amp;query=any,contains,991005232909702656","Catalog Record")</f>
        <v>Catalog Record</v>
      </c>
      <c r="AT94" s="6" t="str">
        <f>HYPERLINK("http://www.worldcat.org/oclc/8345992","WorldCat Record")</f>
        <v>WorldCat Record</v>
      </c>
      <c r="AU94" s="3" t="s">
        <v>1330</v>
      </c>
      <c r="AV94" s="3" t="s">
        <v>1331</v>
      </c>
      <c r="AW94" s="3" t="s">
        <v>1332</v>
      </c>
      <c r="AX94" s="3" t="s">
        <v>1332</v>
      </c>
      <c r="AY94" s="3" t="s">
        <v>1333</v>
      </c>
      <c r="AZ94" s="3" t="s">
        <v>75</v>
      </c>
      <c r="BB94" s="3" t="s">
        <v>1334</v>
      </c>
      <c r="BC94" s="3" t="s">
        <v>1335</v>
      </c>
      <c r="BD94" s="3" t="s">
        <v>1336</v>
      </c>
    </row>
    <row r="95" spans="1:56" ht="54" customHeight="1" x14ac:dyDescent="0.25">
      <c r="A95" s="7" t="s">
        <v>58</v>
      </c>
      <c r="B95" s="2" t="s">
        <v>1337</v>
      </c>
      <c r="C95" s="2" t="s">
        <v>1338</v>
      </c>
      <c r="D95" s="2" t="s">
        <v>1339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K95" s="2" t="s">
        <v>1340</v>
      </c>
      <c r="L95" s="2" t="s">
        <v>1341</v>
      </c>
      <c r="M95" s="3" t="s">
        <v>160</v>
      </c>
      <c r="O95" s="3" t="s">
        <v>65</v>
      </c>
      <c r="P95" s="3" t="s">
        <v>1342</v>
      </c>
      <c r="R95" s="3" t="s">
        <v>67</v>
      </c>
      <c r="S95" s="4">
        <v>9</v>
      </c>
      <c r="T95" s="4">
        <v>9</v>
      </c>
      <c r="U95" s="5" t="s">
        <v>1343</v>
      </c>
      <c r="V95" s="5" t="s">
        <v>1343</v>
      </c>
      <c r="W95" s="5" t="s">
        <v>1072</v>
      </c>
      <c r="X95" s="5" t="s">
        <v>1072</v>
      </c>
      <c r="Y95" s="4">
        <v>495</v>
      </c>
      <c r="Z95" s="4">
        <v>467</v>
      </c>
      <c r="AA95" s="4">
        <v>486</v>
      </c>
      <c r="AB95" s="4">
        <v>3</v>
      </c>
      <c r="AC95" s="4">
        <v>3</v>
      </c>
      <c r="AD95" s="4">
        <v>9</v>
      </c>
      <c r="AE95" s="4">
        <v>9</v>
      </c>
      <c r="AF95" s="4">
        <v>2</v>
      </c>
      <c r="AG95" s="4">
        <v>2</v>
      </c>
      <c r="AH95" s="4">
        <v>2</v>
      </c>
      <c r="AI95" s="4">
        <v>2</v>
      </c>
      <c r="AJ95" s="4">
        <v>4</v>
      </c>
      <c r="AK95" s="4">
        <v>4</v>
      </c>
      <c r="AL95" s="4">
        <v>2</v>
      </c>
      <c r="AM95" s="4">
        <v>2</v>
      </c>
      <c r="AN95" s="4">
        <v>0</v>
      </c>
      <c r="AO95" s="4">
        <v>0</v>
      </c>
      <c r="AP95" s="3" t="s">
        <v>58</v>
      </c>
      <c r="AQ95" s="3" t="s">
        <v>70</v>
      </c>
      <c r="AR95" s="6" t="str">
        <f>HYPERLINK("http://catalog.hathitrust.org/Record/001468751","HathiTrust Record")</f>
        <v>HathiTrust Record</v>
      </c>
      <c r="AS95" s="6" t="str">
        <f>HYPERLINK("https://creighton-primo.hosted.exlibrisgroup.com/primo-explore/search?tab=default_tab&amp;search_scope=EVERYTHING&amp;vid=01CRU&amp;lang=en_US&amp;offset=0&amp;query=any,contains,991003089099702656","Catalog Record")</f>
        <v>Catalog Record</v>
      </c>
      <c r="AT95" s="6" t="str">
        <f>HYPERLINK("http://www.worldcat.org/oclc/639736","WorldCat Record")</f>
        <v>WorldCat Record</v>
      </c>
      <c r="AU95" s="3" t="s">
        <v>1344</v>
      </c>
      <c r="AV95" s="3" t="s">
        <v>1345</v>
      </c>
      <c r="AW95" s="3" t="s">
        <v>1346</v>
      </c>
      <c r="AX95" s="3" t="s">
        <v>1346</v>
      </c>
      <c r="AY95" s="3" t="s">
        <v>1347</v>
      </c>
      <c r="AZ95" s="3" t="s">
        <v>75</v>
      </c>
      <c r="BC95" s="3" t="s">
        <v>1348</v>
      </c>
      <c r="BD95" s="3" t="s">
        <v>1349</v>
      </c>
    </row>
    <row r="96" spans="1:56" ht="54" customHeight="1" x14ac:dyDescent="0.25">
      <c r="A96" s="7" t="s">
        <v>58</v>
      </c>
      <c r="B96" s="2" t="s">
        <v>1350</v>
      </c>
      <c r="C96" s="2" t="s">
        <v>1351</v>
      </c>
      <c r="D96" s="2" t="s">
        <v>1352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60</v>
      </c>
      <c r="K96" s="2" t="s">
        <v>1353</v>
      </c>
      <c r="L96" s="2" t="s">
        <v>1354</v>
      </c>
      <c r="M96" s="3" t="s">
        <v>249</v>
      </c>
      <c r="O96" s="3" t="s">
        <v>65</v>
      </c>
      <c r="P96" s="3" t="s">
        <v>66</v>
      </c>
      <c r="R96" s="3" t="s">
        <v>67</v>
      </c>
      <c r="S96" s="4">
        <v>6</v>
      </c>
      <c r="T96" s="4">
        <v>6</v>
      </c>
      <c r="U96" s="5" t="s">
        <v>961</v>
      </c>
      <c r="V96" s="5" t="s">
        <v>961</v>
      </c>
      <c r="W96" s="5" t="s">
        <v>69</v>
      </c>
      <c r="X96" s="5" t="s">
        <v>69</v>
      </c>
      <c r="Y96" s="4">
        <v>633</v>
      </c>
      <c r="Z96" s="4">
        <v>505</v>
      </c>
      <c r="AA96" s="4">
        <v>741</v>
      </c>
      <c r="AB96" s="4">
        <v>4</v>
      </c>
      <c r="AC96" s="4">
        <v>4</v>
      </c>
      <c r="AD96" s="4">
        <v>4</v>
      </c>
      <c r="AE96" s="4">
        <v>6</v>
      </c>
      <c r="AF96" s="4">
        <v>2</v>
      </c>
      <c r="AG96" s="4">
        <v>3</v>
      </c>
      <c r="AH96" s="4">
        <v>0</v>
      </c>
      <c r="AI96" s="4">
        <v>0</v>
      </c>
      <c r="AJ96" s="4">
        <v>0</v>
      </c>
      <c r="AK96" s="4">
        <v>1</v>
      </c>
      <c r="AL96" s="4">
        <v>2</v>
      </c>
      <c r="AM96" s="4">
        <v>2</v>
      </c>
      <c r="AN96" s="4">
        <v>0</v>
      </c>
      <c r="AO96" s="4">
        <v>0</v>
      </c>
      <c r="AP96" s="3" t="s">
        <v>58</v>
      </c>
      <c r="AQ96" s="3" t="s">
        <v>70</v>
      </c>
      <c r="AR96" s="6" t="str">
        <f>HYPERLINK("http://catalog.hathitrust.org/Record/000709150","HathiTrust Record")</f>
        <v>HathiTrust Record</v>
      </c>
      <c r="AS96" s="6" t="str">
        <f>HYPERLINK("https://creighton-primo.hosted.exlibrisgroup.com/primo-explore/search?tab=default_tab&amp;search_scope=EVERYTHING&amp;vid=01CRU&amp;lang=en_US&amp;offset=0&amp;query=any,contains,991004902799702656","Catalog Record")</f>
        <v>Catalog Record</v>
      </c>
      <c r="AT96" s="6" t="str">
        <f>HYPERLINK("http://www.worldcat.org/oclc/5942142","WorldCat Record")</f>
        <v>WorldCat Record</v>
      </c>
      <c r="AU96" s="3" t="s">
        <v>1355</v>
      </c>
      <c r="AV96" s="3" t="s">
        <v>1356</v>
      </c>
      <c r="AW96" s="3" t="s">
        <v>1357</v>
      </c>
      <c r="AX96" s="3" t="s">
        <v>1357</v>
      </c>
      <c r="AY96" s="3" t="s">
        <v>1358</v>
      </c>
      <c r="AZ96" s="3" t="s">
        <v>75</v>
      </c>
      <c r="BB96" s="3" t="s">
        <v>1359</v>
      </c>
      <c r="BC96" s="3" t="s">
        <v>1360</v>
      </c>
      <c r="BD96" s="3" t="s">
        <v>1361</v>
      </c>
    </row>
    <row r="97" spans="1:56" ht="54" customHeight="1" x14ac:dyDescent="0.25">
      <c r="A97" s="7" t="s">
        <v>58</v>
      </c>
      <c r="B97" s="2" t="s">
        <v>1362</v>
      </c>
      <c r="C97" s="2" t="s">
        <v>1363</v>
      </c>
      <c r="D97" s="2" t="s">
        <v>1364</v>
      </c>
      <c r="F97" s="3" t="s">
        <v>58</v>
      </c>
      <c r="G97" s="3" t="s">
        <v>59</v>
      </c>
      <c r="H97" s="3" t="s">
        <v>58</v>
      </c>
      <c r="I97" s="3" t="s">
        <v>58</v>
      </c>
      <c r="J97" s="3" t="s">
        <v>60</v>
      </c>
      <c r="K97" s="2" t="s">
        <v>1365</v>
      </c>
      <c r="L97" s="2" t="s">
        <v>1366</v>
      </c>
      <c r="M97" s="3" t="s">
        <v>1248</v>
      </c>
      <c r="O97" s="3" t="s">
        <v>65</v>
      </c>
      <c r="P97" s="3" t="s">
        <v>266</v>
      </c>
      <c r="R97" s="3" t="s">
        <v>67</v>
      </c>
      <c r="S97" s="4">
        <v>3</v>
      </c>
      <c r="T97" s="4">
        <v>3</v>
      </c>
      <c r="U97" s="5" t="s">
        <v>1367</v>
      </c>
      <c r="V97" s="5" t="s">
        <v>1367</v>
      </c>
      <c r="W97" s="5" t="s">
        <v>1368</v>
      </c>
      <c r="X97" s="5" t="s">
        <v>1368</v>
      </c>
      <c r="Y97" s="4">
        <v>619</v>
      </c>
      <c r="Z97" s="4">
        <v>444</v>
      </c>
      <c r="AA97" s="4">
        <v>444</v>
      </c>
      <c r="AB97" s="4">
        <v>4</v>
      </c>
      <c r="AC97" s="4">
        <v>4</v>
      </c>
      <c r="AD97" s="4">
        <v>23</v>
      </c>
      <c r="AE97" s="4">
        <v>23</v>
      </c>
      <c r="AF97" s="4">
        <v>7</v>
      </c>
      <c r="AG97" s="4">
        <v>7</v>
      </c>
      <c r="AH97" s="4">
        <v>7</v>
      </c>
      <c r="AI97" s="4">
        <v>7</v>
      </c>
      <c r="AJ97" s="4">
        <v>11</v>
      </c>
      <c r="AK97" s="4">
        <v>11</v>
      </c>
      <c r="AL97" s="4">
        <v>3</v>
      </c>
      <c r="AM97" s="4">
        <v>3</v>
      </c>
      <c r="AN97" s="4">
        <v>0</v>
      </c>
      <c r="AO97" s="4">
        <v>0</v>
      </c>
      <c r="AP97" s="3" t="s">
        <v>58</v>
      </c>
      <c r="AQ97" s="3" t="s">
        <v>58</v>
      </c>
      <c r="AS97" s="6" t="str">
        <f>HYPERLINK("https://creighton-primo.hosted.exlibrisgroup.com/primo-explore/search?tab=default_tab&amp;search_scope=EVERYTHING&amp;vid=01CRU&amp;lang=en_US&amp;offset=0&amp;query=any,contains,991002074469702656","Catalog Record")</f>
        <v>Catalog Record</v>
      </c>
      <c r="AT97" s="6" t="str">
        <f>HYPERLINK("http://www.worldcat.org/oclc/26588310","WorldCat Record")</f>
        <v>WorldCat Record</v>
      </c>
      <c r="AU97" s="3" t="s">
        <v>1369</v>
      </c>
      <c r="AV97" s="3" t="s">
        <v>1370</v>
      </c>
      <c r="AW97" s="3" t="s">
        <v>1371</v>
      </c>
      <c r="AX97" s="3" t="s">
        <v>1371</v>
      </c>
      <c r="AY97" s="3" t="s">
        <v>1372</v>
      </c>
      <c r="AZ97" s="3" t="s">
        <v>75</v>
      </c>
      <c r="BB97" s="3" t="s">
        <v>1373</v>
      </c>
      <c r="BC97" s="3" t="s">
        <v>1374</v>
      </c>
      <c r="BD97" s="3" t="s">
        <v>1375</v>
      </c>
    </row>
    <row r="98" spans="1:56" ht="54" customHeight="1" x14ac:dyDescent="0.25">
      <c r="A98" s="7" t="s">
        <v>58</v>
      </c>
      <c r="B98" s="2" t="s">
        <v>1376</v>
      </c>
      <c r="C98" s="2" t="s">
        <v>1377</v>
      </c>
      <c r="D98" s="2" t="s">
        <v>1378</v>
      </c>
      <c r="F98" s="3" t="s">
        <v>58</v>
      </c>
      <c r="G98" s="3" t="s">
        <v>59</v>
      </c>
      <c r="H98" s="3" t="s">
        <v>58</v>
      </c>
      <c r="I98" s="3" t="s">
        <v>58</v>
      </c>
      <c r="J98" s="3" t="s">
        <v>60</v>
      </c>
      <c r="K98" s="2" t="s">
        <v>1379</v>
      </c>
      <c r="L98" s="2" t="s">
        <v>1380</v>
      </c>
      <c r="M98" s="3" t="s">
        <v>83</v>
      </c>
      <c r="N98" s="2" t="s">
        <v>604</v>
      </c>
      <c r="O98" s="3" t="s">
        <v>65</v>
      </c>
      <c r="P98" s="3" t="s">
        <v>66</v>
      </c>
      <c r="R98" s="3" t="s">
        <v>67</v>
      </c>
      <c r="S98" s="4">
        <v>6</v>
      </c>
      <c r="T98" s="4">
        <v>6</v>
      </c>
      <c r="U98" s="5" t="s">
        <v>1381</v>
      </c>
      <c r="V98" s="5" t="s">
        <v>1381</v>
      </c>
      <c r="W98" s="5" t="s">
        <v>360</v>
      </c>
      <c r="X98" s="5" t="s">
        <v>360</v>
      </c>
      <c r="Y98" s="4">
        <v>851</v>
      </c>
      <c r="Z98" s="4">
        <v>750</v>
      </c>
      <c r="AA98" s="4">
        <v>782</v>
      </c>
      <c r="AB98" s="4">
        <v>9</v>
      </c>
      <c r="AC98" s="4">
        <v>9</v>
      </c>
      <c r="AD98" s="4">
        <v>23</v>
      </c>
      <c r="AE98" s="4">
        <v>24</v>
      </c>
      <c r="AF98" s="4">
        <v>7</v>
      </c>
      <c r="AG98" s="4">
        <v>8</v>
      </c>
      <c r="AH98" s="4">
        <v>3</v>
      </c>
      <c r="AI98" s="4">
        <v>4</v>
      </c>
      <c r="AJ98" s="4">
        <v>10</v>
      </c>
      <c r="AK98" s="4">
        <v>10</v>
      </c>
      <c r="AL98" s="4">
        <v>7</v>
      </c>
      <c r="AM98" s="4">
        <v>7</v>
      </c>
      <c r="AN98" s="4">
        <v>0</v>
      </c>
      <c r="AO98" s="4">
        <v>0</v>
      </c>
      <c r="AP98" s="3" t="s">
        <v>58</v>
      </c>
      <c r="AQ98" s="3" t="s">
        <v>70</v>
      </c>
      <c r="AR98" s="6" t="str">
        <f>HYPERLINK("http://catalog.hathitrust.org/Record/001468763","HathiTrust Record")</f>
        <v>HathiTrust Record</v>
      </c>
      <c r="AS98" s="6" t="str">
        <f>HYPERLINK("https://creighton-primo.hosted.exlibrisgroup.com/primo-explore/search?tab=default_tab&amp;search_scope=EVERYTHING&amp;vid=01CRU&amp;lang=en_US&amp;offset=0&amp;query=any,contains,991002895149702656","Catalog Record")</f>
        <v>Catalog Record</v>
      </c>
      <c r="AT98" s="6" t="str">
        <f>HYPERLINK("http://www.worldcat.org/oclc/513757","WorldCat Record")</f>
        <v>WorldCat Record</v>
      </c>
      <c r="AU98" s="3" t="s">
        <v>1382</v>
      </c>
      <c r="AV98" s="3" t="s">
        <v>1383</v>
      </c>
      <c r="AW98" s="3" t="s">
        <v>1384</v>
      </c>
      <c r="AX98" s="3" t="s">
        <v>1384</v>
      </c>
      <c r="AY98" s="3" t="s">
        <v>1385</v>
      </c>
      <c r="AZ98" s="3" t="s">
        <v>75</v>
      </c>
      <c r="BC98" s="3" t="s">
        <v>1386</v>
      </c>
      <c r="BD98" s="3" t="s">
        <v>1387</v>
      </c>
    </row>
    <row r="99" spans="1:56" ht="54" customHeight="1" x14ac:dyDescent="0.25">
      <c r="A99" s="7" t="s">
        <v>58</v>
      </c>
      <c r="B99" s="2" t="s">
        <v>1388</v>
      </c>
      <c r="C99" s="2" t="s">
        <v>1389</v>
      </c>
      <c r="D99" s="2" t="s">
        <v>1390</v>
      </c>
      <c r="F99" s="3" t="s">
        <v>58</v>
      </c>
      <c r="G99" s="3" t="s">
        <v>59</v>
      </c>
      <c r="H99" s="3" t="s">
        <v>58</v>
      </c>
      <c r="I99" s="3" t="s">
        <v>58</v>
      </c>
      <c r="J99" s="3" t="s">
        <v>60</v>
      </c>
      <c r="K99" s="2" t="s">
        <v>1391</v>
      </c>
      <c r="L99" s="2" t="s">
        <v>1392</v>
      </c>
      <c r="M99" s="3" t="s">
        <v>333</v>
      </c>
      <c r="N99" s="2" t="s">
        <v>1393</v>
      </c>
      <c r="O99" s="3" t="s">
        <v>65</v>
      </c>
      <c r="P99" s="3" t="s">
        <v>66</v>
      </c>
      <c r="R99" s="3" t="s">
        <v>67</v>
      </c>
      <c r="S99" s="4">
        <v>1</v>
      </c>
      <c r="T99" s="4">
        <v>1</v>
      </c>
      <c r="U99" s="5" t="s">
        <v>1394</v>
      </c>
      <c r="V99" s="5" t="s">
        <v>1394</v>
      </c>
      <c r="W99" s="5" t="s">
        <v>1395</v>
      </c>
      <c r="X99" s="5" t="s">
        <v>1395</v>
      </c>
      <c r="Y99" s="4">
        <v>115</v>
      </c>
      <c r="Z99" s="4">
        <v>105</v>
      </c>
      <c r="AA99" s="4">
        <v>301</v>
      </c>
      <c r="AB99" s="4">
        <v>1</v>
      </c>
      <c r="AC99" s="4">
        <v>5</v>
      </c>
      <c r="AD99" s="4">
        <v>1</v>
      </c>
      <c r="AE99" s="4">
        <v>10</v>
      </c>
      <c r="AF99" s="4">
        <v>1</v>
      </c>
      <c r="AG99" s="4">
        <v>1</v>
      </c>
      <c r="AH99" s="4">
        <v>0</v>
      </c>
      <c r="AI99" s="4">
        <v>2</v>
      </c>
      <c r="AJ99" s="4">
        <v>0</v>
      </c>
      <c r="AK99" s="4">
        <v>4</v>
      </c>
      <c r="AL99" s="4">
        <v>0</v>
      </c>
      <c r="AM99" s="4">
        <v>4</v>
      </c>
      <c r="AN99" s="4">
        <v>0</v>
      </c>
      <c r="AO99" s="4">
        <v>0</v>
      </c>
      <c r="AP99" s="3" t="s">
        <v>58</v>
      </c>
      <c r="AQ99" s="3" t="s">
        <v>58</v>
      </c>
      <c r="AR99" s="6" t="str">
        <f>HYPERLINK("http://catalog.hathitrust.org/Record/009078798","HathiTrust Record")</f>
        <v>HathiTrust Record</v>
      </c>
      <c r="AS99" s="6" t="str">
        <f>HYPERLINK("https://creighton-primo.hosted.exlibrisgroup.com/primo-explore/search?tab=default_tab&amp;search_scope=EVERYTHING&amp;vid=01CRU&amp;lang=en_US&amp;offset=0&amp;query=any,contains,991003903619702656","Catalog Record")</f>
        <v>Catalog Record</v>
      </c>
      <c r="AT99" s="6" t="str">
        <f>HYPERLINK("http://www.worldcat.org/oclc/1831785","WorldCat Record")</f>
        <v>WorldCat Record</v>
      </c>
      <c r="AU99" s="3" t="s">
        <v>1396</v>
      </c>
      <c r="AV99" s="3" t="s">
        <v>1397</v>
      </c>
      <c r="AW99" s="3" t="s">
        <v>1398</v>
      </c>
      <c r="AX99" s="3" t="s">
        <v>1398</v>
      </c>
      <c r="AY99" s="3" t="s">
        <v>1399</v>
      </c>
      <c r="AZ99" s="3" t="s">
        <v>75</v>
      </c>
      <c r="BC99" s="3" t="s">
        <v>1400</v>
      </c>
      <c r="BD99" s="3" t="s">
        <v>1401</v>
      </c>
    </row>
    <row r="100" spans="1:56" ht="54" customHeight="1" x14ac:dyDescent="0.25">
      <c r="A100" s="7" t="s">
        <v>58</v>
      </c>
      <c r="B100" s="2" t="s">
        <v>1402</v>
      </c>
      <c r="C100" s="2" t="s">
        <v>1403</v>
      </c>
      <c r="D100" s="2" t="s">
        <v>1404</v>
      </c>
      <c r="F100" s="3" t="s">
        <v>58</v>
      </c>
      <c r="G100" s="3" t="s">
        <v>59</v>
      </c>
      <c r="H100" s="3" t="s">
        <v>58</v>
      </c>
      <c r="I100" s="3" t="s">
        <v>70</v>
      </c>
      <c r="J100" s="3" t="s">
        <v>60</v>
      </c>
      <c r="K100" s="2" t="s">
        <v>1405</v>
      </c>
      <c r="L100" s="2" t="s">
        <v>1406</v>
      </c>
      <c r="M100" s="3" t="s">
        <v>1407</v>
      </c>
      <c r="O100" s="3" t="s">
        <v>65</v>
      </c>
      <c r="P100" s="3" t="s">
        <v>1408</v>
      </c>
      <c r="R100" s="3" t="s">
        <v>67</v>
      </c>
      <c r="S100" s="4">
        <v>2</v>
      </c>
      <c r="T100" s="4">
        <v>2</v>
      </c>
      <c r="U100" s="5" t="s">
        <v>738</v>
      </c>
      <c r="V100" s="5" t="s">
        <v>738</v>
      </c>
      <c r="W100" s="5" t="s">
        <v>477</v>
      </c>
      <c r="X100" s="5" t="s">
        <v>477</v>
      </c>
      <c r="Y100" s="4">
        <v>59</v>
      </c>
      <c r="Z100" s="4">
        <v>39</v>
      </c>
      <c r="AA100" s="4">
        <v>403</v>
      </c>
      <c r="AB100" s="4">
        <v>1</v>
      </c>
      <c r="AC100" s="4">
        <v>4</v>
      </c>
      <c r="AD100" s="4">
        <v>0</v>
      </c>
      <c r="AE100" s="4">
        <v>5</v>
      </c>
      <c r="AF100" s="4">
        <v>0</v>
      </c>
      <c r="AG100" s="4">
        <v>1</v>
      </c>
      <c r="AH100" s="4">
        <v>0</v>
      </c>
      <c r="AI100" s="4">
        <v>0</v>
      </c>
      <c r="AJ100" s="4">
        <v>0</v>
      </c>
      <c r="AK100" s="4">
        <v>1</v>
      </c>
      <c r="AL100" s="4">
        <v>0</v>
      </c>
      <c r="AM100" s="4">
        <v>3</v>
      </c>
      <c r="AN100" s="4">
        <v>0</v>
      </c>
      <c r="AO100" s="4">
        <v>0</v>
      </c>
      <c r="AP100" s="3" t="s">
        <v>58</v>
      </c>
      <c r="AQ100" s="3" t="s">
        <v>58</v>
      </c>
      <c r="AS100" s="6" t="str">
        <f>HYPERLINK("https://creighton-primo.hosted.exlibrisgroup.com/primo-explore/search?tab=default_tab&amp;search_scope=EVERYTHING&amp;vid=01CRU&amp;lang=en_US&amp;offset=0&amp;query=any,contains,991004829159702656","Catalog Record")</f>
        <v>Catalog Record</v>
      </c>
      <c r="AT100" s="6" t="str">
        <f>HYPERLINK("http://www.worldcat.org/oclc/5387399","WorldCat Record")</f>
        <v>WorldCat Record</v>
      </c>
      <c r="AU100" s="3" t="s">
        <v>1409</v>
      </c>
      <c r="AV100" s="3" t="s">
        <v>1410</v>
      </c>
      <c r="AW100" s="3" t="s">
        <v>1411</v>
      </c>
      <c r="AX100" s="3" t="s">
        <v>1411</v>
      </c>
      <c r="AY100" s="3" t="s">
        <v>1412</v>
      </c>
      <c r="AZ100" s="3" t="s">
        <v>75</v>
      </c>
      <c r="BB100" s="3" t="s">
        <v>1413</v>
      </c>
      <c r="BC100" s="3" t="s">
        <v>1414</v>
      </c>
      <c r="BD100" s="3" t="s">
        <v>1415</v>
      </c>
    </row>
    <row r="101" spans="1:56" ht="54" customHeight="1" x14ac:dyDescent="0.25">
      <c r="A101" s="7" t="s">
        <v>58</v>
      </c>
      <c r="B101" s="2" t="s">
        <v>1416</v>
      </c>
      <c r="C101" s="2" t="s">
        <v>1417</v>
      </c>
      <c r="D101" s="2" t="s">
        <v>1418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60</v>
      </c>
      <c r="K101" s="2" t="s">
        <v>1419</v>
      </c>
      <c r="L101" s="2" t="s">
        <v>1420</v>
      </c>
      <c r="M101" s="3" t="s">
        <v>918</v>
      </c>
      <c r="O101" s="3" t="s">
        <v>65</v>
      </c>
      <c r="P101" s="3" t="s">
        <v>751</v>
      </c>
      <c r="Q101" s="2" t="s">
        <v>1421</v>
      </c>
      <c r="R101" s="3" t="s">
        <v>67</v>
      </c>
      <c r="S101" s="4">
        <v>1</v>
      </c>
      <c r="T101" s="4">
        <v>1</v>
      </c>
      <c r="U101" s="5" t="s">
        <v>1394</v>
      </c>
      <c r="V101" s="5" t="s">
        <v>1394</v>
      </c>
      <c r="W101" s="5" t="s">
        <v>1395</v>
      </c>
      <c r="X101" s="5" t="s">
        <v>1395</v>
      </c>
      <c r="Y101" s="4">
        <v>1026</v>
      </c>
      <c r="Z101" s="4">
        <v>898</v>
      </c>
      <c r="AA101" s="4">
        <v>912</v>
      </c>
      <c r="AB101" s="4">
        <v>6</v>
      </c>
      <c r="AC101" s="4">
        <v>6</v>
      </c>
      <c r="AD101" s="4">
        <v>35</v>
      </c>
      <c r="AE101" s="4">
        <v>35</v>
      </c>
      <c r="AF101" s="4">
        <v>14</v>
      </c>
      <c r="AG101" s="4">
        <v>14</v>
      </c>
      <c r="AH101" s="4">
        <v>8</v>
      </c>
      <c r="AI101" s="4">
        <v>8</v>
      </c>
      <c r="AJ101" s="4">
        <v>21</v>
      </c>
      <c r="AK101" s="4">
        <v>21</v>
      </c>
      <c r="AL101" s="4">
        <v>4</v>
      </c>
      <c r="AM101" s="4">
        <v>4</v>
      </c>
      <c r="AN101" s="4">
        <v>0</v>
      </c>
      <c r="AO101" s="4">
        <v>0</v>
      </c>
      <c r="AP101" s="3" t="s">
        <v>58</v>
      </c>
      <c r="AQ101" s="3" t="s">
        <v>70</v>
      </c>
      <c r="AR101" s="6" t="str">
        <f>HYPERLINK("http://catalog.hathitrust.org/Record/000006973","HathiTrust Record")</f>
        <v>HathiTrust Record</v>
      </c>
      <c r="AS101" s="6" t="str">
        <f>HYPERLINK("https://creighton-primo.hosted.exlibrisgroup.com/primo-explore/search?tab=default_tab&amp;search_scope=EVERYTHING&amp;vid=01CRU&amp;lang=en_US&amp;offset=0&amp;query=any,contains,991002901299702656","Catalog Record")</f>
        <v>Catalog Record</v>
      </c>
      <c r="AT101" s="6" t="str">
        <f>HYPERLINK("http://www.worldcat.org/oclc/517408","WorldCat Record")</f>
        <v>WorldCat Record</v>
      </c>
      <c r="AU101" s="3" t="s">
        <v>1422</v>
      </c>
      <c r="AV101" s="3" t="s">
        <v>1423</v>
      </c>
      <c r="AW101" s="3" t="s">
        <v>1424</v>
      </c>
      <c r="AX101" s="3" t="s">
        <v>1424</v>
      </c>
      <c r="AY101" s="3" t="s">
        <v>1425</v>
      </c>
      <c r="AZ101" s="3" t="s">
        <v>75</v>
      </c>
      <c r="BC101" s="3" t="s">
        <v>1426</v>
      </c>
      <c r="BD101" s="3" t="s">
        <v>1427</v>
      </c>
    </row>
    <row r="102" spans="1:56" ht="54" customHeight="1" x14ac:dyDescent="0.25">
      <c r="A102" s="7" t="s">
        <v>58</v>
      </c>
      <c r="B102" s="2" t="s">
        <v>1428</v>
      </c>
      <c r="C102" s="2" t="s">
        <v>1429</v>
      </c>
      <c r="D102" s="2" t="s">
        <v>1430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K102" s="2" t="s">
        <v>1431</v>
      </c>
      <c r="L102" s="2" t="s">
        <v>1432</v>
      </c>
      <c r="M102" s="3" t="s">
        <v>918</v>
      </c>
      <c r="O102" s="3" t="s">
        <v>65</v>
      </c>
      <c r="P102" s="3" t="s">
        <v>66</v>
      </c>
      <c r="Q102" s="2" t="s">
        <v>1433</v>
      </c>
      <c r="R102" s="3" t="s">
        <v>67</v>
      </c>
      <c r="S102" s="4">
        <v>2</v>
      </c>
      <c r="T102" s="4">
        <v>2</v>
      </c>
      <c r="U102" s="5" t="s">
        <v>1434</v>
      </c>
      <c r="V102" s="5" t="s">
        <v>1434</v>
      </c>
      <c r="W102" s="5" t="s">
        <v>1395</v>
      </c>
      <c r="X102" s="5" t="s">
        <v>1395</v>
      </c>
      <c r="Y102" s="4">
        <v>712</v>
      </c>
      <c r="Z102" s="4">
        <v>598</v>
      </c>
      <c r="AA102" s="4">
        <v>610</v>
      </c>
      <c r="AB102" s="4">
        <v>6</v>
      </c>
      <c r="AC102" s="4">
        <v>6</v>
      </c>
      <c r="AD102" s="4">
        <v>19</v>
      </c>
      <c r="AE102" s="4">
        <v>19</v>
      </c>
      <c r="AF102" s="4">
        <v>5</v>
      </c>
      <c r="AG102" s="4">
        <v>5</v>
      </c>
      <c r="AH102" s="4">
        <v>5</v>
      </c>
      <c r="AI102" s="4">
        <v>5</v>
      </c>
      <c r="AJ102" s="4">
        <v>8</v>
      </c>
      <c r="AK102" s="4">
        <v>8</v>
      </c>
      <c r="AL102" s="4">
        <v>5</v>
      </c>
      <c r="AM102" s="4">
        <v>5</v>
      </c>
      <c r="AN102" s="4">
        <v>0</v>
      </c>
      <c r="AO102" s="4">
        <v>0</v>
      </c>
      <c r="AP102" s="3" t="s">
        <v>58</v>
      </c>
      <c r="AQ102" s="3" t="s">
        <v>70</v>
      </c>
      <c r="AR102" s="6" t="str">
        <f>HYPERLINK("http://catalog.hathitrust.org/Record/001468776","HathiTrust Record")</f>
        <v>HathiTrust Record</v>
      </c>
      <c r="AS102" s="6" t="str">
        <f>HYPERLINK("https://creighton-primo.hosted.exlibrisgroup.com/primo-explore/search?tab=default_tab&amp;search_scope=EVERYTHING&amp;vid=01CRU&amp;lang=en_US&amp;offset=0&amp;query=any,contains,991002905539702656","Catalog Record")</f>
        <v>Catalog Record</v>
      </c>
      <c r="AT102" s="6" t="str">
        <f>HYPERLINK("http://www.worldcat.org/oclc/519336","WorldCat Record")</f>
        <v>WorldCat Record</v>
      </c>
      <c r="AU102" s="3" t="s">
        <v>1435</v>
      </c>
      <c r="AV102" s="3" t="s">
        <v>1436</v>
      </c>
      <c r="AW102" s="3" t="s">
        <v>1437</v>
      </c>
      <c r="AX102" s="3" t="s">
        <v>1437</v>
      </c>
      <c r="AY102" s="3" t="s">
        <v>1438</v>
      </c>
      <c r="AZ102" s="3" t="s">
        <v>75</v>
      </c>
      <c r="BC102" s="3" t="s">
        <v>1439</v>
      </c>
      <c r="BD102" s="3" t="s">
        <v>1440</v>
      </c>
    </row>
    <row r="103" spans="1:56" ht="54" customHeight="1" x14ac:dyDescent="0.25">
      <c r="A103" s="7" t="s">
        <v>58</v>
      </c>
      <c r="B103" s="2" t="s">
        <v>1441</v>
      </c>
      <c r="C103" s="2" t="s">
        <v>1442</v>
      </c>
      <c r="D103" s="2" t="s">
        <v>1443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K103" s="2" t="s">
        <v>1444</v>
      </c>
      <c r="M103" s="3" t="s">
        <v>372</v>
      </c>
      <c r="O103" s="3" t="s">
        <v>65</v>
      </c>
      <c r="P103" s="3" t="s">
        <v>251</v>
      </c>
      <c r="R103" s="3" t="s">
        <v>67</v>
      </c>
      <c r="S103" s="4">
        <v>8</v>
      </c>
      <c r="T103" s="4">
        <v>8</v>
      </c>
      <c r="U103" s="5" t="s">
        <v>738</v>
      </c>
      <c r="V103" s="5" t="s">
        <v>738</v>
      </c>
      <c r="W103" s="5" t="s">
        <v>1395</v>
      </c>
      <c r="X103" s="5" t="s">
        <v>1395</v>
      </c>
      <c r="Y103" s="4">
        <v>372</v>
      </c>
      <c r="Z103" s="4">
        <v>331</v>
      </c>
      <c r="AA103" s="4">
        <v>482</v>
      </c>
      <c r="AB103" s="4">
        <v>5</v>
      </c>
      <c r="AC103" s="4">
        <v>7</v>
      </c>
      <c r="AD103" s="4">
        <v>3</v>
      </c>
      <c r="AE103" s="4">
        <v>4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1</v>
      </c>
      <c r="AL103" s="4">
        <v>3</v>
      </c>
      <c r="AM103" s="4">
        <v>3</v>
      </c>
      <c r="AN103" s="4">
        <v>0</v>
      </c>
      <c r="AO103" s="4">
        <v>0</v>
      </c>
      <c r="AP103" s="3" t="s">
        <v>58</v>
      </c>
      <c r="AQ103" s="3" t="s">
        <v>70</v>
      </c>
      <c r="AR103" s="6" t="str">
        <f>HYPERLINK("http://catalog.hathitrust.org/Record/000004276","HathiTrust Record")</f>
        <v>HathiTrust Record</v>
      </c>
      <c r="AS103" s="6" t="str">
        <f>HYPERLINK("https://creighton-primo.hosted.exlibrisgroup.com/primo-explore/search?tab=default_tab&amp;search_scope=EVERYTHING&amp;vid=01CRU&amp;lang=en_US&amp;offset=0&amp;query=any,contains,991002250239702656","Catalog Record")</f>
        <v>Catalog Record</v>
      </c>
      <c r="AT103" s="6" t="str">
        <f>HYPERLINK("http://www.worldcat.org/oclc/298629","WorldCat Record")</f>
        <v>WorldCat Record</v>
      </c>
      <c r="AU103" s="3" t="s">
        <v>1445</v>
      </c>
      <c r="AV103" s="3" t="s">
        <v>1446</v>
      </c>
      <c r="AW103" s="3" t="s">
        <v>1447</v>
      </c>
      <c r="AX103" s="3" t="s">
        <v>1447</v>
      </c>
      <c r="AY103" s="3" t="s">
        <v>1448</v>
      </c>
      <c r="AZ103" s="3" t="s">
        <v>75</v>
      </c>
      <c r="BB103" s="3" t="s">
        <v>1449</v>
      </c>
      <c r="BC103" s="3" t="s">
        <v>1450</v>
      </c>
      <c r="BD103" s="3" t="s">
        <v>1451</v>
      </c>
    </row>
    <row r="104" spans="1:56" ht="54" customHeight="1" x14ac:dyDescent="0.25">
      <c r="A104" s="7" t="s">
        <v>58</v>
      </c>
      <c r="B104" s="2" t="s">
        <v>1452</v>
      </c>
      <c r="C104" s="2" t="s">
        <v>1453</v>
      </c>
      <c r="D104" s="2" t="s">
        <v>1454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60</v>
      </c>
      <c r="K104" s="2" t="s">
        <v>1455</v>
      </c>
      <c r="L104" s="2" t="s">
        <v>1456</v>
      </c>
      <c r="M104" s="3" t="s">
        <v>1123</v>
      </c>
      <c r="O104" s="3" t="s">
        <v>65</v>
      </c>
      <c r="P104" s="3" t="s">
        <v>66</v>
      </c>
      <c r="Q104" s="2" t="s">
        <v>1457</v>
      </c>
      <c r="R104" s="3" t="s">
        <v>67</v>
      </c>
      <c r="S104" s="4">
        <v>5</v>
      </c>
      <c r="T104" s="4">
        <v>5</v>
      </c>
      <c r="U104" s="5" t="s">
        <v>1458</v>
      </c>
      <c r="V104" s="5" t="s">
        <v>1458</v>
      </c>
      <c r="W104" s="5" t="s">
        <v>1459</v>
      </c>
      <c r="X104" s="5" t="s">
        <v>1459</v>
      </c>
      <c r="Y104" s="4">
        <v>293</v>
      </c>
      <c r="Z104" s="4">
        <v>268</v>
      </c>
      <c r="AA104" s="4">
        <v>271</v>
      </c>
      <c r="AB104" s="4">
        <v>2</v>
      </c>
      <c r="AC104" s="4">
        <v>2</v>
      </c>
      <c r="AD104" s="4">
        <v>3</v>
      </c>
      <c r="AE104" s="4">
        <v>3</v>
      </c>
      <c r="AF104" s="4">
        <v>2</v>
      </c>
      <c r="AG104" s="4">
        <v>2</v>
      </c>
      <c r="AH104" s="4">
        <v>0</v>
      </c>
      <c r="AI104" s="4">
        <v>0</v>
      </c>
      <c r="AJ104" s="4">
        <v>1</v>
      </c>
      <c r="AK104" s="4">
        <v>1</v>
      </c>
      <c r="AL104" s="4">
        <v>1</v>
      </c>
      <c r="AM104" s="4">
        <v>1</v>
      </c>
      <c r="AN104" s="4">
        <v>0</v>
      </c>
      <c r="AO104" s="4">
        <v>0</v>
      </c>
      <c r="AP104" s="3" t="s">
        <v>58</v>
      </c>
      <c r="AQ104" s="3" t="s">
        <v>70</v>
      </c>
      <c r="AR104" s="6" t="str">
        <f>HYPERLINK("http://catalog.hathitrust.org/Record/007551079","HathiTrust Record")</f>
        <v>HathiTrust Record</v>
      </c>
      <c r="AS104" s="6" t="str">
        <f>HYPERLINK("https://creighton-primo.hosted.exlibrisgroup.com/primo-explore/search?tab=default_tab&amp;search_scope=EVERYTHING&amp;vid=01CRU&amp;lang=en_US&amp;offset=0&amp;query=any,contains,991000454779702656","Catalog Record")</f>
        <v>Catalog Record</v>
      </c>
      <c r="AT104" s="6" t="str">
        <f>HYPERLINK("http://www.worldcat.org/oclc/10913524","WorldCat Record")</f>
        <v>WorldCat Record</v>
      </c>
      <c r="AU104" s="3" t="s">
        <v>1460</v>
      </c>
      <c r="AV104" s="3" t="s">
        <v>1461</v>
      </c>
      <c r="AW104" s="3" t="s">
        <v>1462</v>
      </c>
      <c r="AX104" s="3" t="s">
        <v>1462</v>
      </c>
      <c r="AY104" s="3" t="s">
        <v>1463</v>
      </c>
      <c r="AZ104" s="3" t="s">
        <v>75</v>
      </c>
      <c r="BB104" s="3" t="s">
        <v>1464</v>
      </c>
      <c r="BC104" s="3" t="s">
        <v>1465</v>
      </c>
      <c r="BD104" s="3" t="s">
        <v>1466</v>
      </c>
    </row>
    <row r="105" spans="1:56" ht="54" customHeight="1" x14ac:dyDescent="0.25">
      <c r="A105" s="7" t="s">
        <v>58</v>
      </c>
      <c r="B105" s="2" t="s">
        <v>1467</v>
      </c>
      <c r="C105" s="2" t="s">
        <v>1468</v>
      </c>
      <c r="D105" s="2" t="s">
        <v>1469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60</v>
      </c>
      <c r="K105" s="2" t="s">
        <v>1470</v>
      </c>
      <c r="L105" s="2" t="s">
        <v>1471</v>
      </c>
      <c r="M105" s="3" t="s">
        <v>1472</v>
      </c>
      <c r="O105" s="3" t="s">
        <v>65</v>
      </c>
      <c r="P105" s="3" t="s">
        <v>146</v>
      </c>
      <c r="R105" s="3" t="s">
        <v>67</v>
      </c>
      <c r="S105" s="4">
        <v>5</v>
      </c>
      <c r="T105" s="4">
        <v>5</v>
      </c>
      <c r="U105" s="5" t="s">
        <v>1473</v>
      </c>
      <c r="V105" s="5" t="s">
        <v>1473</v>
      </c>
      <c r="W105" s="5" t="s">
        <v>477</v>
      </c>
      <c r="X105" s="5" t="s">
        <v>477</v>
      </c>
      <c r="Y105" s="4">
        <v>200</v>
      </c>
      <c r="Z105" s="4">
        <v>197</v>
      </c>
      <c r="AA105" s="4">
        <v>381</v>
      </c>
      <c r="AB105" s="4">
        <v>1</v>
      </c>
      <c r="AC105" s="4">
        <v>2</v>
      </c>
      <c r="AD105" s="4">
        <v>0</v>
      </c>
      <c r="AE105" s="4">
        <v>2</v>
      </c>
      <c r="AF105" s="4">
        <v>0</v>
      </c>
      <c r="AG105" s="4">
        <v>2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3" t="s">
        <v>58</v>
      </c>
      <c r="AQ105" s="3" t="s">
        <v>58</v>
      </c>
      <c r="AS105" s="6" t="str">
        <f>HYPERLINK("https://creighton-primo.hosted.exlibrisgroup.com/primo-explore/search?tab=default_tab&amp;search_scope=EVERYTHING&amp;vid=01CRU&amp;lang=en_US&amp;offset=0&amp;query=any,contains,991004485899702656","Catalog Record")</f>
        <v>Catalog Record</v>
      </c>
      <c r="AT105" s="6" t="str">
        <f>HYPERLINK("http://www.worldcat.org/oclc/3644492","WorldCat Record")</f>
        <v>WorldCat Record</v>
      </c>
      <c r="AU105" s="3" t="s">
        <v>1474</v>
      </c>
      <c r="AV105" s="3" t="s">
        <v>1475</v>
      </c>
      <c r="AW105" s="3" t="s">
        <v>1476</v>
      </c>
      <c r="AX105" s="3" t="s">
        <v>1476</v>
      </c>
      <c r="AY105" s="3" t="s">
        <v>1477</v>
      </c>
      <c r="AZ105" s="3" t="s">
        <v>75</v>
      </c>
      <c r="BC105" s="3" t="s">
        <v>1478</v>
      </c>
      <c r="BD105" s="3" t="s">
        <v>1479</v>
      </c>
    </row>
    <row r="106" spans="1:56" ht="54" customHeight="1" x14ac:dyDescent="0.25">
      <c r="A106" s="7" t="s">
        <v>58</v>
      </c>
      <c r="B106" s="2" t="s">
        <v>1480</v>
      </c>
      <c r="C106" s="2" t="s">
        <v>1481</v>
      </c>
      <c r="D106" s="2" t="s">
        <v>1482</v>
      </c>
      <c r="F106" s="3" t="s">
        <v>58</v>
      </c>
      <c r="G106" s="3" t="s">
        <v>59</v>
      </c>
      <c r="H106" s="3" t="s">
        <v>58</v>
      </c>
      <c r="I106" s="3" t="s">
        <v>58</v>
      </c>
      <c r="J106" s="3" t="s">
        <v>60</v>
      </c>
      <c r="K106" s="2" t="s">
        <v>1483</v>
      </c>
      <c r="L106" s="2" t="s">
        <v>1484</v>
      </c>
      <c r="M106" s="3" t="s">
        <v>1328</v>
      </c>
      <c r="O106" s="3" t="s">
        <v>65</v>
      </c>
      <c r="P106" s="3" t="s">
        <v>146</v>
      </c>
      <c r="R106" s="3" t="s">
        <v>67</v>
      </c>
      <c r="S106" s="4">
        <v>4</v>
      </c>
      <c r="T106" s="4">
        <v>4</v>
      </c>
      <c r="U106" s="5" t="s">
        <v>1485</v>
      </c>
      <c r="V106" s="5" t="s">
        <v>1485</v>
      </c>
      <c r="W106" s="5" t="s">
        <v>687</v>
      </c>
      <c r="X106" s="5" t="s">
        <v>687</v>
      </c>
      <c r="Y106" s="4">
        <v>21</v>
      </c>
      <c r="Z106" s="4">
        <v>21</v>
      </c>
      <c r="AA106" s="4">
        <v>661</v>
      </c>
      <c r="AB106" s="4">
        <v>2</v>
      </c>
      <c r="AC106" s="4">
        <v>6</v>
      </c>
      <c r="AD106" s="4">
        <v>2</v>
      </c>
      <c r="AE106" s="4">
        <v>7</v>
      </c>
      <c r="AF106" s="4">
        <v>1</v>
      </c>
      <c r="AG106" s="4">
        <v>2</v>
      </c>
      <c r="AH106" s="4">
        <v>0</v>
      </c>
      <c r="AI106" s="4">
        <v>2</v>
      </c>
      <c r="AJ106" s="4">
        <v>1</v>
      </c>
      <c r="AK106" s="4">
        <v>3</v>
      </c>
      <c r="AL106" s="4">
        <v>1</v>
      </c>
      <c r="AM106" s="4">
        <v>2</v>
      </c>
      <c r="AN106" s="4">
        <v>0</v>
      </c>
      <c r="AO106" s="4">
        <v>0</v>
      </c>
      <c r="AP106" s="3" t="s">
        <v>58</v>
      </c>
      <c r="AQ106" s="3" t="s">
        <v>58</v>
      </c>
      <c r="AS106" s="6" t="str">
        <f>HYPERLINK("https://creighton-primo.hosted.exlibrisgroup.com/primo-explore/search?tab=default_tab&amp;search_scope=EVERYTHING&amp;vid=01CRU&amp;lang=en_US&amp;offset=0&amp;query=any,contains,991005218109702656","Catalog Record")</f>
        <v>Catalog Record</v>
      </c>
      <c r="AT106" s="6" t="str">
        <f>HYPERLINK("http://www.worldcat.org/oclc/8201759","WorldCat Record")</f>
        <v>WorldCat Record</v>
      </c>
      <c r="AU106" s="3" t="s">
        <v>1486</v>
      </c>
      <c r="AV106" s="3" t="s">
        <v>1487</v>
      </c>
      <c r="AW106" s="3" t="s">
        <v>1488</v>
      </c>
      <c r="AX106" s="3" t="s">
        <v>1488</v>
      </c>
      <c r="AY106" s="3" t="s">
        <v>1489</v>
      </c>
      <c r="AZ106" s="3" t="s">
        <v>75</v>
      </c>
      <c r="BB106" s="3" t="s">
        <v>1490</v>
      </c>
      <c r="BC106" s="3" t="s">
        <v>1491</v>
      </c>
      <c r="BD106" s="3" t="s">
        <v>1492</v>
      </c>
    </row>
    <row r="107" spans="1:56" ht="54" customHeight="1" x14ac:dyDescent="0.25">
      <c r="A107" s="7" t="s">
        <v>58</v>
      </c>
      <c r="B107" s="2" t="s">
        <v>1493</v>
      </c>
      <c r="C107" s="2" t="s">
        <v>1494</v>
      </c>
      <c r="D107" s="2" t="s">
        <v>1495</v>
      </c>
      <c r="F107" s="3" t="s">
        <v>58</v>
      </c>
      <c r="G107" s="3" t="s">
        <v>59</v>
      </c>
      <c r="H107" s="3" t="s">
        <v>58</v>
      </c>
      <c r="I107" s="3" t="s">
        <v>58</v>
      </c>
      <c r="J107" s="3" t="s">
        <v>60</v>
      </c>
      <c r="K107" s="2" t="s">
        <v>1496</v>
      </c>
      <c r="L107" s="2" t="s">
        <v>1497</v>
      </c>
      <c r="M107" s="3" t="s">
        <v>160</v>
      </c>
      <c r="O107" s="3" t="s">
        <v>65</v>
      </c>
      <c r="P107" s="3" t="s">
        <v>66</v>
      </c>
      <c r="R107" s="3" t="s">
        <v>67</v>
      </c>
      <c r="S107" s="4">
        <v>2</v>
      </c>
      <c r="T107" s="4">
        <v>2</v>
      </c>
      <c r="U107" s="5" t="s">
        <v>1498</v>
      </c>
      <c r="V107" s="5" t="s">
        <v>1498</v>
      </c>
      <c r="W107" s="5" t="s">
        <v>1499</v>
      </c>
      <c r="X107" s="5" t="s">
        <v>1499</v>
      </c>
      <c r="Y107" s="4">
        <v>432</v>
      </c>
      <c r="Z107" s="4">
        <v>388</v>
      </c>
      <c r="AA107" s="4">
        <v>784</v>
      </c>
      <c r="AB107" s="4">
        <v>3</v>
      </c>
      <c r="AC107" s="4">
        <v>9</v>
      </c>
      <c r="AD107" s="4">
        <v>13</v>
      </c>
      <c r="AE107" s="4">
        <v>27</v>
      </c>
      <c r="AF107" s="4">
        <v>5</v>
      </c>
      <c r="AG107" s="4">
        <v>9</v>
      </c>
      <c r="AH107" s="4">
        <v>2</v>
      </c>
      <c r="AI107" s="4">
        <v>4</v>
      </c>
      <c r="AJ107" s="4">
        <v>5</v>
      </c>
      <c r="AK107" s="4">
        <v>8</v>
      </c>
      <c r="AL107" s="4">
        <v>2</v>
      </c>
      <c r="AM107" s="4">
        <v>7</v>
      </c>
      <c r="AN107" s="4">
        <v>0</v>
      </c>
      <c r="AO107" s="4">
        <v>0</v>
      </c>
      <c r="AP107" s="3" t="s">
        <v>58</v>
      </c>
      <c r="AQ107" s="3" t="s">
        <v>58</v>
      </c>
      <c r="AS107" s="6" t="str">
        <f>HYPERLINK("https://creighton-primo.hosted.exlibrisgroup.com/primo-explore/search?tab=default_tab&amp;search_scope=EVERYTHING&amp;vid=01CRU&amp;lang=en_US&amp;offset=0&amp;query=any,contains,991003030929702656","Catalog Record")</f>
        <v>Catalog Record</v>
      </c>
      <c r="AT107" s="6" t="str">
        <f>HYPERLINK("http://www.worldcat.org/oclc/594296","WorldCat Record")</f>
        <v>WorldCat Record</v>
      </c>
      <c r="AU107" s="3" t="s">
        <v>1500</v>
      </c>
      <c r="AV107" s="3" t="s">
        <v>1501</v>
      </c>
      <c r="AW107" s="3" t="s">
        <v>1502</v>
      </c>
      <c r="AX107" s="3" t="s">
        <v>1502</v>
      </c>
      <c r="AY107" s="3" t="s">
        <v>1503</v>
      </c>
      <c r="AZ107" s="3" t="s">
        <v>75</v>
      </c>
      <c r="BB107" s="3" t="s">
        <v>1504</v>
      </c>
      <c r="BC107" s="3" t="s">
        <v>1505</v>
      </c>
      <c r="BD107" s="3" t="s">
        <v>1506</v>
      </c>
    </row>
    <row r="108" spans="1:56" ht="54" customHeight="1" x14ac:dyDescent="0.25">
      <c r="A108" s="7" t="s">
        <v>58</v>
      </c>
      <c r="B108" s="2" t="s">
        <v>1507</v>
      </c>
      <c r="C108" s="2" t="s">
        <v>1508</v>
      </c>
      <c r="D108" s="2" t="s">
        <v>1509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60</v>
      </c>
      <c r="K108" s="2" t="s">
        <v>1510</v>
      </c>
      <c r="L108" s="2" t="s">
        <v>1511</v>
      </c>
      <c r="M108" s="3" t="s">
        <v>415</v>
      </c>
      <c r="O108" s="3" t="s">
        <v>65</v>
      </c>
      <c r="P108" s="3" t="s">
        <v>66</v>
      </c>
      <c r="R108" s="3" t="s">
        <v>67</v>
      </c>
      <c r="S108" s="4">
        <v>5</v>
      </c>
      <c r="T108" s="4">
        <v>5</v>
      </c>
      <c r="U108" s="5" t="s">
        <v>1512</v>
      </c>
      <c r="V108" s="5" t="s">
        <v>1512</v>
      </c>
      <c r="W108" s="5" t="s">
        <v>477</v>
      </c>
      <c r="X108" s="5" t="s">
        <v>477</v>
      </c>
      <c r="Y108" s="4">
        <v>226</v>
      </c>
      <c r="Z108" s="4">
        <v>220</v>
      </c>
      <c r="AA108" s="4">
        <v>519</v>
      </c>
      <c r="AB108" s="4">
        <v>3</v>
      </c>
      <c r="AC108" s="4">
        <v>5</v>
      </c>
      <c r="AD108" s="4">
        <v>2</v>
      </c>
      <c r="AE108" s="4">
        <v>5</v>
      </c>
      <c r="AF108" s="4">
        <v>1</v>
      </c>
      <c r="AG108" s="4">
        <v>1</v>
      </c>
      <c r="AH108" s="4">
        <v>0</v>
      </c>
      <c r="AI108" s="4">
        <v>1</v>
      </c>
      <c r="AJ108" s="4">
        <v>1</v>
      </c>
      <c r="AK108" s="4">
        <v>2</v>
      </c>
      <c r="AL108" s="4">
        <v>0</v>
      </c>
      <c r="AM108" s="4">
        <v>1</v>
      </c>
      <c r="AN108" s="4">
        <v>0</v>
      </c>
      <c r="AO108" s="4">
        <v>0</v>
      </c>
      <c r="AP108" s="3" t="s">
        <v>58</v>
      </c>
      <c r="AQ108" s="3" t="s">
        <v>58</v>
      </c>
      <c r="AS108" s="6" t="str">
        <f>HYPERLINK("https://creighton-primo.hosted.exlibrisgroup.com/primo-explore/search?tab=default_tab&amp;search_scope=EVERYTHING&amp;vid=01CRU&amp;lang=en_US&amp;offset=0&amp;query=any,contains,991003667759702656","Catalog Record")</f>
        <v>Catalog Record</v>
      </c>
      <c r="AT108" s="6" t="str">
        <f>HYPERLINK("http://www.worldcat.org/oclc/1282992","WorldCat Record")</f>
        <v>WorldCat Record</v>
      </c>
      <c r="AU108" s="3" t="s">
        <v>1513</v>
      </c>
      <c r="AV108" s="3" t="s">
        <v>1514</v>
      </c>
      <c r="AW108" s="3" t="s">
        <v>1515</v>
      </c>
      <c r="AX108" s="3" t="s">
        <v>1515</v>
      </c>
      <c r="AY108" s="3" t="s">
        <v>1516</v>
      </c>
      <c r="AZ108" s="3" t="s">
        <v>75</v>
      </c>
      <c r="BC108" s="3" t="s">
        <v>1517</v>
      </c>
      <c r="BD108" s="3" t="s">
        <v>1518</v>
      </c>
    </row>
    <row r="109" spans="1:56" ht="54" customHeight="1" x14ac:dyDescent="0.25">
      <c r="A109" s="7" t="s">
        <v>58</v>
      </c>
      <c r="B109" s="2" t="s">
        <v>1519</v>
      </c>
      <c r="C109" s="2" t="s">
        <v>1520</v>
      </c>
      <c r="D109" s="2" t="s">
        <v>1521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60</v>
      </c>
      <c r="K109" s="2" t="s">
        <v>1522</v>
      </c>
      <c r="L109" s="2" t="s">
        <v>1523</v>
      </c>
      <c r="M109" s="3" t="s">
        <v>118</v>
      </c>
      <c r="O109" s="3" t="s">
        <v>65</v>
      </c>
      <c r="P109" s="3" t="s">
        <v>66</v>
      </c>
      <c r="Q109" s="2" t="s">
        <v>1524</v>
      </c>
      <c r="R109" s="3" t="s">
        <v>67</v>
      </c>
      <c r="S109" s="4">
        <v>2</v>
      </c>
      <c r="T109" s="4">
        <v>2</v>
      </c>
      <c r="U109" s="5" t="s">
        <v>1525</v>
      </c>
      <c r="V109" s="5" t="s">
        <v>1525</v>
      </c>
      <c r="W109" s="5" t="s">
        <v>1526</v>
      </c>
      <c r="X109" s="5" t="s">
        <v>1526</v>
      </c>
      <c r="Y109" s="4">
        <v>331</v>
      </c>
      <c r="Z109" s="4">
        <v>318</v>
      </c>
      <c r="AA109" s="4">
        <v>677</v>
      </c>
      <c r="AB109" s="4">
        <v>5</v>
      </c>
      <c r="AC109" s="4">
        <v>11</v>
      </c>
      <c r="AD109" s="4">
        <v>9</v>
      </c>
      <c r="AE109" s="4">
        <v>15</v>
      </c>
      <c r="AF109" s="4">
        <v>3</v>
      </c>
      <c r="AG109" s="4">
        <v>4</v>
      </c>
      <c r="AH109" s="4">
        <v>1</v>
      </c>
      <c r="AI109" s="4">
        <v>1</v>
      </c>
      <c r="AJ109" s="4">
        <v>5</v>
      </c>
      <c r="AK109" s="4">
        <v>8</v>
      </c>
      <c r="AL109" s="4">
        <v>4</v>
      </c>
      <c r="AM109" s="4">
        <v>7</v>
      </c>
      <c r="AN109" s="4">
        <v>0</v>
      </c>
      <c r="AO109" s="4">
        <v>0</v>
      </c>
      <c r="AP109" s="3" t="s">
        <v>58</v>
      </c>
      <c r="AQ109" s="3" t="s">
        <v>58</v>
      </c>
      <c r="AS109" s="6" t="str">
        <f>HYPERLINK("https://creighton-primo.hosted.exlibrisgroup.com/primo-explore/search?tab=default_tab&amp;search_scope=EVERYTHING&amp;vid=01CRU&amp;lang=en_US&amp;offset=0&amp;query=any,contains,991004581559702656","Catalog Record")</f>
        <v>Catalog Record</v>
      </c>
      <c r="AT109" s="6" t="str">
        <f>HYPERLINK("http://www.worldcat.org/oclc/4061774","WorldCat Record")</f>
        <v>WorldCat Record</v>
      </c>
      <c r="AU109" s="3" t="s">
        <v>1527</v>
      </c>
      <c r="AV109" s="3" t="s">
        <v>1528</v>
      </c>
      <c r="AW109" s="3" t="s">
        <v>1529</v>
      </c>
      <c r="AX109" s="3" t="s">
        <v>1529</v>
      </c>
      <c r="AY109" s="3" t="s">
        <v>1530</v>
      </c>
      <c r="AZ109" s="3" t="s">
        <v>75</v>
      </c>
      <c r="BC109" s="3" t="s">
        <v>1531</v>
      </c>
      <c r="BD109" s="3" t="s">
        <v>1532</v>
      </c>
    </row>
    <row r="110" spans="1:56" ht="54" customHeight="1" x14ac:dyDescent="0.25">
      <c r="A110" s="7" t="s">
        <v>58</v>
      </c>
      <c r="B110" s="2" t="s">
        <v>1533</v>
      </c>
      <c r="C110" s="2" t="s">
        <v>1534</v>
      </c>
      <c r="D110" s="2" t="s">
        <v>1535</v>
      </c>
      <c r="F110" s="3" t="s">
        <v>58</v>
      </c>
      <c r="G110" s="3" t="s">
        <v>59</v>
      </c>
      <c r="H110" s="3" t="s">
        <v>58</v>
      </c>
      <c r="I110" s="3" t="s">
        <v>58</v>
      </c>
      <c r="J110" s="3" t="s">
        <v>60</v>
      </c>
      <c r="K110" s="2" t="s">
        <v>1536</v>
      </c>
      <c r="L110" s="2" t="s">
        <v>1537</v>
      </c>
      <c r="M110" s="3" t="s">
        <v>750</v>
      </c>
      <c r="O110" s="3" t="s">
        <v>65</v>
      </c>
      <c r="P110" s="3" t="s">
        <v>281</v>
      </c>
      <c r="R110" s="3" t="s">
        <v>67</v>
      </c>
      <c r="S110" s="4">
        <v>15</v>
      </c>
      <c r="T110" s="4">
        <v>15</v>
      </c>
      <c r="U110" s="5" t="s">
        <v>1538</v>
      </c>
      <c r="V110" s="5" t="s">
        <v>1538</v>
      </c>
      <c r="W110" s="5" t="s">
        <v>477</v>
      </c>
      <c r="X110" s="5" t="s">
        <v>477</v>
      </c>
      <c r="Y110" s="4">
        <v>425</v>
      </c>
      <c r="Z110" s="4">
        <v>364</v>
      </c>
      <c r="AA110" s="4">
        <v>432</v>
      </c>
      <c r="AB110" s="4">
        <v>5</v>
      </c>
      <c r="AC110" s="4">
        <v>6</v>
      </c>
      <c r="AD110" s="4">
        <v>10</v>
      </c>
      <c r="AE110" s="4">
        <v>12</v>
      </c>
      <c r="AF110" s="4">
        <v>3</v>
      </c>
      <c r="AG110" s="4">
        <v>4</v>
      </c>
      <c r="AH110" s="4">
        <v>3</v>
      </c>
      <c r="AI110" s="4">
        <v>3</v>
      </c>
      <c r="AJ110" s="4">
        <v>2</v>
      </c>
      <c r="AK110" s="4">
        <v>4</v>
      </c>
      <c r="AL110" s="4">
        <v>4</v>
      </c>
      <c r="AM110" s="4">
        <v>4</v>
      </c>
      <c r="AN110" s="4">
        <v>0</v>
      </c>
      <c r="AO110" s="4">
        <v>0</v>
      </c>
      <c r="AP110" s="3" t="s">
        <v>58</v>
      </c>
      <c r="AQ110" s="3" t="s">
        <v>58</v>
      </c>
      <c r="AS110" s="6" t="str">
        <f>HYPERLINK("https://creighton-primo.hosted.exlibrisgroup.com/primo-explore/search?tab=default_tab&amp;search_scope=EVERYTHING&amp;vid=01CRU&amp;lang=en_US&amp;offset=0&amp;query=any,contains,991000655499702656","Catalog Record")</f>
        <v>Catalog Record</v>
      </c>
      <c r="AT110" s="6" t="str">
        <f>HYPERLINK("http://www.worldcat.org/oclc/115082","WorldCat Record")</f>
        <v>WorldCat Record</v>
      </c>
      <c r="AU110" s="3" t="s">
        <v>1539</v>
      </c>
      <c r="AV110" s="3" t="s">
        <v>1540</v>
      </c>
      <c r="AW110" s="3" t="s">
        <v>1541</v>
      </c>
      <c r="AX110" s="3" t="s">
        <v>1541</v>
      </c>
      <c r="AY110" s="3" t="s">
        <v>1542</v>
      </c>
      <c r="AZ110" s="3" t="s">
        <v>75</v>
      </c>
      <c r="BB110" s="3" t="s">
        <v>1543</v>
      </c>
      <c r="BC110" s="3" t="s">
        <v>1544</v>
      </c>
      <c r="BD110" s="3" t="s">
        <v>1545</v>
      </c>
    </row>
    <row r="111" spans="1:56" ht="54" customHeight="1" x14ac:dyDescent="0.25">
      <c r="A111" s="7" t="s">
        <v>58</v>
      </c>
      <c r="B111" s="2" t="s">
        <v>1546</v>
      </c>
      <c r="C111" s="2" t="s">
        <v>1547</v>
      </c>
      <c r="D111" s="2" t="s">
        <v>1548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K111" s="2" t="s">
        <v>1549</v>
      </c>
      <c r="L111" s="2" t="s">
        <v>1550</v>
      </c>
      <c r="M111" s="3" t="s">
        <v>932</v>
      </c>
      <c r="O111" s="3" t="s">
        <v>65</v>
      </c>
      <c r="P111" s="3" t="s">
        <v>251</v>
      </c>
      <c r="R111" s="3" t="s">
        <v>67</v>
      </c>
      <c r="S111" s="4">
        <v>2</v>
      </c>
      <c r="T111" s="4">
        <v>2</v>
      </c>
      <c r="U111" s="5" t="s">
        <v>1551</v>
      </c>
      <c r="V111" s="5" t="s">
        <v>1551</v>
      </c>
      <c r="W111" s="5" t="s">
        <v>1526</v>
      </c>
      <c r="X111" s="5" t="s">
        <v>1526</v>
      </c>
      <c r="Y111" s="4">
        <v>239</v>
      </c>
      <c r="Z111" s="4">
        <v>184</v>
      </c>
      <c r="AA111" s="4">
        <v>323</v>
      </c>
      <c r="AB111" s="4">
        <v>3</v>
      </c>
      <c r="AC111" s="4">
        <v>3</v>
      </c>
      <c r="AD111" s="4">
        <v>2</v>
      </c>
      <c r="AE111" s="4">
        <v>5</v>
      </c>
      <c r="AF111" s="4">
        <v>0</v>
      </c>
      <c r="AG111" s="4">
        <v>3</v>
      </c>
      <c r="AH111" s="4">
        <v>0</v>
      </c>
      <c r="AI111" s="4">
        <v>1</v>
      </c>
      <c r="AJ111" s="4">
        <v>0</v>
      </c>
      <c r="AK111" s="4">
        <v>1</v>
      </c>
      <c r="AL111" s="4">
        <v>2</v>
      </c>
      <c r="AM111" s="4">
        <v>2</v>
      </c>
      <c r="AN111" s="4">
        <v>0</v>
      </c>
      <c r="AO111" s="4">
        <v>0</v>
      </c>
      <c r="AP111" s="3" t="s">
        <v>58</v>
      </c>
      <c r="AQ111" s="3" t="s">
        <v>58</v>
      </c>
      <c r="AS111" s="6" t="str">
        <f>HYPERLINK("https://creighton-primo.hosted.exlibrisgroup.com/primo-explore/search?tab=default_tab&amp;search_scope=EVERYTHING&amp;vid=01CRU&amp;lang=en_US&amp;offset=0&amp;query=any,contains,991004414049702656","Catalog Record")</f>
        <v>Catalog Record</v>
      </c>
      <c r="AT111" s="6" t="str">
        <f>HYPERLINK("http://www.worldcat.org/oclc/3355845","WorldCat Record")</f>
        <v>WorldCat Record</v>
      </c>
      <c r="AU111" s="3" t="s">
        <v>1552</v>
      </c>
      <c r="AV111" s="3" t="s">
        <v>1553</v>
      </c>
      <c r="AW111" s="3" t="s">
        <v>1554</v>
      </c>
      <c r="AX111" s="3" t="s">
        <v>1554</v>
      </c>
      <c r="AY111" s="3" t="s">
        <v>1555</v>
      </c>
      <c r="AZ111" s="3" t="s">
        <v>75</v>
      </c>
      <c r="BB111" s="3" t="s">
        <v>1556</v>
      </c>
      <c r="BC111" s="3" t="s">
        <v>1557</v>
      </c>
      <c r="BD111" s="3" t="s">
        <v>1558</v>
      </c>
    </row>
    <row r="112" spans="1:56" ht="54" customHeight="1" x14ac:dyDescent="0.25">
      <c r="A112" s="7" t="s">
        <v>58</v>
      </c>
      <c r="B112" s="2" t="s">
        <v>1559</v>
      </c>
      <c r="C112" s="2" t="s">
        <v>1560</v>
      </c>
      <c r="D112" s="2" t="s">
        <v>1561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60</v>
      </c>
      <c r="K112" s="2" t="s">
        <v>1483</v>
      </c>
      <c r="L112" s="2" t="s">
        <v>1562</v>
      </c>
      <c r="M112" s="3" t="s">
        <v>505</v>
      </c>
      <c r="O112" s="3" t="s">
        <v>65</v>
      </c>
      <c r="P112" s="3" t="s">
        <v>281</v>
      </c>
      <c r="Q112" s="2" t="s">
        <v>1563</v>
      </c>
      <c r="R112" s="3" t="s">
        <v>67</v>
      </c>
      <c r="S112" s="4">
        <v>6</v>
      </c>
      <c r="T112" s="4">
        <v>6</v>
      </c>
      <c r="U112" s="5" t="s">
        <v>1564</v>
      </c>
      <c r="V112" s="5" t="s">
        <v>1564</v>
      </c>
      <c r="W112" s="5" t="s">
        <v>477</v>
      </c>
      <c r="X112" s="5" t="s">
        <v>477</v>
      </c>
      <c r="Y112" s="4">
        <v>179</v>
      </c>
      <c r="Z112" s="4">
        <v>132</v>
      </c>
      <c r="AA112" s="4">
        <v>134</v>
      </c>
      <c r="AB112" s="4">
        <v>4</v>
      </c>
      <c r="AC112" s="4">
        <v>4</v>
      </c>
      <c r="AD112" s="4">
        <v>4</v>
      </c>
      <c r="AE112" s="4">
        <v>4</v>
      </c>
      <c r="AF112" s="4">
        <v>0</v>
      </c>
      <c r="AG112" s="4">
        <v>0</v>
      </c>
      <c r="AH112" s="4">
        <v>1</v>
      </c>
      <c r="AI112" s="4">
        <v>1</v>
      </c>
      <c r="AJ112" s="4">
        <v>1</v>
      </c>
      <c r="AK112" s="4">
        <v>1</v>
      </c>
      <c r="AL112" s="4">
        <v>2</v>
      </c>
      <c r="AM112" s="4">
        <v>2</v>
      </c>
      <c r="AN112" s="4">
        <v>0</v>
      </c>
      <c r="AO112" s="4">
        <v>0</v>
      </c>
      <c r="AP112" s="3" t="s">
        <v>58</v>
      </c>
      <c r="AQ112" s="3" t="s">
        <v>70</v>
      </c>
      <c r="AR112" s="6" t="str">
        <f>HYPERLINK("http://catalog.hathitrust.org/Record/001468787","HathiTrust Record")</f>
        <v>HathiTrust Record</v>
      </c>
      <c r="AS112" s="6" t="str">
        <f>HYPERLINK("https://creighton-primo.hosted.exlibrisgroup.com/primo-explore/search?tab=default_tab&amp;search_scope=EVERYTHING&amp;vid=01CRU&amp;lang=en_US&amp;offset=0&amp;query=any,contains,991000144579702656","Catalog Record")</f>
        <v>Catalog Record</v>
      </c>
      <c r="AT112" s="6" t="str">
        <f>HYPERLINK("http://www.worldcat.org/oclc/58684","WorldCat Record")</f>
        <v>WorldCat Record</v>
      </c>
      <c r="AU112" s="3" t="s">
        <v>1565</v>
      </c>
      <c r="AV112" s="3" t="s">
        <v>1566</v>
      </c>
      <c r="AW112" s="3" t="s">
        <v>1567</v>
      </c>
      <c r="AX112" s="3" t="s">
        <v>1567</v>
      </c>
      <c r="AY112" s="3" t="s">
        <v>1568</v>
      </c>
      <c r="AZ112" s="3" t="s">
        <v>75</v>
      </c>
      <c r="BB112" s="3" t="s">
        <v>1569</v>
      </c>
      <c r="BC112" s="3" t="s">
        <v>1570</v>
      </c>
      <c r="BD112" s="3" t="s">
        <v>1571</v>
      </c>
    </row>
    <row r="113" spans="1:56" ht="54" customHeight="1" x14ac:dyDescent="0.25">
      <c r="A113" s="7" t="s">
        <v>58</v>
      </c>
      <c r="B113" s="2" t="s">
        <v>1572</v>
      </c>
      <c r="C113" s="2" t="s">
        <v>1573</v>
      </c>
      <c r="D113" s="2" t="s">
        <v>1574</v>
      </c>
      <c r="F113" s="3" t="s">
        <v>58</v>
      </c>
      <c r="G113" s="3" t="s">
        <v>59</v>
      </c>
      <c r="H113" s="3" t="s">
        <v>58</v>
      </c>
      <c r="I113" s="3" t="s">
        <v>58</v>
      </c>
      <c r="J113" s="3" t="s">
        <v>60</v>
      </c>
      <c r="K113" s="2" t="s">
        <v>1575</v>
      </c>
      <c r="L113" s="2" t="s">
        <v>1576</v>
      </c>
      <c r="M113" s="3" t="s">
        <v>234</v>
      </c>
      <c r="O113" s="3" t="s">
        <v>65</v>
      </c>
      <c r="P113" s="3" t="s">
        <v>66</v>
      </c>
      <c r="R113" s="3" t="s">
        <v>67</v>
      </c>
      <c r="S113" s="4">
        <v>10</v>
      </c>
      <c r="T113" s="4">
        <v>10</v>
      </c>
      <c r="U113" s="5" t="s">
        <v>86</v>
      </c>
      <c r="V113" s="5" t="s">
        <v>86</v>
      </c>
      <c r="W113" s="5" t="s">
        <v>1577</v>
      </c>
      <c r="X113" s="5" t="s">
        <v>1577</v>
      </c>
      <c r="Y113" s="4">
        <v>91</v>
      </c>
      <c r="Z113" s="4">
        <v>52</v>
      </c>
      <c r="AA113" s="4">
        <v>357</v>
      </c>
      <c r="AB113" s="4">
        <v>2</v>
      </c>
      <c r="AC113" s="4">
        <v>6</v>
      </c>
      <c r="AD113" s="4">
        <v>1</v>
      </c>
      <c r="AE113" s="4">
        <v>9</v>
      </c>
      <c r="AF113" s="4">
        <v>0</v>
      </c>
      <c r="AG113" s="4">
        <v>4</v>
      </c>
      <c r="AH113" s="4">
        <v>0</v>
      </c>
      <c r="AI113" s="4">
        <v>1</v>
      </c>
      <c r="AJ113" s="4">
        <v>0</v>
      </c>
      <c r="AK113" s="4">
        <v>4</v>
      </c>
      <c r="AL113" s="4">
        <v>1</v>
      </c>
      <c r="AM113" s="4">
        <v>3</v>
      </c>
      <c r="AN113" s="4">
        <v>0</v>
      </c>
      <c r="AO113" s="4">
        <v>0</v>
      </c>
      <c r="AP113" s="3" t="s">
        <v>58</v>
      </c>
      <c r="AQ113" s="3" t="s">
        <v>58</v>
      </c>
      <c r="AS113" s="6" t="str">
        <f>HYPERLINK("https://creighton-primo.hosted.exlibrisgroup.com/primo-explore/search?tab=default_tab&amp;search_scope=EVERYTHING&amp;vid=01CRU&amp;lang=en_US&amp;offset=0&amp;query=any,contains,991005231379702656","Catalog Record")</f>
        <v>Catalog Record</v>
      </c>
      <c r="AT113" s="6" t="str">
        <f>HYPERLINK("http://www.worldcat.org/oclc/8333894","WorldCat Record")</f>
        <v>WorldCat Record</v>
      </c>
      <c r="AU113" s="3" t="s">
        <v>1578</v>
      </c>
      <c r="AV113" s="3" t="s">
        <v>1579</v>
      </c>
      <c r="AW113" s="3" t="s">
        <v>1580</v>
      </c>
      <c r="AX113" s="3" t="s">
        <v>1580</v>
      </c>
      <c r="AY113" s="3" t="s">
        <v>1581</v>
      </c>
      <c r="AZ113" s="3" t="s">
        <v>75</v>
      </c>
      <c r="BB113" s="3" t="s">
        <v>1582</v>
      </c>
      <c r="BC113" s="3" t="s">
        <v>1583</v>
      </c>
      <c r="BD113" s="3" t="s">
        <v>1584</v>
      </c>
    </row>
    <row r="114" spans="1:56" ht="54" customHeight="1" x14ac:dyDescent="0.25">
      <c r="A114" s="7" t="s">
        <v>58</v>
      </c>
      <c r="B114" s="2" t="s">
        <v>1585</v>
      </c>
      <c r="C114" s="2" t="s">
        <v>1586</v>
      </c>
      <c r="D114" s="2" t="s">
        <v>1587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K114" s="2" t="s">
        <v>1588</v>
      </c>
      <c r="L114" s="2" t="s">
        <v>1589</v>
      </c>
      <c r="M114" s="3" t="s">
        <v>932</v>
      </c>
      <c r="O114" s="3" t="s">
        <v>65</v>
      </c>
      <c r="P114" s="3" t="s">
        <v>66</v>
      </c>
      <c r="R114" s="3" t="s">
        <v>67</v>
      </c>
      <c r="S114" s="4">
        <v>8</v>
      </c>
      <c r="T114" s="4">
        <v>8</v>
      </c>
      <c r="U114" s="5" t="s">
        <v>1263</v>
      </c>
      <c r="V114" s="5" t="s">
        <v>1263</v>
      </c>
      <c r="W114" s="5" t="s">
        <v>1590</v>
      </c>
      <c r="X114" s="5" t="s">
        <v>1590</v>
      </c>
      <c r="Y114" s="4">
        <v>622</v>
      </c>
      <c r="Z114" s="4">
        <v>567</v>
      </c>
      <c r="AA114" s="4">
        <v>575</v>
      </c>
      <c r="AB114" s="4">
        <v>4</v>
      </c>
      <c r="AC114" s="4">
        <v>4</v>
      </c>
      <c r="AD114" s="4">
        <v>16</v>
      </c>
      <c r="AE114" s="4">
        <v>16</v>
      </c>
      <c r="AF114" s="4">
        <v>8</v>
      </c>
      <c r="AG114" s="4">
        <v>8</v>
      </c>
      <c r="AH114" s="4">
        <v>3</v>
      </c>
      <c r="AI114" s="4">
        <v>3</v>
      </c>
      <c r="AJ114" s="4">
        <v>5</v>
      </c>
      <c r="AK114" s="4">
        <v>5</v>
      </c>
      <c r="AL114" s="4">
        <v>3</v>
      </c>
      <c r="AM114" s="4">
        <v>3</v>
      </c>
      <c r="AN114" s="4">
        <v>0</v>
      </c>
      <c r="AO114" s="4">
        <v>0</v>
      </c>
      <c r="AP114" s="3" t="s">
        <v>58</v>
      </c>
      <c r="AQ114" s="3" t="s">
        <v>70</v>
      </c>
      <c r="AR114" s="6" t="str">
        <f>HYPERLINK("http://catalog.hathitrust.org/Record/000692956","HathiTrust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HYPERLINK("https://creighton-primo.hosted.exlibrisgroup.com/primo-explore/search?tab=default_tab&amp;search_scope=EVERYTHING&amp;vid=01CRU&amp;lang=en_US&amp;offset=0&amp;query=any,contains,991003968859702656","Catalog Record")</f>
        <v>Catalog Record</v>
      </c>
      <c r="AT114" s="6" t="str">
        <f>HYPERLINK("http://www.worldcat.org/oclc/1991101","WorldCat Record")</f>
        <v>WorldCat Record</v>
      </c>
      <c r="AU114" s="3" t="s">
        <v>1591</v>
      </c>
      <c r="AV114" s="3" t="s">
        <v>1592</v>
      </c>
      <c r="AW114" s="3" t="s">
        <v>1593</v>
      </c>
      <c r="AX114" s="3" t="s">
        <v>1593</v>
      </c>
      <c r="AY114" s="3" t="s">
        <v>1594</v>
      </c>
      <c r="AZ114" s="3" t="s">
        <v>75</v>
      </c>
      <c r="BB114" s="3" t="s">
        <v>1595</v>
      </c>
      <c r="BC114" s="3" t="s">
        <v>1596</v>
      </c>
      <c r="BD114" s="3" t="s">
        <v>1597</v>
      </c>
    </row>
    <row r="115" spans="1:56" ht="54" customHeight="1" x14ac:dyDescent="0.25">
      <c r="A115" s="7" t="s">
        <v>58</v>
      </c>
      <c r="B115" s="2" t="s">
        <v>1598</v>
      </c>
      <c r="C115" s="2" t="s">
        <v>1599</v>
      </c>
      <c r="D115" s="2" t="s">
        <v>1600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K115" s="2" t="s">
        <v>1601</v>
      </c>
      <c r="L115" s="2" t="s">
        <v>1602</v>
      </c>
      <c r="M115" s="3" t="s">
        <v>234</v>
      </c>
      <c r="O115" s="3" t="s">
        <v>65</v>
      </c>
      <c r="P115" s="3" t="s">
        <v>66</v>
      </c>
      <c r="R115" s="3" t="s">
        <v>67</v>
      </c>
      <c r="S115" s="4">
        <v>1</v>
      </c>
      <c r="T115" s="4">
        <v>1</v>
      </c>
      <c r="U115" s="5" t="s">
        <v>1603</v>
      </c>
      <c r="V115" s="5" t="s">
        <v>1603</v>
      </c>
      <c r="W115" s="5" t="s">
        <v>477</v>
      </c>
      <c r="X115" s="5" t="s">
        <v>477</v>
      </c>
      <c r="Y115" s="4">
        <v>549</v>
      </c>
      <c r="Z115" s="4">
        <v>461</v>
      </c>
      <c r="AA115" s="4">
        <v>467</v>
      </c>
      <c r="AB115" s="4">
        <v>4</v>
      </c>
      <c r="AC115" s="4">
        <v>4</v>
      </c>
      <c r="AD115" s="4">
        <v>17</v>
      </c>
      <c r="AE115" s="4">
        <v>17</v>
      </c>
      <c r="AF115" s="4">
        <v>8</v>
      </c>
      <c r="AG115" s="4">
        <v>8</v>
      </c>
      <c r="AH115" s="4">
        <v>2</v>
      </c>
      <c r="AI115" s="4">
        <v>2</v>
      </c>
      <c r="AJ115" s="4">
        <v>7</v>
      </c>
      <c r="AK115" s="4">
        <v>7</v>
      </c>
      <c r="AL115" s="4">
        <v>3</v>
      </c>
      <c r="AM115" s="4">
        <v>3</v>
      </c>
      <c r="AN115" s="4">
        <v>0</v>
      </c>
      <c r="AO115" s="4">
        <v>0</v>
      </c>
      <c r="AP115" s="3" t="s">
        <v>58</v>
      </c>
      <c r="AQ115" s="3" t="s">
        <v>70</v>
      </c>
      <c r="AR115" s="6" t="str">
        <f>HYPERLINK("http://catalog.hathitrust.org/Record/000225703","HathiTrust Record")</f>
        <v>HathiTrust Record</v>
      </c>
      <c r="AS115" s="6" t="str">
        <f>HYPERLINK("https://creighton-primo.hosted.exlibrisgroup.com/primo-explore/search?tab=default_tab&amp;search_scope=EVERYTHING&amp;vid=01CRU&amp;lang=en_US&amp;offset=0&amp;query=any,contains,991005033789702656","Catalog Record")</f>
        <v>Catalog Record</v>
      </c>
      <c r="AT115" s="6" t="str">
        <f>HYPERLINK("http://www.worldcat.org/oclc/6735744","WorldCat Record")</f>
        <v>WorldCat Record</v>
      </c>
      <c r="AU115" s="3" t="s">
        <v>1604</v>
      </c>
      <c r="AV115" s="3" t="s">
        <v>1605</v>
      </c>
      <c r="AW115" s="3" t="s">
        <v>1606</v>
      </c>
      <c r="AX115" s="3" t="s">
        <v>1606</v>
      </c>
      <c r="AY115" s="3" t="s">
        <v>1607</v>
      </c>
      <c r="AZ115" s="3" t="s">
        <v>75</v>
      </c>
      <c r="BB115" s="3" t="s">
        <v>1608</v>
      </c>
      <c r="BC115" s="3" t="s">
        <v>1609</v>
      </c>
      <c r="BD115" s="3" t="s">
        <v>1610</v>
      </c>
    </row>
    <row r="116" spans="1:56" ht="54" customHeight="1" x14ac:dyDescent="0.25">
      <c r="A116" s="7" t="s">
        <v>58</v>
      </c>
      <c r="B116" s="2" t="s">
        <v>1611</v>
      </c>
      <c r="C116" s="2" t="s">
        <v>1612</v>
      </c>
      <c r="D116" s="2" t="s">
        <v>1613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K116" s="2" t="s">
        <v>1614</v>
      </c>
      <c r="L116" s="2" t="s">
        <v>1615</v>
      </c>
      <c r="M116" s="3" t="s">
        <v>221</v>
      </c>
      <c r="N116" s="2" t="s">
        <v>1616</v>
      </c>
      <c r="O116" s="3" t="s">
        <v>65</v>
      </c>
      <c r="P116" s="3" t="s">
        <v>84</v>
      </c>
      <c r="R116" s="3" t="s">
        <v>67</v>
      </c>
      <c r="S116" s="4">
        <v>3</v>
      </c>
      <c r="T116" s="4">
        <v>3</v>
      </c>
      <c r="U116" s="5" t="s">
        <v>1617</v>
      </c>
      <c r="V116" s="5" t="s">
        <v>1617</v>
      </c>
      <c r="W116" s="5" t="s">
        <v>1618</v>
      </c>
      <c r="X116" s="5" t="s">
        <v>1618</v>
      </c>
      <c r="Y116" s="4">
        <v>79</v>
      </c>
      <c r="Z116" s="4">
        <v>77</v>
      </c>
      <c r="AA116" s="4">
        <v>227</v>
      </c>
      <c r="AB116" s="4">
        <v>1</v>
      </c>
      <c r="AC116" s="4">
        <v>2</v>
      </c>
      <c r="AD116" s="4">
        <v>1</v>
      </c>
      <c r="AE116" s="4">
        <v>3</v>
      </c>
      <c r="AF116" s="4">
        <v>0</v>
      </c>
      <c r="AG116" s="4">
        <v>0</v>
      </c>
      <c r="AH116" s="4">
        <v>0</v>
      </c>
      <c r="AI116" s="4">
        <v>1</v>
      </c>
      <c r="AJ116" s="4">
        <v>1</v>
      </c>
      <c r="AK116" s="4">
        <v>1</v>
      </c>
      <c r="AL116" s="4">
        <v>0</v>
      </c>
      <c r="AM116" s="4">
        <v>1</v>
      </c>
      <c r="AN116" s="4">
        <v>0</v>
      </c>
      <c r="AO116" s="4">
        <v>0</v>
      </c>
      <c r="AP116" s="3" t="s">
        <v>58</v>
      </c>
      <c r="AQ116" s="3" t="s">
        <v>58</v>
      </c>
      <c r="AS116" s="6" t="str">
        <f>HYPERLINK("https://creighton-primo.hosted.exlibrisgroup.com/primo-explore/search?tab=default_tab&amp;search_scope=EVERYTHING&amp;vid=01CRU&amp;lang=en_US&amp;offset=0&amp;query=any,contains,991003769479702656","Catalog Record")</f>
        <v>Catalog Record</v>
      </c>
      <c r="AT116" s="6" t="str">
        <f>HYPERLINK("http://www.worldcat.org/oclc/1467302","WorldCat Record")</f>
        <v>WorldCat Record</v>
      </c>
      <c r="AU116" s="3" t="s">
        <v>1619</v>
      </c>
      <c r="AV116" s="3" t="s">
        <v>1620</v>
      </c>
      <c r="AW116" s="3" t="s">
        <v>1621</v>
      </c>
      <c r="AX116" s="3" t="s">
        <v>1621</v>
      </c>
      <c r="AY116" s="3" t="s">
        <v>1622</v>
      </c>
      <c r="AZ116" s="3" t="s">
        <v>75</v>
      </c>
      <c r="BC116" s="3" t="s">
        <v>1623</v>
      </c>
      <c r="BD116" s="3" t="s">
        <v>1624</v>
      </c>
    </row>
    <row r="117" spans="1:56" ht="54" customHeight="1" x14ac:dyDescent="0.25">
      <c r="A117" s="7" t="s">
        <v>58</v>
      </c>
      <c r="B117" s="2" t="s">
        <v>1625</v>
      </c>
      <c r="C117" s="2" t="s">
        <v>1626</v>
      </c>
      <c r="D117" s="2" t="s">
        <v>1627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60</v>
      </c>
      <c r="K117" s="2" t="s">
        <v>1628</v>
      </c>
      <c r="L117" s="2" t="s">
        <v>1629</v>
      </c>
      <c r="M117" s="3" t="s">
        <v>750</v>
      </c>
      <c r="O117" s="3" t="s">
        <v>65</v>
      </c>
      <c r="P117" s="3" t="s">
        <v>281</v>
      </c>
      <c r="R117" s="3" t="s">
        <v>67</v>
      </c>
      <c r="S117" s="4">
        <v>4</v>
      </c>
      <c r="T117" s="4">
        <v>4</v>
      </c>
      <c r="U117" s="5" t="s">
        <v>1630</v>
      </c>
      <c r="V117" s="5" t="s">
        <v>1630</v>
      </c>
      <c r="W117" s="5" t="s">
        <v>1631</v>
      </c>
      <c r="X117" s="5" t="s">
        <v>1631</v>
      </c>
      <c r="Y117" s="4">
        <v>667</v>
      </c>
      <c r="Z117" s="4">
        <v>476</v>
      </c>
      <c r="AA117" s="4">
        <v>479</v>
      </c>
      <c r="AB117" s="4">
        <v>3</v>
      </c>
      <c r="AC117" s="4">
        <v>3</v>
      </c>
      <c r="AD117" s="4">
        <v>18</v>
      </c>
      <c r="AE117" s="4">
        <v>18</v>
      </c>
      <c r="AF117" s="4">
        <v>5</v>
      </c>
      <c r="AG117" s="4">
        <v>5</v>
      </c>
      <c r="AH117" s="4">
        <v>3</v>
      </c>
      <c r="AI117" s="4">
        <v>3</v>
      </c>
      <c r="AJ117" s="4">
        <v>12</v>
      </c>
      <c r="AK117" s="4">
        <v>12</v>
      </c>
      <c r="AL117" s="4">
        <v>2</v>
      </c>
      <c r="AM117" s="4">
        <v>2</v>
      </c>
      <c r="AN117" s="4">
        <v>0</v>
      </c>
      <c r="AO117" s="4">
        <v>0</v>
      </c>
      <c r="AP117" s="3" t="s">
        <v>58</v>
      </c>
      <c r="AQ117" s="3" t="s">
        <v>58</v>
      </c>
      <c r="AS117" s="6" t="str">
        <f>HYPERLINK("https://creighton-primo.hosted.exlibrisgroup.com/primo-explore/search?tab=default_tab&amp;search_scope=EVERYTHING&amp;vid=01CRU&amp;lang=en_US&amp;offset=0&amp;query=any,contains,991000621829702656","Catalog Record")</f>
        <v>Catalog Record</v>
      </c>
      <c r="AT117" s="6" t="str">
        <f>HYPERLINK("http://www.worldcat.org/oclc/102687","WorldCat Record")</f>
        <v>WorldCat Record</v>
      </c>
      <c r="AU117" s="3" t="s">
        <v>1632</v>
      </c>
      <c r="AV117" s="3" t="s">
        <v>1633</v>
      </c>
      <c r="AW117" s="3" t="s">
        <v>1634</v>
      </c>
      <c r="AX117" s="3" t="s">
        <v>1634</v>
      </c>
      <c r="AY117" s="3" t="s">
        <v>1635</v>
      </c>
      <c r="AZ117" s="3" t="s">
        <v>75</v>
      </c>
      <c r="BB117" s="3" t="s">
        <v>1636</v>
      </c>
      <c r="BC117" s="3" t="s">
        <v>1637</v>
      </c>
      <c r="BD117" s="3" t="s">
        <v>1638</v>
      </c>
    </row>
    <row r="118" spans="1:56" ht="54" customHeight="1" x14ac:dyDescent="0.25">
      <c r="A118" s="7" t="s">
        <v>58</v>
      </c>
      <c r="B118" s="2" t="s">
        <v>1639</v>
      </c>
      <c r="C118" s="2" t="s">
        <v>1640</v>
      </c>
      <c r="D118" s="2" t="s">
        <v>1641</v>
      </c>
      <c r="F118" s="3" t="s">
        <v>58</v>
      </c>
      <c r="G118" s="3" t="s">
        <v>59</v>
      </c>
      <c r="H118" s="3" t="s">
        <v>58</v>
      </c>
      <c r="I118" s="3" t="s">
        <v>58</v>
      </c>
      <c r="J118" s="3" t="s">
        <v>60</v>
      </c>
      <c r="K118" s="2" t="s">
        <v>1642</v>
      </c>
      <c r="L118" s="2" t="s">
        <v>1643</v>
      </c>
      <c r="M118" s="3" t="s">
        <v>1644</v>
      </c>
      <c r="O118" s="3" t="s">
        <v>65</v>
      </c>
      <c r="P118" s="3" t="s">
        <v>66</v>
      </c>
      <c r="R118" s="3" t="s">
        <v>67</v>
      </c>
      <c r="S118" s="4">
        <v>4</v>
      </c>
      <c r="T118" s="4">
        <v>4</v>
      </c>
      <c r="U118" s="5" t="s">
        <v>1645</v>
      </c>
      <c r="V118" s="5" t="s">
        <v>1645</v>
      </c>
      <c r="W118" s="5" t="s">
        <v>477</v>
      </c>
      <c r="X118" s="5" t="s">
        <v>477</v>
      </c>
      <c r="Y118" s="4">
        <v>420</v>
      </c>
      <c r="Z118" s="4">
        <v>331</v>
      </c>
      <c r="AA118" s="4">
        <v>334</v>
      </c>
      <c r="AB118" s="4">
        <v>5</v>
      </c>
      <c r="AC118" s="4">
        <v>5</v>
      </c>
      <c r="AD118" s="4">
        <v>8</v>
      </c>
      <c r="AE118" s="4">
        <v>8</v>
      </c>
      <c r="AF118" s="4">
        <v>1</v>
      </c>
      <c r="AG118" s="4">
        <v>1</v>
      </c>
      <c r="AH118" s="4">
        <v>2</v>
      </c>
      <c r="AI118" s="4">
        <v>2</v>
      </c>
      <c r="AJ118" s="4">
        <v>4</v>
      </c>
      <c r="AK118" s="4">
        <v>4</v>
      </c>
      <c r="AL118" s="4">
        <v>3</v>
      </c>
      <c r="AM118" s="4">
        <v>3</v>
      </c>
      <c r="AN118" s="4">
        <v>0</v>
      </c>
      <c r="AO118" s="4">
        <v>0</v>
      </c>
      <c r="AP118" s="3" t="s">
        <v>58</v>
      </c>
      <c r="AQ118" s="3" t="s">
        <v>58</v>
      </c>
      <c r="AS118" s="6" t="str">
        <f>HYPERLINK("https://creighton-primo.hosted.exlibrisgroup.com/primo-explore/search?tab=default_tab&amp;search_scope=EVERYTHING&amp;vid=01CRU&amp;lang=en_US&amp;offset=0&amp;query=any,contains,991004693929702656","Catalog Record")</f>
        <v>Catalog Record</v>
      </c>
      <c r="AT118" s="6" t="str">
        <f>HYPERLINK("http://www.worldcat.org/oclc/4638156","WorldCat Record")</f>
        <v>WorldCat Record</v>
      </c>
      <c r="AU118" s="3" t="s">
        <v>1646</v>
      </c>
      <c r="AV118" s="3" t="s">
        <v>1647</v>
      </c>
      <c r="AW118" s="3" t="s">
        <v>1648</v>
      </c>
      <c r="AX118" s="3" t="s">
        <v>1648</v>
      </c>
      <c r="AY118" s="3" t="s">
        <v>1649</v>
      </c>
      <c r="AZ118" s="3" t="s">
        <v>75</v>
      </c>
      <c r="BB118" s="3" t="s">
        <v>1650</v>
      </c>
      <c r="BC118" s="3" t="s">
        <v>1651</v>
      </c>
      <c r="BD118" s="3" t="s">
        <v>1652</v>
      </c>
    </row>
    <row r="119" spans="1:56" ht="54" customHeight="1" x14ac:dyDescent="0.25">
      <c r="A119" s="7" t="s">
        <v>58</v>
      </c>
      <c r="B119" s="2" t="s">
        <v>1653</v>
      </c>
      <c r="C119" s="2" t="s">
        <v>1654</v>
      </c>
      <c r="D119" s="2" t="s">
        <v>1655</v>
      </c>
      <c r="F119" s="3" t="s">
        <v>58</v>
      </c>
      <c r="G119" s="3" t="s">
        <v>59</v>
      </c>
      <c r="H119" s="3" t="s">
        <v>58</v>
      </c>
      <c r="I119" s="3" t="s">
        <v>58</v>
      </c>
      <c r="J119" s="3" t="s">
        <v>60</v>
      </c>
      <c r="K119" s="2" t="s">
        <v>1656</v>
      </c>
      <c r="L119" s="2" t="s">
        <v>1657</v>
      </c>
      <c r="M119" s="3" t="s">
        <v>1123</v>
      </c>
      <c r="O119" s="3" t="s">
        <v>65</v>
      </c>
      <c r="P119" s="3" t="s">
        <v>66</v>
      </c>
      <c r="R119" s="3" t="s">
        <v>67</v>
      </c>
      <c r="S119" s="4">
        <v>12</v>
      </c>
      <c r="T119" s="4">
        <v>12</v>
      </c>
      <c r="U119" s="5" t="s">
        <v>1658</v>
      </c>
      <c r="V119" s="5" t="s">
        <v>1658</v>
      </c>
      <c r="W119" s="5" t="s">
        <v>477</v>
      </c>
      <c r="X119" s="5" t="s">
        <v>477</v>
      </c>
      <c r="Y119" s="4">
        <v>534</v>
      </c>
      <c r="Z119" s="4">
        <v>471</v>
      </c>
      <c r="AA119" s="4">
        <v>478</v>
      </c>
      <c r="AB119" s="4">
        <v>5</v>
      </c>
      <c r="AC119" s="4">
        <v>5</v>
      </c>
      <c r="AD119" s="4">
        <v>7</v>
      </c>
      <c r="AE119" s="4">
        <v>7</v>
      </c>
      <c r="AF119" s="4">
        <v>4</v>
      </c>
      <c r="AG119" s="4">
        <v>4</v>
      </c>
      <c r="AH119" s="4">
        <v>1</v>
      </c>
      <c r="AI119" s="4">
        <v>1</v>
      </c>
      <c r="AJ119" s="4">
        <v>2</v>
      </c>
      <c r="AK119" s="4">
        <v>2</v>
      </c>
      <c r="AL119" s="4">
        <v>2</v>
      </c>
      <c r="AM119" s="4">
        <v>2</v>
      </c>
      <c r="AN119" s="4">
        <v>0</v>
      </c>
      <c r="AO119" s="4">
        <v>0</v>
      </c>
      <c r="AP119" s="3" t="s">
        <v>58</v>
      </c>
      <c r="AQ119" s="3" t="s">
        <v>58</v>
      </c>
      <c r="AS119" s="6" t="str">
        <f>HYPERLINK("https://creighton-primo.hosted.exlibrisgroup.com/primo-explore/search?tab=default_tab&amp;search_scope=EVERYTHING&amp;vid=01CRU&amp;lang=en_US&amp;offset=0&amp;query=any,contains,991000350479702656","Catalog Record")</f>
        <v>Catalog Record</v>
      </c>
      <c r="AT119" s="6" t="str">
        <f>HYPERLINK("http://www.worldcat.org/oclc/10301080","WorldCat Record")</f>
        <v>WorldCat Record</v>
      </c>
      <c r="AU119" s="3" t="s">
        <v>1659</v>
      </c>
      <c r="AV119" s="3" t="s">
        <v>1660</v>
      </c>
      <c r="AW119" s="3" t="s">
        <v>1661</v>
      </c>
      <c r="AX119" s="3" t="s">
        <v>1661</v>
      </c>
      <c r="AY119" s="3" t="s">
        <v>1662</v>
      </c>
      <c r="AZ119" s="3" t="s">
        <v>75</v>
      </c>
      <c r="BB119" s="3" t="s">
        <v>1663</v>
      </c>
      <c r="BC119" s="3" t="s">
        <v>1664</v>
      </c>
      <c r="BD119" s="3" t="s">
        <v>1665</v>
      </c>
    </row>
    <row r="120" spans="1:56" ht="54" customHeight="1" x14ac:dyDescent="0.25">
      <c r="A120" s="7" t="s">
        <v>58</v>
      </c>
      <c r="B120" s="2" t="s">
        <v>1666</v>
      </c>
      <c r="C120" s="2" t="s">
        <v>1667</v>
      </c>
      <c r="D120" s="2" t="s">
        <v>1668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K120" s="2" t="s">
        <v>1455</v>
      </c>
      <c r="L120" s="2" t="s">
        <v>1669</v>
      </c>
      <c r="M120" s="3" t="s">
        <v>546</v>
      </c>
      <c r="O120" s="3" t="s">
        <v>65</v>
      </c>
      <c r="P120" s="3" t="s">
        <v>66</v>
      </c>
      <c r="Q120" s="2" t="s">
        <v>1670</v>
      </c>
      <c r="R120" s="3" t="s">
        <v>67</v>
      </c>
      <c r="S120" s="4">
        <v>8</v>
      </c>
      <c r="T120" s="4">
        <v>8</v>
      </c>
      <c r="U120" s="5" t="s">
        <v>1394</v>
      </c>
      <c r="V120" s="5" t="s">
        <v>1394</v>
      </c>
      <c r="W120" s="5" t="s">
        <v>1671</v>
      </c>
      <c r="X120" s="5" t="s">
        <v>1671</v>
      </c>
      <c r="Y120" s="4">
        <v>255</v>
      </c>
      <c r="Z120" s="4">
        <v>229</v>
      </c>
      <c r="AA120" s="4">
        <v>232</v>
      </c>
      <c r="AB120" s="4">
        <v>2</v>
      </c>
      <c r="AC120" s="4">
        <v>2</v>
      </c>
      <c r="AD120" s="4">
        <v>3</v>
      </c>
      <c r="AE120" s="4">
        <v>3</v>
      </c>
      <c r="AF120" s="4">
        <v>1</v>
      </c>
      <c r="AG120" s="4">
        <v>1</v>
      </c>
      <c r="AH120" s="4">
        <v>0</v>
      </c>
      <c r="AI120" s="4">
        <v>0</v>
      </c>
      <c r="AJ120" s="4">
        <v>1</v>
      </c>
      <c r="AK120" s="4">
        <v>1</v>
      </c>
      <c r="AL120" s="4">
        <v>1</v>
      </c>
      <c r="AM120" s="4">
        <v>1</v>
      </c>
      <c r="AN120" s="4">
        <v>0</v>
      </c>
      <c r="AO120" s="4">
        <v>0</v>
      </c>
      <c r="AP120" s="3" t="s">
        <v>58</v>
      </c>
      <c r="AQ120" s="3" t="s">
        <v>70</v>
      </c>
      <c r="AR120" s="6" t="str">
        <f>HYPERLINK("http://catalog.hathitrust.org/Record/000856864","HathiTrust Record")</f>
        <v>HathiTrust Record</v>
      </c>
      <c r="AS120" s="6" t="str">
        <f>HYPERLINK("https://creighton-primo.hosted.exlibrisgroup.com/primo-explore/search?tab=default_tab&amp;search_scope=EVERYTHING&amp;vid=01CRU&amp;lang=en_US&amp;offset=0&amp;query=any,contains,991000737339702656","Catalog Record")</f>
        <v>Catalog Record</v>
      </c>
      <c r="AT120" s="6" t="str">
        <f>HYPERLINK("http://www.worldcat.org/oclc/12801417","WorldCat Record")</f>
        <v>WorldCat Record</v>
      </c>
      <c r="AU120" s="3" t="s">
        <v>1672</v>
      </c>
      <c r="AV120" s="3" t="s">
        <v>1673</v>
      </c>
      <c r="AW120" s="3" t="s">
        <v>1674</v>
      </c>
      <c r="AX120" s="3" t="s">
        <v>1674</v>
      </c>
      <c r="AY120" s="3" t="s">
        <v>1675</v>
      </c>
      <c r="AZ120" s="3" t="s">
        <v>75</v>
      </c>
      <c r="BB120" s="3" t="s">
        <v>1676</v>
      </c>
      <c r="BC120" s="3" t="s">
        <v>1677</v>
      </c>
      <c r="BD120" s="3" t="s">
        <v>1678</v>
      </c>
    </row>
    <row r="121" spans="1:56" ht="54" customHeight="1" x14ac:dyDescent="0.25">
      <c r="A121" s="7" t="s">
        <v>58</v>
      </c>
      <c r="B121" s="2" t="s">
        <v>1679</v>
      </c>
      <c r="C121" s="2" t="s">
        <v>1680</v>
      </c>
      <c r="D121" s="2" t="s">
        <v>1681</v>
      </c>
      <c r="F121" s="3" t="s">
        <v>58</v>
      </c>
      <c r="G121" s="3" t="s">
        <v>59</v>
      </c>
      <c r="H121" s="3" t="s">
        <v>58</v>
      </c>
      <c r="I121" s="3" t="s">
        <v>58</v>
      </c>
      <c r="J121" s="3" t="s">
        <v>60</v>
      </c>
      <c r="K121" s="2" t="s">
        <v>1682</v>
      </c>
      <c r="L121" s="2" t="s">
        <v>1683</v>
      </c>
      <c r="M121" s="3" t="s">
        <v>118</v>
      </c>
      <c r="N121" s="2" t="s">
        <v>1684</v>
      </c>
      <c r="O121" s="3" t="s">
        <v>65</v>
      </c>
      <c r="P121" s="3" t="s">
        <v>66</v>
      </c>
      <c r="R121" s="3" t="s">
        <v>67</v>
      </c>
      <c r="S121" s="4">
        <v>8</v>
      </c>
      <c r="T121" s="4">
        <v>8</v>
      </c>
      <c r="U121" s="5" t="s">
        <v>1685</v>
      </c>
      <c r="V121" s="5" t="s">
        <v>1685</v>
      </c>
      <c r="W121" s="5" t="s">
        <v>1686</v>
      </c>
      <c r="X121" s="5" t="s">
        <v>1686</v>
      </c>
      <c r="Y121" s="4">
        <v>471</v>
      </c>
      <c r="Z121" s="4">
        <v>417</v>
      </c>
      <c r="AA121" s="4">
        <v>552</v>
      </c>
      <c r="AB121" s="4">
        <v>3</v>
      </c>
      <c r="AC121" s="4">
        <v>5</v>
      </c>
      <c r="AD121" s="4">
        <v>4</v>
      </c>
      <c r="AE121" s="4">
        <v>10</v>
      </c>
      <c r="AF121" s="4">
        <v>1</v>
      </c>
      <c r="AG121" s="4">
        <v>2</v>
      </c>
      <c r="AH121" s="4">
        <v>1</v>
      </c>
      <c r="AI121" s="4">
        <v>4</v>
      </c>
      <c r="AJ121" s="4">
        <v>1</v>
      </c>
      <c r="AK121" s="4">
        <v>3</v>
      </c>
      <c r="AL121" s="4">
        <v>1</v>
      </c>
      <c r="AM121" s="4">
        <v>3</v>
      </c>
      <c r="AN121" s="4">
        <v>0</v>
      </c>
      <c r="AO121" s="4">
        <v>0</v>
      </c>
      <c r="AP121" s="3" t="s">
        <v>58</v>
      </c>
      <c r="AQ121" s="3" t="s">
        <v>70</v>
      </c>
      <c r="AR121" s="6" t="str">
        <f>HYPERLINK("http://catalog.hathitrust.org/Record/001468850","HathiTrust Record")</f>
        <v>HathiTrust Record</v>
      </c>
      <c r="AS121" s="6" t="str">
        <f>HYPERLINK("https://creighton-primo.hosted.exlibrisgroup.com/primo-explore/search?tab=default_tab&amp;search_scope=EVERYTHING&amp;vid=01CRU&amp;lang=en_US&amp;offset=0&amp;query=any,contains,991003041859702656","Catalog Record")</f>
        <v>Catalog Record</v>
      </c>
      <c r="AT121" s="6" t="str">
        <f>HYPERLINK("http://www.worldcat.org/oclc/603060","WorldCat Record")</f>
        <v>WorldCat Record</v>
      </c>
      <c r="AU121" s="3" t="s">
        <v>1687</v>
      </c>
      <c r="AV121" s="3" t="s">
        <v>1688</v>
      </c>
      <c r="AW121" s="3" t="s">
        <v>1689</v>
      </c>
      <c r="AX121" s="3" t="s">
        <v>1689</v>
      </c>
      <c r="AY121" s="3" t="s">
        <v>1690</v>
      </c>
      <c r="AZ121" s="3" t="s">
        <v>75</v>
      </c>
      <c r="BC121" s="3" t="s">
        <v>1691</v>
      </c>
      <c r="BD121" s="3" t="s">
        <v>1692</v>
      </c>
    </row>
    <row r="122" spans="1:56" ht="54" customHeight="1" x14ac:dyDescent="0.25">
      <c r="A122" s="7" t="s">
        <v>58</v>
      </c>
      <c r="B122" s="2" t="s">
        <v>1693</v>
      </c>
      <c r="C122" s="2" t="s">
        <v>1694</v>
      </c>
      <c r="D122" s="2" t="s">
        <v>1695</v>
      </c>
      <c r="F122" s="3" t="s">
        <v>58</v>
      </c>
      <c r="G122" s="3" t="s">
        <v>59</v>
      </c>
      <c r="H122" s="3" t="s">
        <v>58</v>
      </c>
      <c r="I122" s="3" t="s">
        <v>58</v>
      </c>
      <c r="J122" s="3" t="s">
        <v>60</v>
      </c>
      <c r="K122" s="2" t="s">
        <v>1696</v>
      </c>
      <c r="L122" s="2" t="s">
        <v>1697</v>
      </c>
      <c r="M122" s="3" t="s">
        <v>1407</v>
      </c>
      <c r="O122" s="3" t="s">
        <v>65</v>
      </c>
      <c r="P122" s="3" t="s">
        <v>66</v>
      </c>
      <c r="R122" s="3" t="s">
        <v>67</v>
      </c>
      <c r="S122" s="4">
        <v>9</v>
      </c>
      <c r="T122" s="4">
        <v>9</v>
      </c>
      <c r="U122" s="5" t="s">
        <v>1698</v>
      </c>
      <c r="V122" s="5" t="s">
        <v>1698</v>
      </c>
      <c r="W122" s="5" t="s">
        <v>1699</v>
      </c>
      <c r="X122" s="5" t="s">
        <v>1699</v>
      </c>
      <c r="Y122" s="4">
        <v>638</v>
      </c>
      <c r="Z122" s="4">
        <v>570</v>
      </c>
      <c r="AA122" s="4">
        <v>722</v>
      </c>
      <c r="AB122" s="4">
        <v>8</v>
      </c>
      <c r="AC122" s="4">
        <v>10</v>
      </c>
      <c r="AD122" s="4">
        <v>13</v>
      </c>
      <c r="AE122" s="4">
        <v>19</v>
      </c>
      <c r="AF122" s="4">
        <v>2</v>
      </c>
      <c r="AG122" s="4">
        <v>4</v>
      </c>
      <c r="AH122" s="4">
        <v>1</v>
      </c>
      <c r="AI122" s="4">
        <v>2</v>
      </c>
      <c r="AJ122" s="4">
        <v>4</v>
      </c>
      <c r="AK122" s="4">
        <v>8</v>
      </c>
      <c r="AL122" s="4">
        <v>6</v>
      </c>
      <c r="AM122" s="4">
        <v>7</v>
      </c>
      <c r="AN122" s="4">
        <v>0</v>
      </c>
      <c r="AO122" s="4">
        <v>0</v>
      </c>
      <c r="AP122" s="3" t="s">
        <v>58</v>
      </c>
      <c r="AQ122" s="3" t="s">
        <v>70</v>
      </c>
      <c r="AR122" s="6" t="str">
        <f>HYPERLINK("http://catalog.hathitrust.org/Record/000732563","HathiTrust Record")</f>
        <v>HathiTrust Record</v>
      </c>
      <c r="AS122" s="6" t="str">
        <f>HYPERLINK("https://creighton-primo.hosted.exlibrisgroup.com/primo-explore/search?tab=default_tab&amp;search_scope=EVERYTHING&amp;vid=01CRU&amp;lang=en_US&amp;offset=0&amp;query=any,contains,991004158599702656","Catalog Record")</f>
        <v>Catalog Record</v>
      </c>
      <c r="AT122" s="6" t="str">
        <f>HYPERLINK("http://www.worldcat.org/oclc/2542902","WorldCat Record")</f>
        <v>WorldCat Record</v>
      </c>
      <c r="AU122" s="3" t="s">
        <v>1700</v>
      </c>
      <c r="AV122" s="3" t="s">
        <v>1701</v>
      </c>
      <c r="AW122" s="3" t="s">
        <v>1702</v>
      </c>
      <c r="AX122" s="3" t="s">
        <v>1702</v>
      </c>
      <c r="AY122" s="3" t="s">
        <v>1703</v>
      </c>
      <c r="AZ122" s="3" t="s">
        <v>75</v>
      </c>
      <c r="BB122" s="3" t="s">
        <v>1704</v>
      </c>
      <c r="BC122" s="3" t="s">
        <v>1705</v>
      </c>
      <c r="BD122" s="3" t="s">
        <v>1706</v>
      </c>
    </row>
    <row r="123" spans="1:56" ht="54" customHeight="1" x14ac:dyDescent="0.25">
      <c r="A123" s="7" t="s">
        <v>58</v>
      </c>
      <c r="B123" s="2" t="s">
        <v>1707</v>
      </c>
      <c r="C123" s="2" t="s">
        <v>1708</v>
      </c>
      <c r="D123" s="2" t="s">
        <v>1709</v>
      </c>
      <c r="F123" s="3" t="s">
        <v>58</v>
      </c>
      <c r="G123" s="3" t="s">
        <v>59</v>
      </c>
      <c r="H123" s="3" t="s">
        <v>58</v>
      </c>
      <c r="I123" s="3" t="s">
        <v>58</v>
      </c>
      <c r="J123" s="3" t="s">
        <v>60</v>
      </c>
      <c r="K123" s="2" t="s">
        <v>1710</v>
      </c>
      <c r="L123" s="2" t="s">
        <v>1711</v>
      </c>
      <c r="M123" s="3" t="s">
        <v>932</v>
      </c>
      <c r="O123" s="3" t="s">
        <v>65</v>
      </c>
      <c r="P123" s="3" t="s">
        <v>751</v>
      </c>
      <c r="R123" s="3" t="s">
        <v>67</v>
      </c>
      <c r="S123" s="4">
        <v>11</v>
      </c>
      <c r="T123" s="4">
        <v>11</v>
      </c>
      <c r="U123" s="5" t="s">
        <v>1071</v>
      </c>
      <c r="V123" s="5" t="s">
        <v>1071</v>
      </c>
      <c r="W123" s="5" t="s">
        <v>1712</v>
      </c>
      <c r="X123" s="5" t="s">
        <v>1712</v>
      </c>
      <c r="Y123" s="4">
        <v>511</v>
      </c>
      <c r="Z123" s="4">
        <v>455</v>
      </c>
      <c r="AA123" s="4">
        <v>980</v>
      </c>
      <c r="AB123" s="4">
        <v>6</v>
      </c>
      <c r="AC123" s="4">
        <v>8</v>
      </c>
      <c r="AD123" s="4">
        <v>16</v>
      </c>
      <c r="AE123" s="4">
        <v>21</v>
      </c>
      <c r="AF123" s="4">
        <v>5</v>
      </c>
      <c r="AG123" s="4">
        <v>7</v>
      </c>
      <c r="AH123" s="4">
        <v>3</v>
      </c>
      <c r="AI123" s="4">
        <v>3</v>
      </c>
      <c r="AJ123" s="4">
        <v>6</v>
      </c>
      <c r="AK123" s="4">
        <v>7</v>
      </c>
      <c r="AL123" s="4">
        <v>5</v>
      </c>
      <c r="AM123" s="4">
        <v>7</v>
      </c>
      <c r="AN123" s="4">
        <v>0</v>
      </c>
      <c r="AO123" s="4">
        <v>0</v>
      </c>
      <c r="AP123" s="3" t="s">
        <v>58</v>
      </c>
      <c r="AQ123" s="3" t="s">
        <v>58</v>
      </c>
      <c r="AS123" s="6" t="str">
        <f>HYPERLINK("https://creighton-primo.hosted.exlibrisgroup.com/primo-explore/search?tab=default_tab&amp;search_scope=EVERYTHING&amp;vid=01CRU&amp;lang=en_US&amp;offset=0&amp;query=any,contains,991003786739702656","Catalog Record")</f>
        <v>Catalog Record</v>
      </c>
      <c r="AT123" s="6" t="str">
        <f>HYPERLINK("http://www.worldcat.org/oclc/1502410","WorldCat Record")</f>
        <v>WorldCat Record</v>
      </c>
      <c r="AU123" s="3" t="s">
        <v>1713</v>
      </c>
      <c r="AV123" s="3" t="s">
        <v>1714</v>
      </c>
      <c r="AW123" s="3" t="s">
        <v>1715</v>
      </c>
      <c r="AX123" s="3" t="s">
        <v>1715</v>
      </c>
      <c r="AY123" s="3" t="s">
        <v>1716</v>
      </c>
      <c r="AZ123" s="3" t="s">
        <v>75</v>
      </c>
      <c r="BB123" s="3" t="s">
        <v>1717</v>
      </c>
      <c r="BC123" s="3" t="s">
        <v>1718</v>
      </c>
      <c r="BD123" s="3" t="s">
        <v>1719</v>
      </c>
    </row>
    <row r="124" spans="1:56" ht="54" customHeight="1" x14ac:dyDescent="0.25">
      <c r="A124" s="7" t="s">
        <v>58</v>
      </c>
      <c r="B124" s="2" t="s">
        <v>1720</v>
      </c>
      <c r="C124" s="2" t="s">
        <v>1721</v>
      </c>
      <c r="D124" s="2" t="s">
        <v>1722</v>
      </c>
      <c r="F124" s="3" t="s">
        <v>58</v>
      </c>
      <c r="G124" s="3" t="s">
        <v>59</v>
      </c>
      <c r="H124" s="3" t="s">
        <v>58</v>
      </c>
      <c r="I124" s="3" t="s">
        <v>58</v>
      </c>
      <c r="J124" s="3" t="s">
        <v>60</v>
      </c>
      <c r="K124" s="2" t="s">
        <v>1723</v>
      </c>
      <c r="L124" s="2" t="s">
        <v>1724</v>
      </c>
      <c r="M124" s="3" t="s">
        <v>118</v>
      </c>
      <c r="O124" s="3" t="s">
        <v>65</v>
      </c>
      <c r="P124" s="3" t="s">
        <v>66</v>
      </c>
      <c r="R124" s="3" t="s">
        <v>67</v>
      </c>
      <c r="S124" s="4">
        <v>4</v>
      </c>
      <c r="T124" s="4">
        <v>4</v>
      </c>
      <c r="U124" s="5" t="s">
        <v>1725</v>
      </c>
      <c r="V124" s="5" t="s">
        <v>1725</v>
      </c>
      <c r="W124" s="5" t="s">
        <v>1726</v>
      </c>
      <c r="X124" s="5" t="s">
        <v>1726</v>
      </c>
      <c r="Y124" s="4">
        <v>981</v>
      </c>
      <c r="Z124" s="4">
        <v>895</v>
      </c>
      <c r="AA124" s="4">
        <v>909</v>
      </c>
      <c r="AB124" s="4">
        <v>7</v>
      </c>
      <c r="AC124" s="4">
        <v>7</v>
      </c>
      <c r="AD124" s="4">
        <v>25</v>
      </c>
      <c r="AE124" s="4">
        <v>25</v>
      </c>
      <c r="AF124" s="4">
        <v>10</v>
      </c>
      <c r="AG124" s="4">
        <v>10</v>
      </c>
      <c r="AH124" s="4">
        <v>5</v>
      </c>
      <c r="AI124" s="4">
        <v>5</v>
      </c>
      <c r="AJ124" s="4">
        <v>9</v>
      </c>
      <c r="AK124" s="4">
        <v>9</v>
      </c>
      <c r="AL124" s="4">
        <v>6</v>
      </c>
      <c r="AM124" s="4">
        <v>6</v>
      </c>
      <c r="AN124" s="4">
        <v>0</v>
      </c>
      <c r="AO124" s="4">
        <v>0</v>
      </c>
      <c r="AP124" s="3" t="s">
        <v>58</v>
      </c>
      <c r="AQ124" s="3" t="s">
        <v>70</v>
      </c>
      <c r="AR124" s="6" t="str">
        <f>HYPERLINK("http://catalog.hathitrust.org/Record/001468857","HathiTrust Record")</f>
        <v>HathiTrust Record</v>
      </c>
      <c r="AS124" s="6" t="str">
        <f>HYPERLINK("https://creighton-primo.hosted.exlibrisgroup.com/primo-explore/search?tab=default_tab&amp;search_scope=EVERYTHING&amp;vid=01CRU&amp;lang=en_US&amp;offset=0&amp;query=any,contains,991002449099702656","Catalog Record")</f>
        <v>Catalog Record</v>
      </c>
      <c r="AT124" s="6" t="str">
        <f>HYPERLINK("http://www.worldcat.org/oclc/352496","WorldCat Record")</f>
        <v>WorldCat Record</v>
      </c>
      <c r="AU124" s="3" t="s">
        <v>1727</v>
      </c>
      <c r="AV124" s="3" t="s">
        <v>1728</v>
      </c>
      <c r="AW124" s="3" t="s">
        <v>1729</v>
      </c>
      <c r="AX124" s="3" t="s">
        <v>1729</v>
      </c>
      <c r="AY124" s="3" t="s">
        <v>1730</v>
      </c>
      <c r="AZ124" s="3" t="s">
        <v>75</v>
      </c>
      <c r="BC124" s="3" t="s">
        <v>1731</v>
      </c>
      <c r="BD124" s="3" t="s">
        <v>1732</v>
      </c>
    </row>
    <row r="125" spans="1:56" ht="54" customHeight="1" x14ac:dyDescent="0.25">
      <c r="A125" s="7" t="s">
        <v>58</v>
      </c>
      <c r="B125" s="2" t="s">
        <v>1733</v>
      </c>
      <c r="C125" s="2" t="s">
        <v>1734</v>
      </c>
      <c r="D125" s="2" t="s">
        <v>1735</v>
      </c>
      <c r="F125" s="3" t="s">
        <v>58</v>
      </c>
      <c r="G125" s="3" t="s">
        <v>59</v>
      </c>
      <c r="H125" s="3" t="s">
        <v>58</v>
      </c>
      <c r="I125" s="3" t="s">
        <v>58</v>
      </c>
      <c r="J125" s="3" t="s">
        <v>60</v>
      </c>
      <c r="K125" s="2" t="s">
        <v>1736</v>
      </c>
      <c r="L125" s="2" t="s">
        <v>1737</v>
      </c>
      <c r="M125" s="3" t="s">
        <v>750</v>
      </c>
      <c r="O125" s="3" t="s">
        <v>65</v>
      </c>
      <c r="P125" s="3" t="s">
        <v>66</v>
      </c>
      <c r="R125" s="3" t="s">
        <v>67</v>
      </c>
      <c r="S125" s="4">
        <v>13</v>
      </c>
      <c r="T125" s="4">
        <v>13</v>
      </c>
      <c r="U125" s="5" t="s">
        <v>1738</v>
      </c>
      <c r="V125" s="5" t="s">
        <v>1738</v>
      </c>
      <c r="W125" s="5" t="s">
        <v>1712</v>
      </c>
      <c r="X125" s="5" t="s">
        <v>1712</v>
      </c>
      <c r="Y125" s="4">
        <v>602</v>
      </c>
      <c r="Z125" s="4">
        <v>504</v>
      </c>
      <c r="AA125" s="4">
        <v>786</v>
      </c>
      <c r="AB125" s="4">
        <v>6</v>
      </c>
      <c r="AC125" s="4">
        <v>8</v>
      </c>
      <c r="AD125" s="4">
        <v>11</v>
      </c>
      <c r="AE125" s="4">
        <v>12</v>
      </c>
      <c r="AF125" s="4">
        <v>2</v>
      </c>
      <c r="AG125" s="4">
        <v>2</v>
      </c>
      <c r="AH125" s="4">
        <v>1</v>
      </c>
      <c r="AI125" s="4">
        <v>1</v>
      </c>
      <c r="AJ125" s="4">
        <v>4</v>
      </c>
      <c r="AK125" s="4">
        <v>4</v>
      </c>
      <c r="AL125" s="4">
        <v>5</v>
      </c>
      <c r="AM125" s="4">
        <v>6</v>
      </c>
      <c r="AN125" s="4">
        <v>0</v>
      </c>
      <c r="AO125" s="4">
        <v>0</v>
      </c>
      <c r="AP125" s="3" t="s">
        <v>58</v>
      </c>
      <c r="AQ125" s="3" t="s">
        <v>70</v>
      </c>
      <c r="AR125" s="6" t="str">
        <f>HYPERLINK("http://catalog.hathitrust.org/Record/008510941","HathiTrust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HYPERLINK("https://creighton-primo.hosted.exlibrisgroup.com/primo-explore/search?tab=default_tab&amp;search_scope=EVERYTHING&amp;vid=01CRU&amp;lang=en_US&amp;offset=0&amp;query=any,contains,991000719069702656","Catalog Record")</f>
        <v>Catalog Record</v>
      </c>
      <c r="AT125" s="6" t="str">
        <f>HYPERLINK("http://www.worldcat.org/oclc/126124","WorldCat Record")</f>
        <v>WorldCat Record</v>
      </c>
      <c r="AU125" s="3" t="s">
        <v>1739</v>
      </c>
      <c r="AV125" s="3" t="s">
        <v>1740</v>
      </c>
      <c r="AW125" s="3" t="s">
        <v>1741</v>
      </c>
      <c r="AX125" s="3" t="s">
        <v>1741</v>
      </c>
      <c r="AY125" s="3" t="s">
        <v>1742</v>
      </c>
      <c r="AZ125" s="3" t="s">
        <v>75</v>
      </c>
      <c r="BB125" s="3" t="s">
        <v>1743</v>
      </c>
      <c r="BC125" s="3" t="s">
        <v>1744</v>
      </c>
      <c r="BD125" s="3" t="s">
        <v>1745</v>
      </c>
    </row>
    <row r="126" spans="1:56" ht="54" customHeight="1" x14ac:dyDescent="0.25">
      <c r="A126" s="7" t="s">
        <v>58</v>
      </c>
      <c r="B126" s="2" t="s">
        <v>1746</v>
      </c>
      <c r="C126" s="2" t="s">
        <v>1747</v>
      </c>
      <c r="D126" s="2" t="s">
        <v>1748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60</v>
      </c>
      <c r="K126" s="2" t="s">
        <v>1749</v>
      </c>
      <c r="L126" s="2" t="s">
        <v>1750</v>
      </c>
      <c r="M126" s="3" t="s">
        <v>932</v>
      </c>
      <c r="O126" s="3" t="s">
        <v>65</v>
      </c>
      <c r="P126" s="3" t="s">
        <v>66</v>
      </c>
      <c r="R126" s="3" t="s">
        <v>67</v>
      </c>
      <c r="S126" s="4">
        <v>14</v>
      </c>
      <c r="T126" s="4">
        <v>14</v>
      </c>
      <c r="U126" s="5" t="s">
        <v>1751</v>
      </c>
      <c r="V126" s="5" t="s">
        <v>1751</v>
      </c>
      <c r="W126" s="5" t="s">
        <v>725</v>
      </c>
      <c r="X126" s="5" t="s">
        <v>725</v>
      </c>
      <c r="Y126" s="4">
        <v>324</v>
      </c>
      <c r="Z126" s="4">
        <v>269</v>
      </c>
      <c r="AA126" s="4">
        <v>444</v>
      </c>
      <c r="AB126" s="4">
        <v>6</v>
      </c>
      <c r="AC126" s="4">
        <v>7</v>
      </c>
      <c r="AD126" s="4">
        <v>12</v>
      </c>
      <c r="AE126" s="4">
        <v>14</v>
      </c>
      <c r="AF126" s="4">
        <v>1</v>
      </c>
      <c r="AG126" s="4">
        <v>2</v>
      </c>
      <c r="AH126" s="4">
        <v>2</v>
      </c>
      <c r="AI126" s="4">
        <v>3</v>
      </c>
      <c r="AJ126" s="4">
        <v>4</v>
      </c>
      <c r="AK126" s="4">
        <v>4</v>
      </c>
      <c r="AL126" s="4">
        <v>5</v>
      </c>
      <c r="AM126" s="4">
        <v>5</v>
      </c>
      <c r="AN126" s="4">
        <v>0</v>
      </c>
      <c r="AO126" s="4">
        <v>0</v>
      </c>
      <c r="AP126" s="3" t="s">
        <v>58</v>
      </c>
      <c r="AQ126" s="3" t="s">
        <v>70</v>
      </c>
      <c r="AR126" s="6" t="str">
        <f>HYPERLINK("http://catalog.hathitrust.org/Record/000740184","HathiTrust Record")</f>
        <v>HathiTrust Record</v>
      </c>
      <c r="AS126" s="6" t="str">
        <f>HYPERLINK("https://creighton-primo.hosted.exlibrisgroup.com/primo-explore/search?tab=default_tab&amp;search_scope=EVERYTHING&amp;vid=01CRU&amp;lang=en_US&amp;offset=0&amp;query=any,contains,991004084419702656","Catalog Record")</f>
        <v>Catalog Record</v>
      </c>
      <c r="AT126" s="6" t="str">
        <f>HYPERLINK("http://www.worldcat.org/oclc/2331700","WorldCat Record")</f>
        <v>WorldCat Record</v>
      </c>
      <c r="AU126" s="3" t="s">
        <v>1752</v>
      </c>
      <c r="AV126" s="3" t="s">
        <v>1753</v>
      </c>
      <c r="AW126" s="3" t="s">
        <v>1754</v>
      </c>
      <c r="AX126" s="3" t="s">
        <v>1754</v>
      </c>
      <c r="AY126" s="3" t="s">
        <v>1755</v>
      </c>
      <c r="AZ126" s="3" t="s">
        <v>75</v>
      </c>
      <c r="BB126" s="3" t="s">
        <v>1756</v>
      </c>
      <c r="BC126" s="3" t="s">
        <v>1757</v>
      </c>
      <c r="BD126" s="3" t="s">
        <v>1758</v>
      </c>
    </row>
    <row r="127" spans="1:56" ht="54" customHeight="1" x14ac:dyDescent="0.25">
      <c r="A127" s="7" t="s">
        <v>58</v>
      </c>
      <c r="B127" s="2" t="s">
        <v>1759</v>
      </c>
      <c r="C127" s="2" t="s">
        <v>1760</v>
      </c>
      <c r="D127" s="2" t="s">
        <v>1761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60</v>
      </c>
      <c r="K127" s="2" t="s">
        <v>1762</v>
      </c>
      <c r="L127" s="2" t="s">
        <v>1763</v>
      </c>
      <c r="M127" s="3" t="s">
        <v>1123</v>
      </c>
      <c r="O127" s="3" t="s">
        <v>65</v>
      </c>
      <c r="P127" s="3" t="s">
        <v>66</v>
      </c>
      <c r="Q127" s="2" t="s">
        <v>1764</v>
      </c>
      <c r="R127" s="3" t="s">
        <v>67</v>
      </c>
      <c r="S127" s="4">
        <v>10</v>
      </c>
      <c r="T127" s="4">
        <v>10</v>
      </c>
      <c r="U127" s="5" t="s">
        <v>1765</v>
      </c>
      <c r="V127" s="5" t="s">
        <v>1765</v>
      </c>
      <c r="W127" s="5" t="s">
        <v>1766</v>
      </c>
      <c r="X127" s="5" t="s">
        <v>1766</v>
      </c>
      <c r="Y127" s="4">
        <v>302</v>
      </c>
      <c r="Z127" s="4">
        <v>287</v>
      </c>
      <c r="AA127" s="4">
        <v>392</v>
      </c>
      <c r="AB127" s="4">
        <v>2</v>
      </c>
      <c r="AC127" s="4">
        <v>3</v>
      </c>
      <c r="AD127" s="4">
        <v>3</v>
      </c>
      <c r="AE127" s="4">
        <v>5</v>
      </c>
      <c r="AF127" s="4">
        <v>1</v>
      </c>
      <c r="AG127" s="4">
        <v>2</v>
      </c>
      <c r="AH127" s="4">
        <v>1</v>
      </c>
      <c r="AI127" s="4">
        <v>2</v>
      </c>
      <c r="AJ127" s="4">
        <v>0</v>
      </c>
      <c r="AK127" s="4">
        <v>0</v>
      </c>
      <c r="AL127" s="4">
        <v>1</v>
      </c>
      <c r="AM127" s="4">
        <v>2</v>
      </c>
      <c r="AN127" s="4">
        <v>0</v>
      </c>
      <c r="AO127" s="4">
        <v>0</v>
      </c>
      <c r="AP127" s="3" t="s">
        <v>58</v>
      </c>
      <c r="AQ127" s="3" t="s">
        <v>70</v>
      </c>
      <c r="AR127" s="6" t="str">
        <f>HYPERLINK("http://catalog.hathitrust.org/Record/000343922","HathiTrust Record")</f>
        <v>HathiTrust Record</v>
      </c>
      <c r="AS127" s="6" t="str">
        <f>HYPERLINK("https://creighton-primo.hosted.exlibrisgroup.com/primo-explore/search?tab=default_tab&amp;search_scope=EVERYTHING&amp;vid=01CRU&amp;lang=en_US&amp;offset=0&amp;query=any,contains,991000533199702656","Catalog Record")</f>
        <v>Catalog Record</v>
      </c>
      <c r="AT127" s="6" t="str">
        <f>HYPERLINK("http://www.worldcat.org/oclc/11423918","WorldCat Record")</f>
        <v>WorldCat Record</v>
      </c>
      <c r="AU127" s="3" t="s">
        <v>1767</v>
      </c>
      <c r="AV127" s="3" t="s">
        <v>1768</v>
      </c>
      <c r="AW127" s="3" t="s">
        <v>1769</v>
      </c>
      <c r="AX127" s="3" t="s">
        <v>1769</v>
      </c>
      <c r="AY127" s="3" t="s">
        <v>1770</v>
      </c>
      <c r="AZ127" s="3" t="s">
        <v>75</v>
      </c>
      <c r="BB127" s="3" t="s">
        <v>1771</v>
      </c>
      <c r="BC127" s="3" t="s">
        <v>1772</v>
      </c>
      <c r="BD127" s="3" t="s">
        <v>1773</v>
      </c>
    </row>
    <row r="128" spans="1:56" ht="54" customHeight="1" x14ac:dyDescent="0.25">
      <c r="A128" s="7" t="s">
        <v>58</v>
      </c>
      <c r="B128" s="2" t="s">
        <v>1774</v>
      </c>
      <c r="C128" s="2" t="s">
        <v>1775</v>
      </c>
      <c r="D128" s="2" t="s">
        <v>1776</v>
      </c>
      <c r="F128" s="3" t="s">
        <v>58</v>
      </c>
      <c r="G128" s="3" t="s">
        <v>59</v>
      </c>
      <c r="H128" s="3" t="s">
        <v>58</v>
      </c>
      <c r="I128" s="3" t="s">
        <v>58</v>
      </c>
      <c r="J128" s="3" t="s">
        <v>60</v>
      </c>
      <c r="K128" s="2" t="s">
        <v>1777</v>
      </c>
      <c r="L128" s="2" t="s">
        <v>1778</v>
      </c>
      <c r="M128" s="3" t="s">
        <v>1407</v>
      </c>
      <c r="O128" s="3" t="s">
        <v>65</v>
      </c>
      <c r="P128" s="3" t="s">
        <v>1779</v>
      </c>
      <c r="Q128" s="2" t="s">
        <v>1780</v>
      </c>
      <c r="R128" s="3" t="s">
        <v>67</v>
      </c>
      <c r="S128" s="4">
        <v>2</v>
      </c>
      <c r="T128" s="4">
        <v>2</v>
      </c>
      <c r="U128" s="5" t="s">
        <v>1781</v>
      </c>
      <c r="V128" s="5" t="s">
        <v>1781</v>
      </c>
      <c r="W128" s="5" t="s">
        <v>1395</v>
      </c>
      <c r="X128" s="5" t="s">
        <v>1395</v>
      </c>
      <c r="Y128" s="4">
        <v>242</v>
      </c>
      <c r="Z128" s="4">
        <v>235</v>
      </c>
      <c r="AA128" s="4">
        <v>238</v>
      </c>
      <c r="AB128" s="4">
        <v>2</v>
      </c>
      <c r="AC128" s="4">
        <v>2</v>
      </c>
      <c r="AD128" s="4">
        <v>8</v>
      </c>
      <c r="AE128" s="4">
        <v>8</v>
      </c>
      <c r="AF128" s="4">
        <v>1</v>
      </c>
      <c r="AG128" s="4">
        <v>1</v>
      </c>
      <c r="AH128" s="4">
        <v>2</v>
      </c>
      <c r="AI128" s="4">
        <v>2</v>
      </c>
      <c r="AJ128" s="4">
        <v>5</v>
      </c>
      <c r="AK128" s="4">
        <v>5</v>
      </c>
      <c r="AL128" s="4">
        <v>1</v>
      </c>
      <c r="AM128" s="4">
        <v>1</v>
      </c>
      <c r="AN128" s="4">
        <v>0</v>
      </c>
      <c r="AO128" s="4">
        <v>0</v>
      </c>
      <c r="AP128" s="3" t="s">
        <v>58</v>
      </c>
      <c r="AQ128" s="3" t="s">
        <v>70</v>
      </c>
      <c r="AR128" s="6" t="str">
        <f>HYPERLINK("http://catalog.hathitrust.org/Record/004503131","HathiTrust Record")</f>
        <v>HathiTrust Record</v>
      </c>
      <c r="AS128" s="6" t="str">
        <f>HYPERLINK("https://creighton-primo.hosted.exlibrisgroup.com/primo-explore/search?tab=default_tab&amp;search_scope=EVERYTHING&amp;vid=01CRU&amp;lang=en_US&amp;offset=0&amp;query=any,contains,991004266419702656","Catalog Record")</f>
        <v>Catalog Record</v>
      </c>
      <c r="AT128" s="6" t="str">
        <f>HYPERLINK("http://www.worldcat.org/oclc/2867703","WorldCat Record")</f>
        <v>WorldCat Record</v>
      </c>
      <c r="AU128" s="3" t="s">
        <v>1782</v>
      </c>
      <c r="AV128" s="3" t="s">
        <v>1783</v>
      </c>
      <c r="AW128" s="3" t="s">
        <v>1784</v>
      </c>
      <c r="AX128" s="3" t="s">
        <v>1784</v>
      </c>
      <c r="AY128" s="3" t="s">
        <v>1785</v>
      </c>
      <c r="AZ128" s="3" t="s">
        <v>75</v>
      </c>
      <c r="BB128" s="3" t="s">
        <v>1786</v>
      </c>
      <c r="BC128" s="3" t="s">
        <v>1787</v>
      </c>
      <c r="BD128" s="3" t="s">
        <v>1788</v>
      </c>
    </row>
    <row r="129" spans="1:56" ht="54" customHeight="1" x14ac:dyDescent="0.25">
      <c r="A129" s="7" t="s">
        <v>58</v>
      </c>
      <c r="B129" s="2" t="s">
        <v>1789</v>
      </c>
      <c r="C129" s="2" t="s">
        <v>1790</v>
      </c>
      <c r="D129" s="2" t="s">
        <v>1791</v>
      </c>
      <c r="F129" s="3" t="s">
        <v>58</v>
      </c>
      <c r="G129" s="3" t="s">
        <v>59</v>
      </c>
      <c r="H129" s="3" t="s">
        <v>58</v>
      </c>
      <c r="I129" s="3" t="s">
        <v>58</v>
      </c>
      <c r="J129" s="3" t="s">
        <v>60</v>
      </c>
      <c r="K129" s="2" t="s">
        <v>1792</v>
      </c>
      <c r="L129" s="2" t="s">
        <v>1793</v>
      </c>
      <c r="M129" s="3" t="s">
        <v>160</v>
      </c>
      <c r="N129" s="2" t="s">
        <v>1393</v>
      </c>
      <c r="O129" s="3" t="s">
        <v>65</v>
      </c>
      <c r="P129" s="3" t="s">
        <v>66</v>
      </c>
      <c r="R129" s="3" t="s">
        <v>67</v>
      </c>
      <c r="S129" s="4">
        <v>10</v>
      </c>
      <c r="T129" s="4">
        <v>10</v>
      </c>
      <c r="U129" s="5" t="s">
        <v>1794</v>
      </c>
      <c r="V129" s="5" t="s">
        <v>1794</v>
      </c>
      <c r="W129" s="5" t="s">
        <v>1795</v>
      </c>
      <c r="X129" s="5" t="s">
        <v>1795</v>
      </c>
      <c r="Y129" s="4">
        <v>779</v>
      </c>
      <c r="Z129" s="4">
        <v>715</v>
      </c>
      <c r="AA129" s="4">
        <v>974</v>
      </c>
      <c r="AB129" s="4">
        <v>5</v>
      </c>
      <c r="AC129" s="4">
        <v>8</v>
      </c>
      <c r="AD129" s="4">
        <v>9</v>
      </c>
      <c r="AE129" s="4">
        <v>18</v>
      </c>
      <c r="AF129" s="4">
        <v>1</v>
      </c>
      <c r="AG129" s="4">
        <v>6</v>
      </c>
      <c r="AH129" s="4">
        <v>2</v>
      </c>
      <c r="AI129" s="4">
        <v>3</v>
      </c>
      <c r="AJ129" s="4">
        <v>4</v>
      </c>
      <c r="AK129" s="4">
        <v>5</v>
      </c>
      <c r="AL129" s="4">
        <v>3</v>
      </c>
      <c r="AM129" s="4">
        <v>5</v>
      </c>
      <c r="AN129" s="4">
        <v>0</v>
      </c>
      <c r="AO129" s="4">
        <v>0</v>
      </c>
      <c r="AP129" s="3" t="s">
        <v>58</v>
      </c>
      <c r="AQ129" s="3" t="s">
        <v>70</v>
      </c>
      <c r="AR129" s="6" t="str">
        <f>HYPERLINK("http://catalog.hathitrust.org/Record/001989507","HathiTrust Record")</f>
        <v>HathiTrust Record</v>
      </c>
      <c r="AS129" s="6" t="str">
        <f>HYPERLINK("https://creighton-primo.hosted.exlibrisgroup.com/primo-explore/search?tab=default_tab&amp;search_scope=EVERYTHING&amp;vid=01CRU&amp;lang=en_US&amp;offset=0&amp;query=any,contains,991003145559702656","Catalog Record")</f>
        <v>Catalog Record</v>
      </c>
      <c r="AT129" s="6" t="str">
        <f>HYPERLINK("http://www.worldcat.org/oclc/685903","WorldCat Record")</f>
        <v>WorldCat Record</v>
      </c>
      <c r="AU129" s="3" t="s">
        <v>1796</v>
      </c>
      <c r="AV129" s="3" t="s">
        <v>1797</v>
      </c>
      <c r="AW129" s="3" t="s">
        <v>1798</v>
      </c>
      <c r="AX129" s="3" t="s">
        <v>1798</v>
      </c>
      <c r="AY129" s="3" t="s">
        <v>1799</v>
      </c>
      <c r="AZ129" s="3" t="s">
        <v>75</v>
      </c>
      <c r="BC129" s="3" t="s">
        <v>1800</v>
      </c>
      <c r="BD129" s="3" t="s">
        <v>1801</v>
      </c>
    </row>
    <row r="130" spans="1:56" ht="54" customHeight="1" x14ac:dyDescent="0.25">
      <c r="A130" s="7" t="s">
        <v>58</v>
      </c>
      <c r="B130" s="2" t="s">
        <v>1802</v>
      </c>
      <c r="C130" s="2" t="s">
        <v>1803</v>
      </c>
      <c r="D130" s="2" t="s">
        <v>1804</v>
      </c>
      <c r="F130" s="3" t="s">
        <v>58</v>
      </c>
      <c r="G130" s="3" t="s">
        <v>59</v>
      </c>
      <c r="H130" s="3" t="s">
        <v>58</v>
      </c>
      <c r="I130" s="3" t="s">
        <v>58</v>
      </c>
      <c r="J130" s="3" t="s">
        <v>60</v>
      </c>
      <c r="K130" s="2" t="s">
        <v>1805</v>
      </c>
      <c r="L130" s="2" t="s">
        <v>1806</v>
      </c>
      <c r="M130" s="3" t="s">
        <v>372</v>
      </c>
      <c r="N130" s="2" t="s">
        <v>1807</v>
      </c>
      <c r="O130" s="3" t="s">
        <v>65</v>
      </c>
      <c r="P130" s="3" t="s">
        <v>66</v>
      </c>
      <c r="R130" s="3" t="s">
        <v>67</v>
      </c>
      <c r="S130" s="4">
        <v>12</v>
      </c>
      <c r="T130" s="4">
        <v>12</v>
      </c>
      <c r="U130" s="5" t="s">
        <v>1808</v>
      </c>
      <c r="V130" s="5" t="s">
        <v>1808</v>
      </c>
      <c r="W130" s="5" t="s">
        <v>1795</v>
      </c>
      <c r="X130" s="5" t="s">
        <v>1795</v>
      </c>
      <c r="Y130" s="4">
        <v>445</v>
      </c>
      <c r="Z130" s="4">
        <v>395</v>
      </c>
      <c r="AA130" s="4">
        <v>447</v>
      </c>
      <c r="AB130" s="4">
        <v>3</v>
      </c>
      <c r="AC130" s="4">
        <v>3</v>
      </c>
      <c r="AD130" s="4">
        <v>3</v>
      </c>
      <c r="AE130" s="4">
        <v>3</v>
      </c>
      <c r="AF130" s="4">
        <v>2</v>
      </c>
      <c r="AG130" s="4">
        <v>2</v>
      </c>
      <c r="AH130" s="4">
        <v>0</v>
      </c>
      <c r="AI130" s="4">
        <v>0</v>
      </c>
      <c r="AJ130" s="4">
        <v>0</v>
      </c>
      <c r="AK130" s="4">
        <v>0</v>
      </c>
      <c r="AL130" s="4">
        <v>1</v>
      </c>
      <c r="AM130" s="4">
        <v>1</v>
      </c>
      <c r="AN130" s="4">
        <v>0</v>
      </c>
      <c r="AO130" s="4">
        <v>0</v>
      </c>
      <c r="AP130" s="3" t="s">
        <v>58</v>
      </c>
      <c r="AQ130" s="3" t="s">
        <v>70</v>
      </c>
      <c r="AR130" s="6" t="str">
        <f>HYPERLINK("http://catalog.hathitrust.org/Record/001482762","HathiTrust Record")</f>
        <v>HathiTrust Record</v>
      </c>
      <c r="AS130" s="6" t="str">
        <f>HYPERLINK("https://creighton-primo.hosted.exlibrisgroup.com/primo-explore/search?tab=default_tab&amp;search_scope=EVERYTHING&amp;vid=01CRU&amp;lang=en_US&amp;offset=0&amp;query=any,contains,991002175069702656","Catalog Record")</f>
        <v>Catalog Record</v>
      </c>
      <c r="AT130" s="6" t="str">
        <f>HYPERLINK("http://www.worldcat.org/oclc/277891","WorldCat Record")</f>
        <v>WorldCat Record</v>
      </c>
      <c r="AU130" s="3" t="s">
        <v>1809</v>
      </c>
      <c r="AV130" s="3" t="s">
        <v>1810</v>
      </c>
      <c r="AW130" s="3" t="s">
        <v>1811</v>
      </c>
      <c r="AX130" s="3" t="s">
        <v>1811</v>
      </c>
      <c r="AY130" s="3" t="s">
        <v>1812</v>
      </c>
      <c r="AZ130" s="3" t="s">
        <v>75</v>
      </c>
      <c r="BB130" s="3" t="s">
        <v>1813</v>
      </c>
      <c r="BC130" s="3" t="s">
        <v>1814</v>
      </c>
      <c r="BD130" s="3" t="s">
        <v>1815</v>
      </c>
    </row>
    <row r="131" spans="1:56" ht="54" customHeight="1" x14ac:dyDescent="0.25">
      <c r="A131" s="7" t="s">
        <v>58</v>
      </c>
      <c r="B131" s="2" t="s">
        <v>1816</v>
      </c>
      <c r="C131" s="2" t="s">
        <v>1817</v>
      </c>
      <c r="D131" s="2" t="s">
        <v>1818</v>
      </c>
      <c r="F131" s="3" t="s">
        <v>58</v>
      </c>
      <c r="G131" s="3" t="s">
        <v>59</v>
      </c>
      <c r="H131" s="3" t="s">
        <v>58</v>
      </c>
      <c r="I131" s="3" t="s">
        <v>58</v>
      </c>
      <c r="J131" s="3" t="s">
        <v>60</v>
      </c>
      <c r="K131" s="2" t="s">
        <v>1819</v>
      </c>
      <c r="L131" s="2" t="s">
        <v>1820</v>
      </c>
      <c r="M131" s="3" t="s">
        <v>589</v>
      </c>
      <c r="O131" s="3" t="s">
        <v>65</v>
      </c>
      <c r="P131" s="3" t="s">
        <v>1821</v>
      </c>
      <c r="R131" s="3" t="s">
        <v>67</v>
      </c>
      <c r="S131" s="4">
        <v>1</v>
      </c>
      <c r="T131" s="4">
        <v>1</v>
      </c>
      <c r="U131" s="5" t="s">
        <v>1822</v>
      </c>
      <c r="V131" s="5" t="s">
        <v>1822</v>
      </c>
      <c r="W131" s="5" t="s">
        <v>1822</v>
      </c>
      <c r="X131" s="5" t="s">
        <v>1822</v>
      </c>
      <c r="Y131" s="4">
        <v>106</v>
      </c>
      <c r="Z131" s="4">
        <v>103</v>
      </c>
      <c r="AA131" s="4">
        <v>672</v>
      </c>
      <c r="AB131" s="4">
        <v>2</v>
      </c>
      <c r="AC131" s="4">
        <v>5</v>
      </c>
      <c r="AD131" s="4">
        <v>1</v>
      </c>
      <c r="AE131" s="4">
        <v>3</v>
      </c>
      <c r="AF131" s="4">
        <v>0</v>
      </c>
      <c r="AG131" s="4">
        <v>2</v>
      </c>
      <c r="AH131" s="4">
        <v>0</v>
      </c>
      <c r="AI131" s="4">
        <v>0</v>
      </c>
      <c r="AJ131" s="4">
        <v>0</v>
      </c>
      <c r="AK131" s="4">
        <v>2</v>
      </c>
      <c r="AL131" s="4">
        <v>1</v>
      </c>
      <c r="AM131" s="4">
        <v>1</v>
      </c>
      <c r="AN131" s="4">
        <v>0</v>
      </c>
      <c r="AO131" s="4">
        <v>0</v>
      </c>
      <c r="AP131" s="3" t="s">
        <v>58</v>
      </c>
      <c r="AQ131" s="3" t="s">
        <v>58</v>
      </c>
      <c r="AS131" s="6" t="str">
        <f>HYPERLINK("https://creighton-primo.hosted.exlibrisgroup.com/primo-explore/search?tab=default_tab&amp;search_scope=EVERYTHING&amp;vid=01CRU&amp;lang=en_US&amp;offset=0&amp;query=any,contains,991005349049702656","Catalog Record")</f>
        <v>Catalog Record</v>
      </c>
      <c r="AT131" s="6" t="str">
        <f>HYPERLINK("http://www.worldcat.org/oclc/32241634","WorldCat Record")</f>
        <v>WorldCat Record</v>
      </c>
      <c r="AU131" s="3" t="s">
        <v>1823</v>
      </c>
      <c r="AV131" s="3" t="s">
        <v>1824</v>
      </c>
      <c r="AW131" s="3" t="s">
        <v>1825</v>
      </c>
      <c r="AX131" s="3" t="s">
        <v>1825</v>
      </c>
      <c r="AY131" s="3" t="s">
        <v>1826</v>
      </c>
      <c r="AZ131" s="3" t="s">
        <v>75</v>
      </c>
      <c r="BB131" s="3" t="s">
        <v>1827</v>
      </c>
      <c r="BC131" s="3" t="s">
        <v>1828</v>
      </c>
      <c r="BD131" s="3" t="s">
        <v>1829</v>
      </c>
    </row>
    <row r="132" spans="1:56" ht="54" customHeight="1" x14ac:dyDescent="0.25">
      <c r="A132" s="7" t="s">
        <v>58</v>
      </c>
      <c r="B132" s="2" t="s">
        <v>1830</v>
      </c>
      <c r="C132" s="2" t="s">
        <v>1831</v>
      </c>
      <c r="D132" s="2" t="s">
        <v>1832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K132" s="2" t="s">
        <v>1805</v>
      </c>
      <c r="L132" s="2" t="s">
        <v>1833</v>
      </c>
      <c r="M132" s="3" t="s">
        <v>561</v>
      </c>
      <c r="O132" s="3" t="s">
        <v>65</v>
      </c>
      <c r="P132" s="3" t="s">
        <v>66</v>
      </c>
      <c r="R132" s="3" t="s">
        <v>67</v>
      </c>
      <c r="S132" s="4">
        <v>11</v>
      </c>
      <c r="T132" s="4">
        <v>11</v>
      </c>
      <c r="U132" s="5" t="s">
        <v>1834</v>
      </c>
      <c r="V132" s="5" t="s">
        <v>1834</v>
      </c>
      <c r="W132" s="5" t="s">
        <v>1835</v>
      </c>
      <c r="X132" s="5" t="s">
        <v>1835</v>
      </c>
      <c r="Y132" s="4">
        <v>700</v>
      </c>
      <c r="Z132" s="4">
        <v>642</v>
      </c>
      <c r="AA132" s="4">
        <v>653</v>
      </c>
      <c r="AB132" s="4">
        <v>4</v>
      </c>
      <c r="AC132" s="4">
        <v>5</v>
      </c>
      <c r="AD132" s="4">
        <v>11</v>
      </c>
      <c r="AE132" s="4">
        <v>11</v>
      </c>
      <c r="AF132" s="4">
        <v>4</v>
      </c>
      <c r="AG132" s="4">
        <v>4</v>
      </c>
      <c r="AH132" s="4">
        <v>0</v>
      </c>
      <c r="AI132" s="4">
        <v>0</v>
      </c>
      <c r="AJ132" s="4">
        <v>4</v>
      </c>
      <c r="AK132" s="4">
        <v>4</v>
      </c>
      <c r="AL132" s="4">
        <v>3</v>
      </c>
      <c r="AM132" s="4">
        <v>3</v>
      </c>
      <c r="AN132" s="4">
        <v>0</v>
      </c>
      <c r="AO132" s="4">
        <v>0</v>
      </c>
      <c r="AP132" s="3" t="s">
        <v>58</v>
      </c>
      <c r="AQ132" s="3" t="s">
        <v>70</v>
      </c>
      <c r="AR132" s="6" t="str">
        <f>HYPERLINK("http://catalog.hathitrust.org/Record/012274568","HathiTrust Record")</f>
        <v>HathiTrust Record</v>
      </c>
      <c r="AS132" s="6" t="str">
        <f>HYPERLINK("https://creighton-primo.hosted.exlibrisgroup.com/primo-explore/search?tab=default_tab&amp;search_scope=EVERYTHING&amp;vid=01CRU&amp;lang=en_US&amp;offset=0&amp;query=any,contains,991001222339702656","Catalog Record")</f>
        <v>Catalog Record</v>
      </c>
      <c r="AT132" s="6" t="str">
        <f>HYPERLINK("http://www.worldcat.org/oclc/197450","WorldCat Record")</f>
        <v>WorldCat Record</v>
      </c>
      <c r="AU132" s="3" t="s">
        <v>1836</v>
      </c>
      <c r="AV132" s="3" t="s">
        <v>1837</v>
      </c>
      <c r="AW132" s="3" t="s">
        <v>1838</v>
      </c>
      <c r="AX132" s="3" t="s">
        <v>1838</v>
      </c>
      <c r="AY132" s="3" t="s">
        <v>1839</v>
      </c>
      <c r="AZ132" s="3" t="s">
        <v>75</v>
      </c>
      <c r="BB132" s="3" t="s">
        <v>1840</v>
      </c>
      <c r="BC132" s="3" t="s">
        <v>1841</v>
      </c>
      <c r="BD132" s="3" t="s">
        <v>1842</v>
      </c>
    </row>
    <row r="133" spans="1:56" ht="54" customHeight="1" x14ac:dyDescent="0.25">
      <c r="A133" s="7" t="s">
        <v>58</v>
      </c>
      <c r="B133" s="2" t="s">
        <v>1843</v>
      </c>
      <c r="C133" s="2" t="s">
        <v>1844</v>
      </c>
      <c r="D133" s="2" t="s">
        <v>1845</v>
      </c>
      <c r="F133" s="3" t="s">
        <v>58</v>
      </c>
      <c r="G133" s="3" t="s">
        <v>59</v>
      </c>
      <c r="H133" s="3" t="s">
        <v>58</v>
      </c>
      <c r="I133" s="3" t="s">
        <v>58</v>
      </c>
      <c r="J133" s="3" t="s">
        <v>60</v>
      </c>
      <c r="K133" s="2" t="s">
        <v>1846</v>
      </c>
      <c r="L133" s="2" t="s">
        <v>1847</v>
      </c>
      <c r="M133" s="3" t="s">
        <v>1848</v>
      </c>
      <c r="O133" s="3" t="s">
        <v>65</v>
      </c>
      <c r="P133" s="3" t="s">
        <v>66</v>
      </c>
      <c r="R133" s="3" t="s">
        <v>67</v>
      </c>
      <c r="S133" s="4">
        <v>1</v>
      </c>
      <c r="T133" s="4">
        <v>1</v>
      </c>
      <c r="U133" s="5" t="s">
        <v>1849</v>
      </c>
      <c r="V133" s="5" t="s">
        <v>1849</v>
      </c>
      <c r="W133" s="5" t="s">
        <v>1395</v>
      </c>
      <c r="X133" s="5" t="s">
        <v>1395</v>
      </c>
      <c r="Y133" s="4">
        <v>284</v>
      </c>
      <c r="Z133" s="4">
        <v>270</v>
      </c>
      <c r="AA133" s="4">
        <v>287</v>
      </c>
      <c r="AB133" s="4">
        <v>5</v>
      </c>
      <c r="AC133" s="4">
        <v>5</v>
      </c>
      <c r="AD133" s="4">
        <v>9</v>
      </c>
      <c r="AE133" s="4">
        <v>9</v>
      </c>
      <c r="AF133" s="4">
        <v>4</v>
      </c>
      <c r="AG133" s="4">
        <v>4</v>
      </c>
      <c r="AH133" s="4">
        <v>2</v>
      </c>
      <c r="AI133" s="4">
        <v>2</v>
      </c>
      <c r="AJ133" s="4">
        <v>1</v>
      </c>
      <c r="AK133" s="4">
        <v>1</v>
      </c>
      <c r="AL133" s="4">
        <v>3</v>
      </c>
      <c r="AM133" s="4">
        <v>3</v>
      </c>
      <c r="AN133" s="4">
        <v>0</v>
      </c>
      <c r="AO133" s="4">
        <v>0</v>
      </c>
      <c r="AP133" s="3" t="s">
        <v>58</v>
      </c>
      <c r="AQ133" s="3" t="s">
        <v>70</v>
      </c>
      <c r="AR133" s="6" t="str">
        <f>HYPERLINK("http://catalog.hathitrust.org/Record/005822228","HathiTrust Record")</f>
        <v>HathiTrust Record</v>
      </c>
      <c r="AS133" s="6" t="str">
        <f>HYPERLINK("https://creighton-primo.hosted.exlibrisgroup.com/primo-explore/search?tab=default_tab&amp;search_scope=EVERYTHING&amp;vid=01CRU&amp;lang=en_US&amp;offset=0&amp;query=any,contains,991003724919702656","Catalog Record")</f>
        <v>Catalog Record</v>
      </c>
      <c r="AT133" s="6" t="str">
        <f>HYPERLINK("http://www.worldcat.org/oclc/1371231","WorldCat Record")</f>
        <v>WorldCat Record</v>
      </c>
      <c r="AU133" s="3" t="s">
        <v>1850</v>
      </c>
      <c r="AV133" s="3" t="s">
        <v>1851</v>
      </c>
      <c r="AW133" s="3" t="s">
        <v>1852</v>
      </c>
      <c r="AX133" s="3" t="s">
        <v>1852</v>
      </c>
      <c r="AY133" s="3" t="s">
        <v>1853</v>
      </c>
      <c r="AZ133" s="3" t="s">
        <v>75</v>
      </c>
      <c r="BC133" s="3" t="s">
        <v>1854</v>
      </c>
      <c r="BD133" s="3" t="s">
        <v>1855</v>
      </c>
    </row>
    <row r="134" spans="1:56" ht="54" customHeight="1" x14ac:dyDescent="0.25">
      <c r="A134" s="7" t="s">
        <v>58</v>
      </c>
      <c r="B134" s="2" t="s">
        <v>1856</v>
      </c>
      <c r="C134" s="2" t="s">
        <v>1857</v>
      </c>
      <c r="D134" s="2" t="s">
        <v>1858</v>
      </c>
      <c r="F134" s="3" t="s">
        <v>58</v>
      </c>
      <c r="G134" s="3" t="s">
        <v>59</v>
      </c>
      <c r="H134" s="3" t="s">
        <v>58</v>
      </c>
      <c r="I134" s="3" t="s">
        <v>58</v>
      </c>
      <c r="J134" s="3" t="s">
        <v>60</v>
      </c>
      <c r="K134" s="2" t="s">
        <v>1859</v>
      </c>
      <c r="L134" s="2" t="s">
        <v>1860</v>
      </c>
      <c r="M134" s="3" t="s">
        <v>658</v>
      </c>
      <c r="O134" s="3" t="s">
        <v>65</v>
      </c>
      <c r="P134" s="3" t="s">
        <v>66</v>
      </c>
      <c r="R134" s="3" t="s">
        <v>67</v>
      </c>
      <c r="S134" s="4">
        <v>7</v>
      </c>
      <c r="T134" s="4">
        <v>7</v>
      </c>
      <c r="U134" s="5" t="s">
        <v>1849</v>
      </c>
      <c r="V134" s="5" t="s">
        <v>1849</v>
      </c>
      <c r="W134" s="5" t="s">
        <v>1861</v>
      </c>
      <c r="X134" s="5" t="s">
        <v>1861</v>
      </c>
      <c r="Y134" s="4">
        <v>592</v>
      </c>
      <c r="Z134" s="4">
        <v>507</v>
      </c>
      <c r="AA134" s="4">
        <v>646</v>
      </c>
      <c r="AB134" s="4">
        <v>3</v>
      </c>
      <c r="AC134" s="4">
        <v>3</v>
      </c>
      <c r="AD134" s="4">
        <v>5</v>
      </c>
      <c r="AE134" s="4">
        <v>7</v>
      </c>
      <c r="AF134" s="4">
        <v>1</v>
      </c>
      <c r="AG134" s="4">
        <v>2</v>
      </c>
      <c r="AH134" s="4">
        <v>0</v>
      </c>
      <c r="AI134" s="4">
        <v>1</v>
      </c>
      <c r="AJ134" s="4">
        <v>2</v>
      </c>
      <c r="AK134" s="4">
        <v>2</v>
      </c>
      <c r="AL134" s="4">
        <v>2</v>
      </c>
      <c r="AM134" s="4">
        <v>2</v>
      </c>
      <c r="AN134" s="4">
        <v>0</v>
      </c>
      <c r="AO134" s="4">
        <v>0</v>
      </c>
      <c r="AP134" s="3" t="s">
        <v>58</v>
      </c>
      <c r="AQ134" s="3" t="s">
        <v>70</v>
      </c>
      <c r="AR134" s="6" t="str">
        <f>HYPERLINK("http://catalog.hathitrust.org/Record/007961452","HathiTrust Record")</f>
        <v>HathiTrust Record</v>
      </c>
      <c r="AS134" s="6" t="str">
        <f>HYPERLINK("https://creighton-primo.hosted.exlibrisgroup.com/primo-explore/search?tab=default_tab&amp;search_scope=EVERYTHING&amp;vid=01CRU&amp;lang=en_US&amp;offset=0&amp;query=any,contains,991003618379702656","Catalog Record")</f>
        <v>Catalog Record</v>
      </c>
      <c r="AT134" s="6" t="str">
        <f>HYPERLINK("http://www.worldcat.org/oclc/1205044","WorldCat Record")</f>
        <v>WorldCat Record</v>
      </c>
      <c r="AU134" s="3" t="s">
        <v>1862</v>
      </c>
      <c r="AV134" s="3" t="s">
        <v>1863</v>
      </c>
      <c r="AW134" s="3" t="s">
        <v>1864</v>
      </c>
      <c r="AX134" s="3" t="s">
        <v>1864</v>
      </c>
      <c r="AY134" s="3" t="s">
        <v>1865</v>
      </c>
      <c r="AZ134" s="3" t="s">
        <v>75</v>
      </c>
      <c r="BB134" s="3" t="s">
        <v>1866</v>
      </c>
      <c r="BC134" s="3" t="s">
        <v>1867</v>
      </c>
      <c r="BD134" s="3" t="s">
        <v>1868</v>
      </c>
    </row>
    <row r="135" spans="1:56" ht="54" customHeight="1" x14ac:dyDescent="0.25">
      <c r="A135" s="7" t="s">
        <v>58</v>
      </c>
      <c r="B135" s="2" t="s">
        <v>1869</v>
      </c>
      <c r="C135" s="2" t="s">
        <v>1870</v>
      </c>
      <c r="D135" s="2" t="s">
        <v>1871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K135" s="2" t="s">
        <v>1872</v>
      </c>
      <c r="L135" s="2" t="s">
        <v>1873</v>
      </c>
      <c r="M135" s="3" t="s">
        <v>234</v>
      </c>
      <c r="O135" s="3" t="s">
        <v>65</v>
      </c>
      <c r="P135" s="3" t="s">
        <v>66</v>
      </c>
      <c r="R135" s="3" t="s">
        <v>67</v>
      </c>
      <c r="S135" s="4">
        <v>3</v>
      </c>
      <c r="T135" s="4">
        <v>3</v>
      </c>
      <c r="U135" s="5" t="s">
        <v>1874</v>
      </c>
      <c r="V135" s="5" t="s">
        <v>1874</v>
      </c>
      <c r="W135" s="5" t="s">
        <v>477</v>
      </c>
      <c r="X135" s="5" t="s">
        <v>477</v>
      </c>
      <c r="Y135" s="4">
        <v>378</v>
      </c>
      <c r="Z135" s="4">
        <v>334</v>
      </c>
      <c r="AA135" s="4">
        <v>376</v>
      </c>
      <c r="AB135" s="4">
        <v>3</v>
      </c>
      <c r="AC135" s="4">
        <v>4</v>
      </c>
      <c r="AD135" s="4">
        <v>4</v>
      </c>
      <c r="AE135" s="4">
        <v>5</v>
      </c>
      <c r="AF135" s="4">
        <v>0</v>
      </c>
      <c r="AG135" s="4">
        <v>1</v>
      </c>
      <c r="AH135" s="4">
        <v>1</v>
      </c>
      <c r="AI135" s="4">
        <v>1</v>
      </c>
      <c r="AJ135" s="4">
        <v>1</v>
      </c>
      <c r="AK135" s="4">
        <v>1</v>
      </c>
      <c r="AL135" s="4">
        <v>2</v>
      </c>
      <c r="AM135" s="4">
        <v>2</v>
      </c>
      <c r="AN135" s="4">
        <v>0</v>
      </c>
      <c r="AO135" s="4">
        <v>0</v>
      </c>
      <c r="AP135" s="3" t="s">
        <v>58</v>
      </c>
      <c r="AQ135" s="3" t="s">
        <v>70</v>
      </c>
      <c r="AR135" s="6" t="str">
        <f>HYPERLINK("http://catalog.hathitrust.org/Record/004503744","HathiTrust Record")</f>
        <v>HathiTrust Record</v>
      </c>
      <c r="AS135" s="6" t="str">
        <f>HYPERLINK("https://creighton-primo.hosted.exlibrisgroup.com/primo-explore/search?tab=default_tab&amp;search_scope=EVERYTHING&amp;vid=01CRU&amp;lang=en_US&amp;offset=0&amp;query=any,contains,991005130579702656","Catalog Record")</f>
        <v>Catalog Record</v>
      </c>
      <c r="AT135" s="6" t="str">
        <f>HYPERLINK("http://www.worldcat.org/oclc/7572169","WorldCat Record")</f>
        <v>WorldCat Record</v>
      </c>
      <c r="AU135" s="3" t="s">
        <v>1875</v>
      </c>
      <c r="AV135" s="3" t="s">
        <v>1876</v>
      </c>
      <c r="AW135" s="3" t="s">
        <v>1877</v>
      </c>
      <c r="AX135" s="3" t="s">
        <v>1877</v>
      </c>
      <c r="AY135" s="3" t="s">
        <v>1878</v>
      </c>
      <c r="AZ135" s="3" t="s">
        <v>75</v>
      </c>
      <c r="BB135" s="3" t="s">
        <v>1879</v>
      </c>
      <c r="BC135" s="3" t="s">
        <v>1880</v>
      </c>
      <c r="BD135" s="3" t="s">
        <v>1881</v>
      </c>
    </row>
    <row r="136" spans="1:56" ht="54" customHeight="1" x14ac:dyDescent="0.25">
      <c r="A136" s="7" t="s">
        <v>58</v>
      </c>
      <c r="B136" s="2" t="s">
        <v>1882</v>
      </c>
      <c r="C136" s="2" t="s">
        <v>1883</v>
      </c>
      <c r="D136" s="2" t="s">
        <v>1884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K136" s="2" t="s">
        <v>1885</v>
      </c>
      <c r="L136" s="2" t="s">
        <v>1886</v>
      </c>
      <c r="M136" s="3" t="s">
        <v>1123</v>
      </c>
      <c r="O136" s="3" t="s">
        <v>65</v>
      </c>
      <c r="P136" s="3" t="s">
        <v>66</v>
      </c>
      <c r="R136" s="3" t="s">
        <v>67</v>
      </c>
      <c r="S136" s="4">
        <v>3</v>
      </c>
      <c r="T136" s="4">
        <v>3</v>
      </c>
      <c r="U136" s="5" t="s">
        <v>1887</v>
      </c>
      <c r="V136" s="5" t="s">
        <v>1887</v>
      </c>
      <c r="W136" s="5" t="s">
        <v>563</v>
      </c>
      <c r="X136" s="5" t="s">
        <v>563</v>
      </c>
      <c r="Y136" s="4">
        <v>769</v>
      </c>
      <c r="Z136" s="4">
        <v>692</v>
      </c>
      <c r="AA136" s="4">
        <v>701</v>
      </c>
      <c r="AB136" s="4">
        <v>3</v>
      </c>
      <c r="AC136" s="4">
        <v>3</v>
      </c>
      <c r="AD136" s="4">
        <v>15</v>
      </c>
      <c r="AE136" s="4">
        <v>16</v>
      </c>
      <c r="AF136" s="4">
        <v>8</v>
      </c>
      <c r="AG136" s="4">
        <v>9</v>
      </c>
      <c r="AH136" s="4">
        <v>5</v>
      </c>
      <c r="AI136" s="4">
        <v>5</v>
      </c>
      <c r="AJ136" s="4">
        <v>6</v>
      </c>
      <c r="AK136" s="4">
        <v>6</v>
      </c>
      <c r="AL136" s="4">
        <v>2</v>
      </c>
      <c r="AM136" s="4">
        <v>2</v>
      </c>
      <c r="AN136" s="4">
        <v>0</v>
      </c>
      <c r="AO136" s="4">
        <v>0</v>
      </c>
      <c r="AP136" s="3" t="s">
        <v>58</v>
      </c>
      <c r="AQ136" s="3" t="s">
        <v>70</v>
      </c>
      <c r="AR136" s="6" t="str">
        <f>HYPERLINK("http://catalog.hathitrust.org/Record/000785122","HathiTrust Record")</f>
        <v>HathiTrust Record</v>
      </c>
      <c r="AS136" s="6" t="str">
        <f>HYPERLINK("https://creighton-primo.hosted.exlibrisgroup.com/primo-explore/search?tab=default_tab&amp;search_scope=EVERYTHING&amp;vid=01CRU&amp;lang=en_US&amp;offset=0&amp;query=any,contains,991000342639702656","Catalog Record")</f>
        <v>Catalog Record</v>
      </c>
      <c r="AT136" s="6" t="str">
        <f>HYPERLINK("http://www.worldcat.org/oclc/10274975","WorldCat Record")</f>
        <v>WorldCat Record</v>
      </c>
      <c r="AU136" s="3" t="s">
        <v>1888</v>
      </c>
      <c r="AV136" s="3" t="s">
        <v>1889</v>
      </c>
      <c r="AW136" s="3" t="s">
        <v>1890</v>
      </c>
      <c r="AX136" s="3" t="s">
        <v>1890</v>
      </c>
      <c r="AY136" s="3" t="s">
        <v>1891</v>
      </c>
      <c r="AZ136" s="3" t="s">
        <v>75</v>
      </c>
      <c r="BB136" s="3" t="s">
        <v>1892</v>
      </c>
      <c r="BC136" s="3" t="s">
        <v>1893</v>
      </c>
      <c r="BD136" s="3" t="s">
        <v>1894</v>
      </c>
    </row>
    <row r="137" spans="1:56" ht="54" customHeight="1" x14ac:dyDescent="0.25">
      <c r="A137" s="7" t="s">
        <v>58</v>
      </c>
      <c r="B137" s="2" t="s">
        <v>1895</v>
      </c>
      <c r="C137" s="2" t="s">
        <v>1896</v>
      </c>
      <c r="D137" s="2" t="s">
        <v>1897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K137" s="2" t="s">
        <v>1898</v>
      </c>
      <c r="L137" s="2" t="s">
        <v>1750</v>
      </c>
      <c r="M137" s="3" t="s">
        <v>932</v>
      </c>
      <c r="O137" s="3" t="s">
        <v>65</v>
      </c>
      <c r="P137" s="3" t="s">
        <v>66</v>
      </c>
      <c r="R137" s="3" t="s">
        <v>67</v>
      </c>
      <c r="S137" s="4">
        <v>4</v>
      </c>
      <c r="T137" s="4">
        <v>4</v>
      </c>
      <c r="U137" s="5" t="s">
        <v>1849</v>
      </c>
      <c r="V137" s="5" t="s">
        <v>1849</v>
      </c>
      <c r="W137" s="5" t="s">
        <v>1899</v>
      </c>
      <c r="X137" s="5" t="s">
        <v>1899</v>
      </c>
      <c r="Y137" s="4">
        <v>345</v>
      </c>
      <c r="Z137" s="4">
        <v>310</v>
      </c>
      <c r="AA137" s="4">
        <v>320</v>
      </c>
      <c r="AB137" s="4">
        <v>3</v>
      </c>
      <c r="AC137" s="4">
        <v>3</v>
      </c>
      <c r="AD137" s="4">
        <v>3</v>
      </c>
      <c r="AE137" s="4">
        <v>3</v>
      </c>
      <c r="AF137" s="4">
        <v>0</v>
      </c>
      <c r="AG137" s="4">
        <v>0</v>
      </c>
      <c r="AH137" s="4">
        <v>0</v>
      </c>
      <c r="AI137" s="4">
        <v>0</v>
      </c>
      <c r="AJ137" s="4">
        <v>1</v>
      </c>
      <c r="AK137" s="4">
        <v>1</v>
      </c>
      <c r="AL137" s="4">
        <v>2</v>
      </c>
      <c r="AM137" s="4">
        <v>2</v>
      </c>
      <c r="AN137" s="4">
        <v>0</v>
      </c>
      <c r="AO137" s="4">
        <v>0</v>
      </c>
      <c r="AP137" s="3" t="s">
        <v>58</v>
      </c>
      <c r="AQ137" s="3" t="s">
        <v>70</v>
      </c>
      <c r="AR137" s="6" t="str">
        <f>HYPERLINK("http://catalog.hathitrust.org/Record/000716243","HathiTrust Record")</f>
        <v>HathiTrust Record</v>
      </c>
      <c r="AS137" s="6" t="str">
        <f>HYPERLINK("https://creighton-primo.hosted.exlibrisgroup.com/primo-explore/search?tab=default_tab&amp;search_scope=EVERYTHING&amp;vid=01CRU&amp;lang=en_US&amp;offset=0&amp;query=any,contains,991003959639702656","Catalog Record")</f>
        <v>Catalog Record</v>
      </c>
      <c r="AT137" s="6" t="str">
        <f>HYPERLINK("http://www.worldcat.org/oclc/1974142","WorldCat Record")</f>
        <v>WorldCat Record</v>
      </c>
      <c r="AU137" s="3" t="s">
        <v>1900</v>
      </c>
      <c r="AV137" s="3" t="s">
        <v>1901</v>
      </c>
      <c r="AW137" s="3" t="s">
        <v>1902</v>
      </c>
      <c r="AX137" s="3" t="s">
        <v>1902</v>
      </c>
      <c r="AY137" s="3" t="s">
        <v>1903</v>
      </c>
      <c r="AZ137" s="3" t="s">
        <v>75</v>
      </c>
      <c r="BB137" s="3" t="s">
        <v>1904</v>
      </c>
      <c r="BC137" s="3" t="s">
        <v>1905</v>
      </c>
      <c r="BD137" s="3" t="s">
        <v>1906</v>
      </c>
    </row>
    <row r="138" spans="1:56" ht="54" customHeight="1" x14ac:dyDescent="0.25">
      <c r="A138" s="7" t="s">
        <v>58</v>
      </c>
      <c r="B138" s="2" t="s">
        <v>1907</v>
      </c>
      <c r="C138" s="2" t="s">
        <v>1908</v>
      </c>
      <c r="D138" s="2" t="s">
        <v>1909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K138" s="2" t="s">
        <v>1910</v>
      </c>
      <c r="L138" s="2" t="s">
        <v>1911</v>
      </c>
      <c r="M138" s="3" t="s">
        <v>658</v>
      </c>
      <c r="O138" s="3" t="s">
        <v>65</v>
      </c>
      <c r="P138" s="3" t="s">
        <v>737</v>
      </c>
      <c r="R138" s="3" t="s">
        <v>67</v>
      </c>
      <c r="S138" s="4">
        <v>15</v>
      </c>
      <c r="T138" s="4">
        <v>15</v>
      </c>
      <c r="U138" s="5" t="s">
        <v>1196</v>
      </c>
      <c r="V138" s="5" t="s">
        <v>1196</v>
      </c>
      <c r="W138" s="5" t="s">
        <v>477</v>
      </c>
      <c r="X138" s="5" t="s">
        <v>477</v>
      </c>
      <c r="Y138" s="4">
        <v>930</v>
      </c>
      <c r="Z138" s="4">
        <v>860</v>
      </c>
      <c r="AA138" s="4">
        <v>895</v>
      </c>
      <c r="AB138" s="4">
        <v>7</v>
      </c>
      <c r="AC138" s="4">
        <v>7</v>
      </c>
      <c r="AD138" s="4">
        <v>15</v>
      </c>
      <c r="AE138" s="4">
        <v>16</v>
      </c>
      <c r="AF138" s="4">
        <v>4</v>
      </c>
      <c r="AG138" s="4">
        <v>5</v>
      </c>
      <c r="AH138" s="4">
        <v>2</v>
      </c>
      <c r="AI138" s="4">
        <v>3</v>
      </c>
      <c r="AJ138" s="4">
        <v>5</v>
      </c>
      <c r="AK138" s="4">
        <v>5</v>
      </c>
      <c r="AL138" s="4">
        <v>5</v>
      </c>
      <c r="AM138" s="4">
        <v>5</v>
      </c>
      <c r="AN138" s="4">
        <v>0</v>
      </c>
      <c r="AO138" s="4">
        <v>0</v>
      </c>
      <c r="AP138" s="3" t="s">
        <v>58</v>
      </c>
      <c r="AQ138" s="3" t="s">
        <v>70</v>
      </c>
      <c r="AR138" s="6" t="str">
        <f>HYPERLINK("http://catalog.hathitrust.org/Record/000025270","HathiTrust Record")</f>
        <v>HathiTrust Record</v>
      </c>
      <c r="AS138" s="6" t="str">
        <f>HYPERLINK("https://creighton-primo.hosted.exlibrisgroup.com/primo-explore/search?tab=default_tab&amp;search_scope=EVERYTHING&amp;vid=01CRU&amp;lang=en_US&amp;offset=0&amp;query=any,contains,991003650499702656","Catalog Record")</f>
        <v>Catalog Record</v>
      </c>
      <c r="AT138" s="6" t="str">
        <f>HYPERLINK("http://www.worldcat.org/oclc/1254067","WorldCat Record")</f>
        <v>WorldCat Record</v>
      </c>
      <c r="AU138" s="3" t="s">
        <v>1912</v>
      </c>
      <c r="AV138" s="3" t="s">
        <v>1913</v>
      </c>
      <c r="AW138" s="3" t="s">
        <v>1914</v>
      </c>
      <c r="AX138" s="3" t="s">
        <v>1914</v>
      </c>
      <c r="AY138" s="3" t="s">
        <v>1915</v>
      </c>
      <c r="AZ138" s="3" t="s">
        <v>75</v>
      </c>
      <c r="BB138" s="3" t="s">
        <v>1916</v>
      </c>
      <c r="BC138" s="3" t="s">
        <v>1917</v>
      </c>
      <c r="BD138" s="3" t="s">
        <v>1918</v>
      </c>
    </row>
    <row r="139" spans="1:56" ht="54" customHeight="1" x14ac:dyDescent="0.25">
      <c r="A139" s="7" t="s">
        <v>58</v>
      </c>
      <c r="B139" s="2" t="s">
        <v>1919</v>
      </c>
      <c r="C139" s="2" t="s">
        <v>1920</v>
      </c>
      <c r="D139" s="2" t="s">
        <v>1921</v>
      </c>
      <c r="F139" s="3" t="s">
        <v>58</v>
      </c>
      <c r="G139" s="3" t="s">
        <v>59</v>
      </c>
      <c r="H139" s="3" t="s">
        <v>58</v>
      </c>
      <c r="I139" s="3" t="s">
        <v>58</v>
      </c>
      <c r="J139" s="3" t="s">
        <v>60</v>
      </c>
      <c r="K139" s="2" t="s">
        <v>1922</v>
      </c>
      <c r="L139" s="2" t="s">
        <v>1923</v>
      </c>
      <c r="M139" s="3" t="s">
        <v>711</v>
      </c>
      <c r="N139" s="2" t="s">
        <v>1924</v>
      </c>
      <c r="O139" s="3" t="s">
        <v>65</v>
      </c>
      <c r="P139" s="3" t="s">
        <v>66</v>
      </c>
      <c r="R139" s="3" t="s">
        <v>67</v>
      </c>
      <c r="S139" s="4">
        <v>3</v>
      </c>
      <c r="T139" s="4">
        <v>3</v>
      </c>
      <c r="U139" s="5" t="s">
        <v>1925</v>
      </c>
      <c r="V139" s="5" t="s">
        <v>1925</v>
      </c>
      <c r="W139" s="5" t="s">
        <v>1395</v>
      </c>
      <c r="X139" s="5" t="s">
        <v>1395</v>
      </c>
      <c r="Y139" s="4">
        <v>371</v>
      </c>
      <c r="Z139" s="4">
        <v>337</v>
      </c>
      <c r="AA139" s="4">
        <v>510</v>
      </c>
      <c r="AB139" s="4">
        <v>6</v>
      </c>
      <c r="AC139" s="4">
        <v>6</v>
      </c>
      <c r="AD139" s="4">
        <v>5</v>
      </c>
      <c r="AE139" s="4">
        <v>9</v>
      </c>
      <c r="AF139" s="4">
        <v>1</v>
      </c>
      <c r="AG139" s="4">
        <v>3</v>
      </c>
      <c r="AH139" s="4">
        <v>1</v>
      </c>
      <c r="AI139" s="4">
        <v>1</v>
      </c>
      <c r="AJ139" s="4">
        <v>1</v>
      </c>
      <c r="AK139" s="4">
        <v>3</v>
      </c>
      <c r="AL139" s="4">
        <v>2</v>
      </c>
      <c r="AM139" s="4">
        <v>2</v>
      </c>
      <c r="AN139" s="4">
        <v>0</v>
      </c>
      <c r="AO139" s="4">
        <v>0</v>
      </c>
      <c r="AP139" s="3" t="s">
        <v>58</v>
      </c>
      <c r="AQ139" s="3" t="s">
        <v>58</v>
      </c>
      <c r="AS139" s="6" t="str">
        <f>HYPERLINK("https://creighton-primo.hosted.exlibrisgroup.com/primo-explore/search?tab=default_tab&amp;search_scope=EVERYTHING&amp;vid=01CRU&amp;lang=en_US&amp;offset=0&amp;query=any,contains,991002033309702656","Catalog Record")</f>
        <v>Catalog Record</v>
      </c>
      <c r="AT139" s="6" t="str">
        <f>HYPERLINK("http://www.worldcat.org/oclc/260273","WorldCat Record")</f>
        <v>WorldCat Record</v>
      </c>
      <c r="AU139" s="3" t="s">
        <v>1926</v>
      </c>
      <c r="AV139" s="3" t="s">
        <v>1927</v>
      </c>
      <c r="AW139" s="3" t="s">
        <v>1928</v>
      </c>
      <c r="AX139" s="3" t="s">
        <v>1928</v>
      </c>
      <c r="AY139" s="3" t="s">
        <v>1929</v>
      </c>
      <c r="AZ139" s="3" t="s">
        <v>75</v>
      </c>
      <c r="BC139" s="3" t="s">
        <v>1930</v>
      </c>
      <c r="BD139" s="3" t="s">
        <v>1931</v>
      </c>
    </row>
    <row r="140" spans="1:56" ht="54" customHeight="1" x14ac:dyDescent="0.25">
      <c r="A140" s="7" t="s">
        <v>58</v>
      </c>
      <c r="B140" s="2" t="s">
        <v>1932</v>
      </c>
      <c r="C140" s="2" t="s">
        <v>1933</v>
      </c>
      <c r="D140" s="2" t="s">
        <v>1934</v>
      </c>
      <c r="F140" s="3" t="s">
        <v>58</v>
      </c>
      <c r="G140" s="3" t="s">
        <v>59</v>
      </c>
      <c r="H140" s="3" t="s">
        <v>58</v>
      </c>
      <c r="I140" s="3" t="s">
        <v>58</v>
      </c>
      <c r="J140" s="3" t="s">
        <v>60</v>
      </c>
      <c r="K140" s="2" t="s">
        <v>1935</v>
      </c>
      <c r="L140" s="2" t="s">
        <v>1936</v>
      </c>
      <c r="M140" s="3" t="s">
        <v>489</v>
      </c>
      <c r="O140" s="3" t="s">
        <v>65</v>
      </c>
      <c r="P140" s="3" t="s">
        <v>66</v>
      </c>
      <c r="R140" s="3" t="s">
        <v>67</v>
      </c>
      <c r="S140" s="4">
        <v>9</v>
      </c>
      <c r="T140" s="4">
        <v>9</v>
      </c>
      <c r="U140" s="5" t="s">
        <v>1937</v>
      </c>
      <c r="V140" s="5" t="s">
        <v>1937</v>
      </c>
      <c r="W140" s="5" t="s">
        <v>1938</v>
      </c>
      <c r="X140" s="5" t="s">
        <v>1938</v>
      </c>
      <c r="Y140" s="4">
        <v>343</v>
      </c>
      <c r="Z140" s="4">
        <v>261</v>
      </c>
      <c r="AA140" s="4">
        <v>329</v>
      </c>
      <c r="AB140" s="4">
        <v>3</v>
      </c>
      <c r="AC140" s="4">
        <v>4</v>
      </c>
      <c r="AD140" s="4">
        <v>5</v>
      </c>
      <c r="AE140" s="4">
        <v>5</v>
      </c>
      <c r="AF140" s="4">
        <v>1</v>
      </c>
      <c r="AG140" s="4">
        <v>1</v>
      </c>
      <c r="AH140" s="4">
        <v>1</v>
      </c>
      <c r="AI140" s="4">
        <v>1</v>
      </c>
      <c r="AJ140" s="4">
        <v>1</v>
      </c>
      <c r="AK140" s="4">
        <v>1</v>
      </c>
      <c r="AL140" s="4">
        <v>2</v>
      </c>
      <c r="AM140" s="4">
        <v>2</v>
      </c>
      <c r="AN140" s="4">
        <v>0</v>
      </c>
      <c r="AO140" s="4">
        <v>0</v>
      </c>
      <c r="AP140" s="3" t="s">
        <v>58</v>
      </c>
      <c r="AQ140" s="3" t="s">
        <v>70</v>
      </c>
      <c r="AR140" s="6" t="str">
        <f>HYPERLINK("http://catalog.hathitrust.org/Record/009441116","HathiTrust Record")</f>
        <v>HathiTrust Record</v>
      </c>
      <c r="AS140" s="6" t="str">
        <f>HYPERLINK("https://creighton-primo.hosted.exlibrisgroup.com/primo-explore/search?tab=default_tab&amp;search_scope=EVERYTHING&amp;vid=01CRU&amp;lang=en_US&amp;offset=0&amp;query=any,contains,991001989299702656","Catalog Record")</f>
        <v>Catalog Record</v>
      </c>
      <c r="AT140" s="6" t="str">
        <f>HYPERLINK("http://www.worldcat.org/oclc/25281491","WorldCat Record")</f>
        <v>WorldCat Record</v>
      </c>
      <c r="AU140" s="3" t="s">
        <v>1939</v>
      </c>
      <c r="AV140" s="3" t="s">
        <v>1940</v>
      </c>
      <c r="AW140" s="3" t="s">
        <v>1941</v>
      </c>
      <c r="AX140" s="3" t="s">
        <v>1941</v>
      </c>
      <c r="AY140" s="3" t="s">
        <v>1942</v>
      </c>
      <c r="AZ140" s="3" t="s">
        <v>75</v>
      </c>
      <c r="BB140" s="3" t="s">
        <v>1943</v>
      </c>
      <c r="BC140" s="3" t="s">
        <v>1944</v>
      </c>
      <c r="BD140" s="3" t="s">
        <v>1945</v>
      </c>
    </row>
    <row r="141" spans="1:56" ht="54" customHeight="1" x14ac:dyDescent="0.25">
      <c r="A141" s="7" t="s">
        <v>58</v>
      </c>
      <c r="B141" s="2" t="s">
        <v>1946</v>
      </c>
      <c r="C141" s="2" t="s">
        <v>1947</v>
      </c>
      <c r="D141" s="2" t="s">
        <v>1948</v>
      </c>
      <c r="F141" s="3" t="s">
        <v>58</v>
      </c>
      <c r="G141" s="3" t="s">
        <v>59</v>
      </c>
      <c r="H141" s="3" t="s">
        <v>58</v>
      </c>
      <c r="I141" s="3" t="s">
        <v>58</v>
      </c>
      <c r="J141" s="3" t="s">
        <v>60</v>
      </c>
      <c r="K141" s="2" t="s">
        <v>1642</v>
      </c>
      <c r="L141" s="2" t="s">
        <v>1949</v>
      </c>
      <c r="M141" s="3" t="s">
        <v>473</v>
      </c>
      <c r="O141" s="3" t="s">
        <v>65</v>
      </c>
      <c r="P141" s="3" t="s">
        <v>66</v>
      </c>
      <c r="R141" s="3" t="s">
        <v>67</v>
      </c>
      <c r="S141" s="4">
        <v>1</v>
      </c>
      <c r="T141" s="4">
        <v>1</v>
      </c>
      <c r="U141" s="5" t="s">
        <v>1834</v>
      </c>
      <c r="V141" s="5" t="s">
        <v>1834</v>
      </c>
      <c r="W141" s="5" t="s">
        <v>1950</v>
      </c>
      <c r="X141" s="5" t="s">
        <v>1950</v>
      </c>
      <c r="Y141" s="4">
        <v>977</v>
      </c>
      <c r="Z141" s="4">
        <v>873</v>
      </c>
      <c r="AA141" s="4">
        <v>940</v>
      </c>
      <c r="AB141" s="4">
        <v>6</v>
      </c>
      <c r="AC141" s="4">
        <v>6</v>
      </c>
      <c r="AD141" s="4">
        <v>8</v>
      </c>
      <c r="AE141" s="4">
        <v>8</v>
      </c>
      <c r="AF141" s="4">
        <v>3</v>
      </c>
      <c r="AG141" s="4">
        <v>3</v>
      </c>
      <c r="AH141" s="4">
        <v>2</v>
      </c>
      <c r="AI141" s="4">
        <v>2</v>
      </c>
      <c r="AJ141" s="4">
        <v>1</v>
      </c>
      <c r="AK141" s="4">
        <v>1</v>
      </c>
      <c r="AL141" s="4">
        <v>3</v>
      </c>
      <c r="AM141" s="4">
        <v>3</v>
      </c>
      <c r="AN141" s="4">
        <v>0</v>
      </c>
      <c r="AO141" s="4">
        <v>0</v>
      </c>
      <c r="AP141" s="3" t="s">
        <v>58</v>
      </c>
      <c r="AQ141" s="3" t="s">
        <v>70</v>
      </c>
      <c r="AR141" s="6" t="str">
        <f>HYPERLINK("http://catalog.hathitrust.org/Record/008510830","HathiTrust Record")</f>
        <v>HathiTrust Record</v>
      </c>
      <c r="AS141" s="6" t="str">
        <f>HYPERLINK("https://creighton-primo.hosted.exlibrisgroup.com/primo-explore/search?tab=default_tab&amp;search_scope=EVERYTHING&amp;vid=01CRU&amp;lang=en_US&amp;offset=0&amp;query=any,contains,991000224799702656","Catalog Record")</f>
        <v>Catalog Record</v>
      </c>
      <c r="AT141" s="6" t="str">
        <f>HYPERLINK("http://www.worldcat.org/oclc/9609228","WorldCat Record")</f>
        <v>WorldCat Record</v>
      </c>
      <c r="AU141" s="3" t="s">
        <v>1951</v>
      </c>
      <c r="AV141" s="3" t="s">
        <v>1952</v>
      </c>
      <c r="AW141" s="3" t="s">
        <v>1953</v>
      </c>
      <c r="AX141" s="3" t="s">
        <v>1953</v>
      </c>
      <c r="AY141" s="3" t="s">
        <v>1954</v>
      </c>
      <c r="AZ141" s="3" t="s">
        <v>75</v>
      </c>
      <c r="BB141" s="3" t="s">
        <v>1955</v>
      </c>
      <c r="BC141" s="3" t="s">
        <v>1956</v>
      </c>
      <c r="BD141" s="3" t="s">
        <v>1957</v>
      </c>
    </row>
    <row r="142" spans="1:56" ht="54" customHeight="1" x14ac:dyDescent="0.25">
      <c r="A142" s="7" t="s">
        <v>58</v>
      </c>
      <c r="B142" s="2" t="s">
        <v>1958</v>
      </c>
      <c r="C142" s="2" t="s">
        <v>1959</v>
      </c>
      <c r="D142" s="2" t="s">
        <v>1960</v>
      </c>
      <c r="F142" s="3" t="s">
        <v>70</v>
      </c>
      <c r="G142" s="3" t="s">
        <v>59</v>
      </c>
      <c r="H142" s="3" t="s">
        <v>70</v>
      </c>
      <c r="I142" s="3" t="s">
        <v>58</v>
      </c>
      <c r="J142" s="3" t="s">
        <v>60</v>
      </c>
      <c r="K142" s="2" t="s">
        <v>1961</v>
      </c>
      <c r="L142" s="2" t="s">
        <v>132</v>
      </c>
      <c r="M142" s="3" t="s">
        <v>118</v>
      </c>
      <c r="O142" s="3" t="s">
        <v>65</v>
      </c>
      <c r="P142" s="3" t="s">
        <v>66</v>
      </c>
      <c r="Q142" s="2" t="s">
        <v>119</v>
      </c>
      <c r="R142" s="3" t="s">
        <v>67</v>
      </c>
      <c r="S142" s="4">
        <v>3</v>
      </c>
      <c r="T142" s="4">
        <v>6</v>
      </c>
      <c r="U142" s="5" t="s">
        <v>1849</v>
      </c>
      <c r="V142" s="5" t="s">
        <v>1849</v>
      </c>
      <c r="W142" s="5" t="s">
        <v>1072</v>
      </c>
      <c r="X142" s="5" t="s">
        <v>1072</v>
      </c>
      <c r="Y142" s="4">
        <v>1024</v>
      </c>
      <c r="Z142" s="4">
        <v>972</v>
      </c>
      <c r="AA142" s="4">
        <v>1159</v>
      </c>
      <c r="AB142" s="4">
        <v>8</v>
      </c>
      <c r="AC142" s="4">
        <v>9</v>
      </c>
      <c r="AD142" s="4">
        <v>29</v>
      </c>
      <c r="AE142" s="4">
        <v>33</v>
      </c>
      <c r="AF142" s="4">
        <v>9</v>
      </c>
      <c r="AG142" s="4">
        <v>12</v>
      </c>
      <c r="AH142" s="4">
        <v>6</v>
      </c>
      <c r="AI142" s="4">
        <v>7</v>
      </c>
      <c r="AJ142" s="4">
        <v>16</v>
      </c>
      <c r="AK142" s="4">
        <v>17</v>
      </c>
      <c r="AL142" s="4">
        <v>6</v>
      </c>
      <c r="AM142" s="4">
        <v>6</v>
      </c>
      <c r="AN142" s="4">
        <v>0</v>
      </c>
      <c r="AO142" s="4">
        <v>0</v>
      </c>
      <c r="AP142" s="3" t="s">
        <v>58</v>
      </c>
      <c r="AQ142" s="3" t="s">
        <v>70</v>
      </c>
      <c r="AR142" s="6" t="str">
        <f>HYPERLINK("http://catalog.hathitrust.org/Record/001468365","HathiTrust Record")</f>
        <v>HathiTrust Record</v>
      </c>
      <c r="AS142" s="6" t="str">
        <f>HYPERLINK("https://creighton-primo.hosted.exlibrisgroup.com/primo-explore/search?tab=default_tab&amp;search_scope=EVERYTHING&amp;vid=01CRU&amp;lang=en_US&amp;offset=0&amp;query=any,contains,991002957789702656","Catalog Record")</f>
        <v>Catalog Record</v>
      </c>
      <c r="AT142" s="6" t="str">
        <f>HYPERLINK("http://www.worldcat.org/oclc/542725","WorldCat Record")</f>
        <v>WorldCat Record</v>
      </c>
      <c r="AU142" s="3" t="s">
        <v>1962</v>
      </c>
      <c r="AV142" s="3" t="s">
        <v>1963</v>
      </c>
      <c r="AW142" s="3" t="s">
        <v>1964</v>
      </c>
      <c r="AX142" s="3" t="s">
        <v>1964</v>
      </c>
      <c r="AY142" s="3" t="s">
        <v>1965</v>
      </c>
      <c r="AZ142" s="3" t="s">
        <v>75</v>
      </c>
      <c r="BC142" s="3" t="s">
        <v>1966</v>
      </c>
      <c r="BD142" s="3" t="s">
        <v>1967</v>
      </c>
    </row>
    <row r="143" spans="1:56" ht="54" customHeight="1" x14ac:dyDescent="0.25">
      <c r="A143" s="7" t="s">
        <v>58</v>
      </c>
      <c r="B143" s="2" t="s">
        <v>1968</v>
      </c>
      <c r="C143" s="2" t="s">
        <v>1969</v>
      </c>
      <c r="D143" s="2" t="s">
        <v>1960</v>
      </c>
      <c r="E143" s="3" t="s">
        <v>1970</v>
      </c>
      <c r="F143" s="3" t="s">
        <v>70</v>
      </c>
      <c r="G143" s="3" t="s">
        <v>59</v>
      </c>
      <c r="H143" s="3" t="s">
        <v>58</v>
      </c>
      <c r="I143" s="3" t="s">
        <v>58</v>
      </c>
      <c r="J143" s="3" t="s">
        <v>60</v>
      </c>
      <c r="K143" s="2" t="s">
        <v>1961</v>
      </c>
      <c r="L143" s="2" t="s">
        <v>132</v>
      </c>
      <c r="M143" s="3" t="s">
        <v>118</v>
      </c>
      <c r="O143" s="3" t="s">
        <v>65</v>
      </c>
      <c r="P143" s="3" t="s">
        <v>66</v>
      </c>
      <c r="Q143" s="2" t="s">
        <v>119</v>
      </c>
      <c r="R143" s="3" t="s">
        <v>67</v>
      </c>
      <c r="S143" s="4">
        <v>3</v>
      </c>
      <c r="T143" s="4">
        <v>6</v>
      </c>
      <c r="U143" s="5" t="s">
        <v>1849</v>
      </c>
      <c r="V143" s="5" t="s">
        <v>1849</v>
      </c>
      <c r="W143" s="5" t="s">
        <v>1072</v>
      </c>
      <c r="X143" s="5" t="s">
        <v>1072</v>
      </c>
      <c r="Y143" s="4">
        <v>1024</v>
      </c>
      <c r="Z143" s="4">
        <v>972</v>
      </c>
      <c r="AA143" s="4">
        <v>1159</v>
      </c>
      <c r="AB143" s="4">
        <v>8</v>
      </c>
      <c r="AC143" s="4">
        <v>9</v>
      </c>
      <c r="AD143" s="4">
        <v>29</v>
      </c>
      <c r="AE143" s="4">
        <v>33</v>
      </c>
      <c r="AF143" s="4">
        <v>9</v>
      </c>
      <c r="AG143" s="4">
        <v>12</v>
      </c>
      <c r="AH143" s="4">
        <v>6</v>
      </c>
      <c r="AI143" s="4">
        <v>7</v>
      </c>
      <c r="AJ143" s="4">
        <v>16</v>
      </c>
      <c r="AK143" s="4">
        <v>17</v>
      </c>
      <c r="AL143" s="4">
        <v>6</v>
      </c>
      <c r="AM143" s="4">
        <v>6</v>
      </c>
      <c r="AN143" s="4">
        <v>0</v>
      </c>
      <c r="AO143" s="4">
        <v>0</v>
      </c>
      <c r="AP143" s="3" t="s">
        <v>58</v>
      </c>
      <c r="AQ143" s="3" t="s">
        <v>70</v>
      </c>
      <c r="AR143" s="6" t="str">
        <f>HYPERLINK("http://catalog.hathitrust.org/Record/001468365","HathiTrust Record")</f>
        <v>HathiTrust Record</v>
      </c>
      <c r="AS143" s="6" t="str">
        <f>HYPERLINK("https://creighton-primo.hosted.exlibrisgroup.com/primo-explore/search?tab=default_tab&amp;search_scope=EVERYTHING&amp;vid=01CRU&amp;lang=en_US&amp;offset=0&amp;query=any,contains,991002957789702656","Catalog Record")</f>
        <v>Catalog Record</v>
      </c>
      <c r="AT143" s="6" t="str">
        <f>HYPERLINK("http://www.worldcat.org/oclc/542725","WorldCat Record")</f>
        <v>WorldCat Record</v>
      </c>
      <c r="AU143" s="3" t="s">
        <v>1962</v>
      </c>
      <c r="AV143" s="3" t="s">
        <v>1963</v>
      </c>
      <c r="AW143" s="3" t="s">
        <v>1964</v>
      </c>
      <c r="AX143" s="3" t="s">
        <v>1964</v>
      </c>
      <c r="AY143" s="3" t="s">
        <v>1965</v>
      </c>
      <c r="AZ143" s="3" t="s">
        <v>75</v>
      </c>
      <c r="BC143" s="3" t="s">
        <v>1971</v>
      </c>
      <c r="BD143" s="3" t="s">
        <v>1972</v>
      </c>
    </row>
    <row r="144" spans="1:56" ht="54" customHeight="1" x14ac:dyDescent="0.25">
      <c r="A144" s="7" t="s">
        <v>58</v>
      </c>
      <c r="B144" s="2" t="s">
        <v>1973</v>
      </c>
      <c r="C144" s="2" t="s">
        <v>1974</v>
      </c>
      <c r="D144" s="2" t="s">
        <v>1975</v>
      </c>
      <c r="F144" s="3" t="s">
        <v>58</v>
      </c>
      <c r="G144" s="3" t="s">
        <v>59</v>
      </c>
      <c r="H144" s="3" t="s">
        <v>58</v>
      </c>
      <c r="I144" s="3" t="s">
        <v>70</v>
      </c>
      <c r="J144" s="3" t="s">
        <v>60</v>
      </c>
      <c r="K144" s="2" t="s">
        <v>1976</v>
      </c>
      <c r="L144" s="2" t="s">
        <v>1977</v>
      </c>
      <c r="M144" s="3" t="s">
        <v>473</v>
      </c>
      <c r="O144" s="3" t="s">
        <v>65</v>
      </c>
      <c r="P144" s="3" t="s">
        <v>66</v>
      </c>
      <c r="R144" s="3" t="s">
        <v>67</v>
      </c>
      <c r="S144" s="4">
        <v>5</v>
      </c>
      <c r="T144" s="4">
        <v>5</v>
      </c>
      <c r="U144" s="5" t="s">
        <v>920</v>
      </c>
      <c r="V144" s="5" t="s">
        <v>920</v>
      </c>
      <c r="W144" s="5" t="s">
        <v>477</v>
      </c>
      <c r="X144" s="5" t="s">
        <v>477</v>
      </c>
      <c r="Y144" s="4">
        <v>996</v>
      </c>
      <c r="Z144" s="4">
        <v>873</v>
      </c>
      <c r="AA144" s="4">
        <v>1230</v>
      </c>
      <c r="AB144" s="4">
        <v>7</v>
      </c>
      <c r="AC144" s="4">
        <v>16</v>
      </c>
      <c r="AD144" s="4">
        <v>11</v>
      </c>
      <c r="AE144" s="4">
        <v>20</v>
      </c>
      <c r="AF144" s="4">
        <v>2</v>
      </c>
      <c r="AG144" s="4">
        <v>5</v>
      </c>
      <c r="AH144" s="4">
        <v>4</v>
      </c>
      <c r="AI144" s="4">
        <v>4</v>
      </c>
      <c r="AJ144" s="4">
        <v>3</v>
      </c>
      <c r="AK144" s="4">
        <v>4</v>
      </c>
      <c r="AL144" s="4">
        <v>3</v>
      </c>
      <c r="AM144" s="4">
        <v>8</v>
      </c>
      <c r="AN144" s="4">
        <v>0</v>
      </c>
      <c r="AO144" s="4">
        <v>0</v>
      </c>
      <c r="AP144" s="3" t="s">
        <v>58</v>
      </c>
      <c r="AQ144" s="3" t="s">
        <v>70</v>
      </c>
      <c r="AR144" s="6" t="str">
        <f>HYPERLINK("http://catalog.hathitrust.org/Record/000777632","HathiTrust Record")</f>
        <v>HathiTrust Record</v>
      </c>
      <c r="AS144" s="6" t="str">
        <f>HYPERLINK("https://creighton-primo.hosted.exlibrisgroup.com/primo-explore/search?tab=default_tab&amp;search_scope=EVERYTHING&amp;vid=01CRU&amp;lang=en_US&amp;offset=0&amp;query=any,contains,991000149679702656","Catalog Record")</f>
        <v>Catalog Record</v>
      </c>
      <c r="AT144" s="6" t="str">
        <f>HYPERLINK("http://www.worldcat.org/oclc/9197561","WorldCat Record")</f>
        <v>WorldCat Record</v>
      </c>
      <c r="AU144" s="3" t="s">
        <v>1978</v>
      </c>
      <c r="AV144" s="3" t="s">
        <v>1979</v>
      </c>
      <c r="AW144" s="3" t="s">
        <v>1980</v>
      </c>
      <c r="AX144" s="3" t="s">
        <v>1980</v>
      </c>
      <c r="AY144" s="3" t="s">
        <v>1981</v>
      </c>
      <c r="AZ144" s="3" t="s">
        <v>75</v>
      </c>
      <c r="BB144" s="3" t="s">
        <v>1982</v>
      </c>
      <c r="BC144" s="3" t="s">
        <v>1983</v>
      </c>
      <c r="BD144" s="3" t="s">
        <v>1984</v>
      </c>
    </row>
    <row r="145" spans="1:56" ht="54" customHeight="1" x14ac:dyDescent="0.25">
      <c r="A145" s="7" t="s">
        <v>58</v>
      </c>
      <c r="B145" s="2" t="s">
        <v>1985</v>
      </c>
      <c r="C145" s="2" t="s">
        <v>1986</v>
      </c>
      <c r="D145" s="2" t="s">
        <v>1987</v>
      </c>
      <c r="F145" s="3" t="s">
        <v>58</v>
      </c>
      <c r="G145" s="3" t="s">
        <v>59</v>
      </c>
      <c r="H145" s="3" t="s">
        <v>58</v>
      </c>
      <c r="I145" s="3" t="s">
        <v>58</v>
      </c>
      <c r="J145" s="3" t="s">
        <v>60</v>
      </c>
      <c r="K145" s="2" t="s">
        <v>1988</v>
      </c>
      <c r="L145" s="2" t="s">
        <v>1989</v>
      </c>
      <c r="M145" s="3" t="s">
        <v>1328</v>
      </c>
      <c r="O145" s="3" t="s">
        <v>65</v>
      </c>
      <c r="P145" s="3" t="s">
        <v>266</v>
      </c>
      <c r="R145" s="3" t="s">
        <v>67</v>
      </c>
      <c r="S145" s="4">
        <v>2</v>
      </c>
      <c r="T145" s="4">
        <v>2</v>
      </c>
      <c r="U145" s="5" t="s">
        <v>1990</v>
      </c>
      <c r="V145" s="5" t="s">
        <v>1990</v>
      </c>
      <c r="W145" s="5" t="s">
        <v>477</v>
      </c>
      <c r="X145" s="5" t="s">
        <v>477</v>
      </c>
      <c r="Y145" s="4">
        <v>827</v>
      </c>
      <c r="Z145" s="4">
        <v>697</v>
      </c>
      <c r="AA145" s="4">
        <v>700</v>
      </c>
      <c r="AB145" s="4">
        <v>5</v>
      </c>
      <c r="AC145" s="4">
        <v>5</v>
      </c>
      <c r="AD145" s="4">
        <v>22</v>
      </c>
      <c r="AE145" s="4">
        <v>22</v>
      </c>
      <c r="AF145" s="4">
        <v>7</v>
      </c>
      <c r="AG145" s="4">
        <v>7</v>
      </c>
      <c r="AH145" s="4">
        <v>6</v>
      </c>
      <c r="AI145" s="4">
        <v>6</v>
      </c>
      <c r="AJ145" s="4">
        <v>8</v>
      </c>
      <c r="AK145" s="4">
        <v>8</v>
      </c>
      <c r="AL145" s="4">
        <v>4</v>
      </c>
      <c r="AM145" s="4">
        <v>4</v>
      </c>
      <c r="AN145" s="4">
        <v>0</v>
      </c>
      <c r="AO145" s="4">
        <v>0</v>
      </c>
      <c r="AP145" s="3" t="s">
        <v>58</v>
      </c>
      <c r="AQ145" s="3" t="s">
        <v>70</v>
      </c>
      <c r="AR145" s="6" t="str">
        <f>HYPERLINK("http://catalog.hathitrust.org/Record/000145051","HathiTrust Record")</f>
        <v>HathiTrust Record</v>
      </c>
      <c r="AS145" s="6" t="str">
        <f>HYPERLINK("https://creighton-primo.hosted.exlibrisgroup.com/primo-explore/search?tab=default_tab&amp;search_scope=EVERYTHING&amp;vid=01CRU&amp;lang=en_US&amp;offset=0&amp;query=any,contains,991005238109702656","Catalog Record")</f>
        <v>Catalog Record</v>
      </c>
      <c r="AT145" s="6" t="str">
        <f>HYPERLINK("http://www.worldcat.org/oclc/8389590","WorldCat Record")</f>
        <v>WorldCat Record</v>
      </c>
      <c r="AU145" s="3" t="s">
        <v>1991</v>
      </c>
      <c r="AV145" s="3" t="s">
        <v>1992</v>
      </c>
      <c r="AW145" s="3" t="s">
        <v>1993</v>
      </c>
      <c r="AX145" s="3" t="s">
        <v>1993</v>
      </c>
      <c r="AY145" s="3" t="s">
        <v>1994</v>
      </c>
      <c r="AZ145" s="3" t="s">
        <v>75</v>
      </c>
      <c r="BB145" s="3" t="s">
        <v>1995</v>
      </c>
      <c r="BC145" s="3" t="s">
        <v>1996</v>
      </c>
      <c r="BD145" s="3" t="s">
        <v>1997</v>
      </c>
    </row>
    <row r="146" spans="1:56" ht="54" customHeight="1" x14ac:dyDescent="0.25">
      <c r="A146" s="7" t="s">
        <v>58</v>
      </c>
      <c r="B146" s="2" t="s">
        <v>1998</v>
      </c>
      <c r="C146" s="2" t="s">
        <v>1999</v>
      </c>
      <c r="D146" s="2" t="s">
        <v>2000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60</v>
      </c>
      <c r="K146" s="2" t="s">
        <v>2001</v>
      </c>
      <c r="L146" s="2" t="s">
        <v>2002</v>
      </c>
      <c r="M146" s="3" t="s">
        <v>2003</v>
      </c>
      <c r="N146" s="2" t="s">
        <v>2004</v>
      </c>
      <c r="O146" s="3" t="s">
        <v>65</v>
      </c>
      <c r="P146" s="3" t="s">
        <v>66</v>
      </c>
      <c r="R146" s="3" t="s">
        <v>67</v>
      </c>
      <c r="S146" s="4">
        <v>1</v>
      </c>
      <c r="T146" s="4">
        <v>1</v>
      </c>
      <c r="U146" s="5" t="s">
        <v>2005</v>
      </c>
      <c r="V146" s="5" t="s">
        <v>2005</v>
      </c>
      <c r="W146" s="5" t="s">
        <v>2005</v>
      </c>
      <c r="X146" s="5" t="s">
        <v>2005</v>
      </c>
      <c r="Y146" s="4">
        <v>873</v>
      </c>
      <c r="Z146" s="4">
        <v>832</v>
      </c>
      <c r="AA146" s="4">
        <v>1319</v>
      </c>
      <c r="AB146" s="4">
        <v>5</v>
      </c>
      <c r="AC146" s="4">
        <v>11</v>
      </c>
      <c r="AD146" s="4">
        <v>26</v>
      </c>
      <c r="AE146" s="4">
        <v>38</v>
      </c>
      <c r="AF146" s="4">
        <v>11</v>
      </c>
      <c r="AG146" s="4">
        <v>16</v>
      </c>
      <c r="AH146" s="4">
        <v>6</v>
      </c>
      <c r="AI146" s="4">
        <v>7</v>
      </c>
      <c r="AJ146" s="4">
        <v>11</v>
      </c>
      <c r="AK146" s="4">
        <v>15</v>
      </c>
      <c r="AL146" s="4">
        <v>4</v>
      </c>
      <c r="AM146" s="4">
        <v>7</v>
      </c>
      <c r="AN146" s="4">
        <v>0</v>
      </c>
      <c r="AO146" s="4">
        <v>0</v>
      </c>
      <c r="AP146" s="3" t="s">
        <v>58</v>
      </c>
      <c r="AQ146" s="3" t="s">
        <v>70</v>
      </c>
      <c r="AR146" s="6" t="str">
        <f>HYPERLINK("http://catalog.hathitrust.org/Record/004179693","HathiTrust Record")</f>
        <v>HathiTrust Record</v>
      </c>
      <c r="AS146" s="6" t="str">
        <f>HYPERLINK("https://creighton-primo.hosted.exlibrisgroup.com/primo-explore/search?tab=default_tab&amp;search_scope=EVERYTHING&amp;vid=01CRU&amp;lang=en_US&amp;offset=0&amp;query=any,contains,991005156569702656","Catalog Record")</f>
        <v>Catalog Record</v>
      </c>
      <c r="AT146" s="6" t="str">
        <f>HYPERLINK("http://www.worldcat.org/oclc/46825535","WorldCat Record")</f>
        <v>WorldCat Record</v>
      </c>
      <c r="AU146" s="3" t="s">
        <v>2006</v>
      </c>
      <c r="AV146" s="3" t="s">
        <v>2007</v>
      </c>
      <c r="AW146" s="3" t="s">
        <v>2008</v>
      </c>
      <c r="AX146" s="3" t="s">
        <v>2008</v>
      </c>
      <c r="AY146" s="3" t="s">
        <v>2009</v>
      </c>
      <c r="AZ146" s="3" t="s">
        <v>75</v>
      </c>
      <c r="BB146" s="3" t="s">
        <v>2010</v>
      </c>
      <c r="BC146" s="3" t="s">
        <v>2011</v>
      </c>
      <c r="BD146" s="3" t="s">
        <v>2012</v>
      </c>
    </row>
    <row r="147" spans="1:56" ht="54" customHeight="1" x14ac:dyDescent="0.25">
      <c r="A147" s="7" t="s">
        <v>58</v>
      </c>
      <c r="B147" s="2" t="s">
        <v>2013</v>
      </c>
      <c r="C147" s="2" t="s">
        <v>2014</v>
      </c>
      <c r="D147" s="2" t="s">
        <v>2015</v>
      </c>
      <c r="F147" s="3" t="s">
        <v>58</v>
      </c>
      <c r="G147" s="3" t="s">
        <v>59</v>
      </c>
      <c r="H147" s="3" t="s">
        <v>58</v>
      </c>
      <c r="I147" s="3" t="s">
        <v>58</v>
      </c>
      <c r="J147" s="3" t="s">
        <v>60</v>
      </c>
      <c r="K147" s="2" t="s">
        <v>2016</v>
      </c>
      <c r="L147" s="2" t="s">
        <v>2017</v>
      </c>
      <c r="M147" s="3" t="s">
        <v>877</v>
      </c>
      <c r="N147" s="2" t="s">
        <v>250</v>
      </c>
      <c r="O147" s="3" t="s">
        <v>65</v>
      </c>
      <c r="P147" s="3" t="s">
        <v>66</v>
      </c>
      <c r="R147" s="3" t="s">
        <v>67</v>
      </c>
      <c r="S147" s="4">
        <v>2</v>
      </c>
      <c r="T147" s="4">
        <v>2</v>
      </c>
      <c r="U147" s="5" t="s">
        <v>2018</v>
      </c>
      <c r="V147" s="5" t="s">
        <v>2018</v>
      </c>
      <c r="W147" s="5" t="s">
        <v>87</v>
      </c>
      <c r="X147" s="5" t="s">
        <v>87</v>
      </c>
      <c r="Y147" s="4">
        <v>527</v>
      </c>
      <c r="Z147" s="4">
        <v>477</v>
      </c>
      <c r="AA147" s="4">
        <v>483</v>
      </c>
      <c r="AB147" s="4">
        <v>4</v>
      </c>
      <c r="AC147" s="4">
        <v>4</v>
      </c>
      <c r="AD147" s="4">
        <v>15</v>
      </c>
      <c r="AE147" s="4">
        <v>15</v>
      </c>
      <c r="AF147" s="4">
        <v>4</v>
      </c>
      <c r="AG147" s="4">
        <v>4</v>
      </c>
      <c r="AH147" s="4">
        <v>3</v>
      </c>
      <c r="AI147" s="4">
        <v>3</v>
      </c>
      <c r="AJ147" s="4">
        <v>9</v>
      </c>
      <c r="AK147" s="4">
        <v>9</v>
      </c>
      <c r="AL147" s="4">
        <v>2</v>
      </c>
      <c r="AM147" s="4">
        <v>2</v>
      </c>
      <c r="AN147" s="4">
        <v>0</v>
      </c>
      <c r="AO147" s="4">
        <v>0</v>
      </c>
      <c r="AP147" s="3" t="s">
        <v>58</v>
      </c>
      <c r="AQ147" s="3" t="s">
        <v>70</v>
      </c>
      <c r="AR147" s="6" t="str">
        <f>HYPERLINK("http://catalog.hathitrust.org/Record/000846493","HathiTrust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HYPERLINK("https://creighton-primo.hosted.exlibrisgroup.com/primo-explore/search?tab=default_tab&amp;search_scope=EVERYTHING&amp;vid=01CRU&amp;lang=en_US&amp;offset=0&amp;query=any,contains,991001070459702656","Catalog Record")</f>
        <v>Catalog Record</v>
      </c>
      <c r="AT147" s="6" t="str">
        <f>HYPERLINK("http://www.worldcat.org/oclc/15860593","WorldCat Record")</f>
        <v>WorldCat Record</v>
      </c>
      <c r="AU147" s="3" t="s">
        <v>2019</v>
      </c>
      <c r="AV147" s="3" t="s">
        <v>2020</v>
      </c>
      <c r="AW147" s="3" t="s">
        <v>2021</v>
      </c>
      <c r="AX147" s="3" t="s">
        <v>2021</v>
      </c>
      <c r="AY147" s="3" t="s">
        <v>2022</v>
      </c>
      <c r="AZ147" s="3" t="s">
        <v>75</v>
      </c>
      <c r="BB147" s="3" t="s">
        <v>2023</v>
      </c>
      <c r="BC147" s="3" t="s">
        <v>2024</v>
      </c>
      <c r="BD147" s="3" t="s">
        <v>2025</v>
      </c>
    </row>
    <row r="148" spans="1:56" ht="54" customHeight="1" x14ac:dyDescent="0.25">
      <c r="A148" s="7" t="s">
        <v>58</v>
      </c>
      <c r="B148" s="2" t="s">
        <v>2026</v>
      </c>
      <c r="C148" s="2" t="s">
        <v>2027</v>
      </c>
      <c r="D148" s="2" t="s">
        <v>2028</v>
      </c>
      <c r="F148" s="3" t="s">
        <v>58</v>
      </c>
      <c r="G148" s="3" t="s">
        <v>59</v>
      </c>
      <c r="H148" s="3" t="s">
        <v>58</v>
      </c>
      <c r="I148" s="3" t="s">
        <v>58</v>
      </c>
      <c r="J148" s="3" t="s">
        <v>60</v>
      </c>
      <c r="K148" s="2" t="s">
        <v>2029</v>
      </c>
      <c r="L148" s="2" t="s">
        <v>2030</v>
      </c>
      <c r="M148" s="3" t="s">
        <v>489</v>
      </c>
      <c r="N148" s="2" t="s">
        <v>250</v>
      </c>
      <c r="O148" s="3" t="s">
        <v>65</v>
      </c>
      <c r="P148" s="3" t="s">
        <v>66</v>
      </c>
      <c r="R148" s="3" t="s">
        <v>67</v>
      </c>
      <c r="S148" s="4">
        <v>2</v>
      </c>
      <c r="T148" s="4">
        <v>2</v>
      </c>
      <c r="U148" s="5" t="s">
        <v>2031</v>
      </c>
      <c r="V148" s="5" t="s">
        <v>2031</v>
      </c>
      <c r="W148" s="5" t="s">
        <v>2032</v>
      </c>
      <c r="X148" s="5" t="s">
        <v>2032</v>
      </c>
      <c r="Y148" s="4">
        <v>675</v>
      </c>
      <c r="Z148" s="4">
        <v>615</v>
      </c>
      <c r="AA148" s="4">
        <v>621</v>
      </c>
      <c r="AB148" s="4">
        <v>6</v>
      </c>
      <c r="AC148" s="4">
        <v>6</v>
      </c>
      <c r="AD148" s="4">
        <v>23</v>
      </c>
      <c r="AE148" s="4">
        <v>23</v>
      </c>
      <c r="AF148" s="4">
        <v>8</v>
      </c>
      <c r="AG148" s="4">
        <v>8</v>
      </c>
      <c r="AH148" s="4">
        <v>3</v>
      </c>
      <c r="AI148" s="4">
        <v>3</v>
      </c>
      <c r="AJ148" s="4">
        <v>11</v>
      </c>
      <c r="AK148" s="4">
        <v>11</v>
      </c>
      <c r="AL148" s="4">
        <v>5</v>
      </c>
      <c r="AM148" s="4">
        <v>5</v>
      </c>
      <c r="AN148" s="4">
        <v>0</v>
      </c>
      <c r="AO148" s="4">
        <v>0</v>
      </c>
      <c r="AP148" s="3" t="s">
        <v>58</v>
      </c>
      <c r="AQ148" s="3" t="s">
        <v>70</v>
      </c>
      <c r="AR148" s="6" t="str">
        <f>HYPERLINK("http://catalog.hathitrust.org/Record/002525294","HathiTrust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HYPERLINK("https://creighton-primo.hosted.exlibrisgroup.com/primo-explore/search?tab=default_tab&amp;search_scope=EVERYTHING&amp;vid=01CRU&amp;lang=en_US&amp;offset=0&amp;query=any,contains,991001860739702656","Catalog Record")</f>
        <v>Catalog Record</v>
      </c>
      <c r="AT148" s="6" t="str">
        <f>HYPERLINK("http://www.worldcat.org/oclc/23382966","WorldCat Record")</f>
        <v>WorldCat Record</v>
      </c>
      <c r="AU148" s="3" t="s">
        <v>2033</v>
      </c>
      <c r="AV148" s="3" t="s">
        <v>2034</v>
      </c>
      <c r="AW148" s="3" t="s">
        <v>2035</v>
      </c>
      <c r="AX148" s="3" t="s">
        <v>2035</v>
      </c>
      <c r="AY148" s="3" t="s">
        <v>2036</v>
      </c>
      <c r="AZ148" s="3" t="s">
        <v>75</v>
      </c>
      <c r="BB148" s="3" t="s">
        <v>2037</v>
      </c>
      <c r="BC148" s="3" t="s">
        <v>2038</v>
      </c>
      <c r="BD148" s="3" t="s">
        <v>2039</v>
      </c>
    </row>
    <row r="149" spans="1:56" ht="54" customHeight="1" x14ac:dyDescent="0.25">
      <c r="A149" s="7" t="s">
        <v>58</v>
      </c>
      <c r="B149" s="2" t="s">
        <v>2040</v>
      </c>
      <c r="C149" s="2" t="s">
        <v>2041</v>
      </c>
      <c r="D149" s="2" t="s">
        <v>2042</v>
      </c>
      <c r="F149" s="3" t="s">
        <v>58</v>
      </c>
      <c r="G149" s="3" t="s">
        <v>59</v>
      </c>
      <c r="H149" s="3" t="s">
        <v>58</v>
      </c>
      <c r="I149" s="3" t="s">
        <v>58</v>
      </c>
      <c r="J149" s="3" t="s">
        <v>60</v>
      </c>
      <c r="K149" s="2" t="s">
        <v>2043</v>
      </c>
      <c r="L149" s="2" t="s">
        <v>2044</v>
      </c>
      <c r="M149" s="3" t="s">
        <v>1644</v>
      </c>
      <c r="N149" s="2" t="s">
        <v>250</v>
      </c>
      <c r="O149" s="3" t="s">
        <v>65</v>
      </c>
      <c r="P149" s="3" t="s">
        <v>2045</v>
      </c>
      <c r="R149" s="3" t="s">
        <v>67</v>
      </c>
      <c r="S149" s="4">
        <v>2</v>
      </c>
      <c r="T149" s="4">
        <v>2</v>
      </c>
      <c r="U149" s="5" t="s">
        <v>2046</v>
      </c>
      <c r="V149" s="5" t="s">
        <v>2046</v>
      </c>
      <c r="W149" s="5" t="s">
        <v>2046</v>
      </c>
      <c r="X149" s="5" t="s">
        <v>2046</v>
      </c>
      <c r="Y149" s="4">
        <v>388</v>
      </c>
      <c r="Z149" s="4">
        <v>373</v>
      </c>
      <c r="AA149" s="4">
        <v>373</v>
      </c>
      <c r="AB149" s="4">
        <v>5</v>
      </c>
      <c r="AC149" s="4">
        <v>5</v>
      </c>
      <c r="AD149" s="4">
        <v>13</v>
      </c>
      <c r="AE149" s="4">
        <v>13</v>
      </c>
      <c r="AF149" s="4">
        <v>2</v>
      </c>
      <c r="AG149" s="4">
        <v>2</v>
      </c>
      <c r="AH149" s="4">
        <v>5</v>
      </c>
      <c r="AI149" s="4">
        <v>5</v>
      </c>
      <c r="AJ149" s="4">
        <v>5</v>
      </c>
      <c r="AK149" s="4">
        <v>5</v>
      </c>
      <c r="AL149" s="4">
        <v>3</v>
      </c>
      <c r="AM149" s="4">
        <v>3</v>
      </c>
      <c r="AN149" s="4">
        <v>0</v>
      </c>
      <c r="AO149" s="4">
        <v>0</v>
      </c>
      <c r="AP149" s="3" t="s">
        <v>58</v>
      </c>
      <c r="AQ149" s="3" t="s">
        <v>58</v>
      </c>
      <c r="AS149" s="6" t="str">
        <f>HYPERLINK("https://creighton-primo.hosted.exlibrisgroup.com/primo-explore/search?tab=default_tab&amp;search_scope=EVERYTHING&amp;vid=01CRU&amp;lang=en_US&amp;offset=0&amp;query=any,contains,991004764289702656","Catalog Record")</f>
        <v>Catalog Record</v>
      </c>
      <c r="AT149" s="6" t="str">
        <f>HYPERLINK("http://www.worldcat.org/oclc/4193223","WorldCat Record")</f>
        <v>WorldCat Record</v>
      </c>
      <c r="AU149" s="3" t="s">
        <v>2047</v>
      </c>
      <c r="AV149" s="3" t="s">
        <v>2048</v>
      </c>
      <c r="AW149" s="3" t="s">
        <v>2049</v>
      </c>
      <c r="AX149" s="3" t="s">
        <v>2049</v>
      </c>
      <c r="AY149" s="3" t="s">
        <v>2050</v>
      </c>
      <c r="AZ149" s="3" t="s">
        <v>75</v>
      </c>
      <c r="BB149" s="3" t="s">
        <v>2051</v>
      </c>
      <c r="BC149" s="3" t="s">
        <v>2052</v>
      </c>
      <c r="BD149" s="3" t="s">
        <v>2053</v>
      </c>
    </row>
    <row r="150" spans="1:56" ht="54" customHeight="1" x14ac:dyDescent="0.25">
      <c r="A150" s="7" t="s">
        <v>58</v>
      </c>
      <c r="B150" s="2" t="s">
        <v>2054</v>
      </c>
      <c r="C150" s="2" t="s">
        <v>2055</v>
      </c>
      <c r="D150" s="2" t="s">
        <v>2056</v>
      </c>
      <c r="F150" s="3" t="s">
        <v>58</v>
      </c>
      <c r="G150" s="3" t="s">
        <v>59</v>
      </c>
      <c r="H150" s="3" t="s">
        <v>58</v>
      </c>
      <c r="I150" s="3" t="s">
        <v>58</v>
      </c>
      <c r="J150" s="3" t="s">
        <v>60</v>
      </c>
      <c r="K150" s="2" t="s">
        <v>2057</v>
      </c>
      <c r="L150" s="2" t="s">
        <v>2058</v>
      </c>
      <c r="M150" s="3" t="s">
        <v>1016</v>
      </c>
      <c r="O150" s="3" t="s">
        <v>65</v>
      </c>
      <c r="P150" s="3" t="s">
        <v>281</v>
      </c>
      <c r="R150" s="3" t="s">
        <v>67</v>
      </c>
      <c r="S150" s="4">
        <v>2</v>
      </c>
      <c r="T150" s="4">
        <v>2</v>
      </c>
      <c r="U150" s="5" t="s">
        <v>2059</v>
      </c>
      <c r="V150" s="5" t="s">
        <v>2059</v>
      </c>
      <c r="W150" s="5" t="s">
        <v>2059</v>
      </c>
      <c r="X150" s="5" t="s">
        <v>2059</v>
      </c>
      <c r="Y150" s="4">
        <v>385</v>
      </c>
      <c r="Z150" s="4">
        <v>278</v>
      </c>
      <c r="AA150" s="4">
        <v>284</v>
      </c>
      <c r="AB150" s="4">
        <v>3</v>
      </c>
      <c r="AC150" s="4">
        <v>3</v>
      </c>
      <c r="AD150" s="4">
        <v>21</v>
      </c>
      <c r="AE150" s="4">
        <v>21</v>
      </c>
      <c r="AF150" s="4">
        <v>9</v>
      </c>
      <c r="AG150" s="4">
        <v>9</v>
      </c>
      <c r="AH150" s="4">
        <v>5</v>
      </c>
      <c r="AI150" s="4">
        <v>5</v>
      </c>
      <c r="AJ150" s="4">
        <v>12</v>
      </c>
      <c r="AK150" s="4">
        <v>12</v>
      </c>
      <c r="AL150" s="4">
        <v>2</v>
      </c>
      <c r="AM150" s="4">
        <v>2</v>
      </c>
      <c r="AN150" s="4">
        <v>0</v>
      </c>
      <c r="AO150" s="4">
        <v>0</v>
      </c>
      <c r="AP150" s="3" t="s">
        <v>58</v>
      </c>
      <c r="AQ150" s="3" t="s">
        <v>58</v>
      </c>
      <c r="AS150" s="6" t="str">
        <f>HYPERLINK("https://creighton-primo.hosted.exlibrisgroup.com/primo-explore/search?tab=default_tab&amp;search_scope=EVERYTHING&amp;vid=01CRU&amp;lang=en_US&amp;offset=0&amp;query=any,contains,991004165369702656","Catalog Record")</f>
        <v>Catalog Record</v>
      </c>
      <c r="AT150" s="6" t="str">
        <f>HYPERLINK("http://www.worldcat.org/oclc/51022551","WorldCat Record")</f>
        <v>WorldCat Record</v>
      </c>
      <c r="AU150" s="3" t="s">
        <v>2060</v>
      </c>
      <c r="AV150" s="3" t="s">
        <v>2061</v>
      </c>
      <c r="AW150" s="3" t="s">
        <v>2062</v>
      </c>
      <c r="AX150" s="3" t="s">
        <v>2062</v>
      </c>
      <c r="AY150" s="3" t="s">
        <v>2063</v>
      </c>
      <c r="AZ150" s="3" t="s">
        <v>75</v>
      </c>
      <c r="BB150" s="3" t="s">
        <v>2064</v>
      </c>
      <c r="BC150" s="3" t="s">
        <v>2065</v>
      </c>
      <c r="BD150" s="3" t="s">
        <v>2066</v>
      </c>
    </row>
    <row r="151" spans="1:56" ht="54" customHeight="1" x14ac:dyDescent="0.25">
      <c r="A151" s="7" t="s">
        <v>58</v>
      </c>
      <c r="B151" s="2" t="s">
        <v>2067</v>
      </c>
      <c r="C151" s="2" t="s">
        <v>2068</v>
      </c>
      <c r="D151" s="2" t="s">
        <v>2069</v>
      </c>
      <c r="F151" s="3" t="s">
        <v>58</v>
      </c>
      <c r="G151" s="3" t="s">
        <v>59</v>
      </c>
      <c r="H151" s="3" t="s">
        <v>58</v>
      </c>
      <c r="I151" s="3" t="s">
        <v>58</v>
      </c>
      <c r="J151" s="3" t="s">
        <v>60</v>
      </c>
      <c r="K151" s="2" t="s">
        <v>2070</v>
      </c>
      <c r="L151" s="2" t="s">
        <v>2071</v>
      </c>
      <c r="M151" s="3" t="s">
        <v>1328</v>
      </c>
      <c r="O151" s="3" t="s">
        <v>65</v>
      </c>
      <c r="P151" s="3" t="s">
        <v>281</v>
      </c>
      <c r="R151" s="3" t="s">
        <v>67</v>
      </c>
      <c r="S151" s="4">
        <v>3</v>
      </c>
      <c r="T151" s="4">
        <v>3</v>
      </c>
      <c r="U151" s="5" t="s">
        <v>1990</v>
      </c>
      <c r="V151" s="5" t="s">
        <v>1990</v>
      </c>
      <c r="W151" s="5" t="s">
        <v>2072</v>
      </c>
      <c r="X151" s="5" t="s">
        <v>2072</v>
      </c>
      <c r="Y151" s="4">
        <v>372</v>
      </c>
      <c r="Z151" s="4">
        <v>207</v>
      </c>
      <c r="AA151" s="4">
        <v>209</v>
      </c>
      <c r="AB151" s="4">
        <v>2</v>
      </c>
      <c r="AC151" s="4">
        <v>2</v>
      </c>
      <c r="AD151" s="4">
        <v>7</v>
      </c>
      <c r="AE151" s="4">
        <v>7</v>
      </c>
      <c r="AF151" s="4">
        <v>2</v>
      </c>
      <c r="AG151" s="4">
        <v>2</v>
      </c>
      <c r="AH151" s="4">
        <v>1</v>
      </c>
      <c r="AI151" s="4">
        <v>1</v>
      </c>
      <c r="AJ151" s="4">
        <v>4</v>
      </c>
      <c r="AK151" s="4">
        <v>4</v>
      </c>
      <c r="AL151" s="4">
        <v>1</v>
      </c>
      <c r="AM151" s="4">
        <v>1</v>
      </c>
      <c r="AN151" s="4">
        <v>0</v>
      </c>
      <c r="AO151" s="4">
        <v>0</v>
      </c>
      <c r="AP151" s="3" t="s">
        <v>58</v>
      </c>
      <c r="AQ151" s="3" t="s">
        <v>70</v>
      </c>
      <c r="AR151" s="6" t="str">
        <f>HYPERLINK("http://catalog.hathitrust.org/Record/000101294","HathiTrust Record")</f>
        <v>HathiTrust Record</v>
      </c>
      <c r="AS151" s="6" t="str">
        <f>HYPERLINK("https://creighton-primo.hosted.exlibrisgroup.com/primo-explore/search?tab=default_tab&amp;search_scope=EVERYTHING&amp;vid=01CRU&amp;lang=en_US&amp;offset=0&amp;query=any,contains,991000029879702656","Catalog Record")</f>
        <v>Catalog Record</v>
      </c>
      <c r="AT151" s="6" t="str">
        <f>HYPERLINK("http://www.worldcat.org/oclc/8597053","WorldCat Record")</f>
        <v>WorldCat Record</v>
      </c>
      <c r="AU151" s="3" t="s">
        <v>2073</v>
      </c>
      <c r="AV151" s="3" t="s">
        <v>2074</v>
      </c>
      <c r="AW151" s="3" t="s">
        <v>2075</v>
      </c>
      <c r="AX151" s="3" t="s">
        <v>2075</v>
      </c>
      <c r="AY151" s="3" t="s">
        <v>2076</v>
      </c>
      <c r="AZ151" s="3" t="s">
        <v>75</v>
      </c>
      <c r="BB151" s="3" t="s">
        <v>2077</v>
      </c>
      <c r="BC151" s="3" t="s">
        <v>2078</v>
      </c>
      <c r="BD151" s="3" t="s">
        <v>2079</v>
      </c>
    </row>
    <row r="152" spans="1:56" ht="54" customHeight="1" x14ac:dyDescent="0.25">
      <c r="A152" s="7" t="s">
        <v>58</v>
      </c>
      <c r="B152" s="2" t="s">
        <v>2080</v>
      </c>
      <c r="C152" s="2" t="s">
        <v>2081</v>
      </c>
      <c r="D152" s="2" t="s">
        <v>2082</v>
      </c>
      <c r="F152" s="3" t="s">
        <v>58</v>
      </c>
      <c r="G152" s="3" t="s">
        <v>59</v>
      </c>
      <c r="H152" s="3" t="s">
        <v>58</v>
      </c>
      <c r="I152" s="3" t="s">
        <v>58</v>
      </c>
      <c r="J152" s="3" t="s">
        <v>60</v>
      </c>
      <c r="K152" s="2" t="s">
        <v>2083</v>
      </c>
      <c r="L152" s="2" t="s">
        <v>2084</v>
      </c>
      <c r="M152" s="3" t="s">
        <v>428</v>
      </c>
      <c r="O152" s="3" t="s">
        <v>65</v>
      </c>
      <c r="P152" s="3" t="s">
        <v>933</v>
      </c>
      <c r="R152" s="3" t="s">
        <v>67</v>
      </c>
      <c r="S152" s="4">
        <v>1</v>
      </c>
      <c r="T152" s="4">
        <v>1</v>
      </c>
      <c r="U152" s="5" t="s">
        <v>2085</v>
      </c>
      <c r="V152" s="5" t="s">
        <v>2085</v>
      </c>
      <c r="W152" s="5" t="s">
        <v>2085</v>
      </c>
      <c r="X152" s="5" t="s">
        <v>2085</v>
      </c>
      <c r="Y152" s="4">
        <v>242</v>
      </c>
      <c r="Z152" s="4">
        <v>201</v>
      </c>
      <c r="AA152" s="4">
        <v>417</v>
      </c>
      <c r="AB152" s="4">
        <v>2</v>
      </c>
      <c r="AC152" s="4">
        <v>2</v>
      </c>
      <c r="AD152" s="4">
        <v>13</v>
      </c>
      <c r="AE152" s="4">
        <v>22</v>
      </c>
      <c r="AF152" s="4">
        <v>1</v>
      </c>
      <c r="AG152" s="4">
        <v>8</v>
      </c>
      <c r="AH152" s="4">
        <v>4</v>
      </c>
      <c r="AI152" s="4">
        <v>7</v>
      </c>
      <c r="AJ152" s="4">
        <v>10</v>
      </c>
      <c r="AK152" s="4">
        <v>13</v>
      </c>
      <c r="AL152" s="4">
        <v>1</v>
      </c>
      <c r="AM152" s="4">
        <v>1</v>
      </c>
      <c r="AN152" s="4">
        <v>0</v>
      </c>
      <c r="AO152" s="4">
        <v>0</v>
      </c>
      <c r="AP152" s="3" t="s">
        <v>58</v>
      </c>
      <c r="AQ152" s="3" t="s">
        <v>70</v>
      </c>
      <c r="AR152" s="6" t="str">
        <f>HYPERLINK("http://catalog.hathitrust.org/Record/002059645","HathiTrust Record")</f>
        <v>HathiTrust Record</v>
      </c>
      <c r="AS152" s="6" t="str">
        <f>HYPERLINK("https://creighton-primo.hosted.exlibrisgroup.com/primo-explore/search?tab=default_tab&amp;search_scope=EVERYTHING&amp;vid=01CRU&amp;lang=en_US&amp;offset=0&amp;query=any,contains,991004139619702656","Catalog Record")</f>
        <v>Catalog Record</v>
      </c>
      <c r="AT152" s="6" t="str">
        <f>HYPERLINK("http://www.worldcat.org/oclc/20594246","WorldCat Record")</f>
        <v>WorldCat Record</v>
      </c>
      <c r="AU152" s="3" t="s">
        <v>2086</v>
      </c>
      <c r="AV152" s="3" t="s">
        <v>2087</v>
      </c>
      <c r="AW152" s="3" t="s">
        <v>2088</v>
      </c>
      <c r="AX152" s="3" t="s">
        <v>2088</v>
      </c>
      <c r="AY152" s="3" t="s">
        <v>2089</v>
      </c>
      <c r="AZ152" s="3" t="s">
        <v>75</v>
      </c>
      <c r="BB152" s="3" t="s">
        <v>2090</v>
      </c>
      <c r="BC152" s="3" t="s">
        <v>2091</v>
      </c>
      <c r="BD152" s="3" t="s">
        <v>2092</v>
      </c>
    </row>
    <row r="153" spans="1:56" ht="54" customHeight="1" x14ac:dyDescent="0.25">
      <c r="A153" s="7" t="s">
        <v>58</v>
      </c>
      <c r="B153" s="2" t="s">
        <v>2093</v>
      </c>
      <c r="C153" s="2" t="s">
        <v>2094</v>
      </c>
      <c r="D153" s="2" t="s">
        <v>2095</v>
      </c>
      <c r="F153" s="3" t="s">
        <v>58</v>
      </c>
      <c r="G153" s="3" t="s">
        <v>59</v>
      </c>
      <c r="H153" s="3" t="s">
        <v>58</v>
      </c>
      <c r="I153" s="3" t="s">
        <v>58</v>
      </c>
      <c r="J153" s="3" t="s">
        <v>60</v>
      </c>
      <c r="K153" s="2" t="s">
        <v>2096</v>
      </c>
      <c r="L153" s="2" t="s">
        <v>2097</v>
      </c>
      <c r="M153" s="3" t="s">
        <v>457</v>
      </c>
      <c r="O153" s="3" t="s">
        <v>65</v>
      </c>
      <c r="P153" s="3" t="s">
        <v>281</v>
      </c>
      <c r="R153" s="3" t="s">
        <v>67</v>
      </c>
      <c r="S153" s="4">
        <v>0</v>
      </c>
      <c r="T153" s="4">
        <v>0</v>
      </c>
      <c r="U153" s="5" t="s">
        <v>2098</v>
      </c>
      <c r="V153" s="5" t="s">
        <v>2098</v>
      </c>
      <c r="W153" s="5" t="s">
        <v>87</v>
      </c>
      <c r="X153" s="5" t="s">
        <v>87</v>
      </c>
      <c r="Y153" s="4">
        <v>326</v>
      </c>
      <c r="Z153" s="4">
        <v>216</v>
      </c>
      <c r="AA153" s="4">
        <v>218</v>
      </c>
      <c r="AB153" s="4">
        <v>2</v>
      </c>
      <c r="AC153" s="4">
        <v>2</v>
      </c>
      <c r="AD153" s="4">
        <v>10</v>
      </c>
      <c r="AE153" s="4">
        <v>10</v>
      </c>
      <c r="AF153" s="4">
        <v>0</v>
      </c>
      <c r="AG153" s="4">
        <v>0</v>
      </c>
      <c r="AH153" s="4">
        <v>4</v>
      </c>
      <c r="AI153" s="4">
        <v>4</v>
      </c>
      <c r="AJ153" s="4">
        <v>7</v>
      </c>
      <c r="AK153" s="4">
        <v>7</v>
      </c>
      <c r="AL153" s="4">
        <v>1</v>
      </c>
      <c r="AM153" s="4">
        <v>1</v>
      </c>
      <c r="AN153" s="4">
        <v>0</v>
      </c>
      <c r="AO153" s="4">
        <v>0</v>
      </c>
      <c r="AP153" s="3" t="s">
        <v>58</v>
      </c>
      <c r="AQ153" s="3" t="s">
        <v>58</v>
      </c>
      <c r="AS153" s="6" t="str">
        <f>HYPERLINK("https://creighton-primo.hosted.exlibrisgroup.com/primo-explore/search?tab=default_tab&amp;search_scope=EVERYTHING&amp;vid=01CRU&amp;lang=en_US&amp;offset=0&amp;query=any,contains,991004923369702656","Catalog Record")</f>
        <v>Catalog Record</v>
      </c>
      <c r="AT153" s="6" t="str">
        <f>HYPERLINK("http://www.worldcat.org/oclc/8865860","WorldCat Record")</f>
        <v>WorldCat Record</v>
      </c>
      <c r="AU153" s="3" t="s">
        <v>2099</v>
      </c>
      <c r="AV153" s="3" t="s">
        <v>2100</v>
      </c>
      <c r="AW153" s="3" t="s">
        <v>2101</v>
      </c>
      <c r="AX153" s="3" t="s">
        <v>2101</v>
      </c>
      <c r="AY153" s="3" t="s">
        <v>2102</v>
      </c>
      <c r="AZ153" s="3" t="s">
        <v>75</v>
      </c>
      <c r="BC153" s="3" t="s">
        <v>2103</v>
      </c>
      <c r="BD153" s="3" t="s">
        <v>2104</v>
      </c>
    </row>
    <row r="154" spans="1:56" ht="54" customHeight="1" x14ac:dyDescent="0.25">
      <c r="A154" s="7" t="s">
        <v>58</v>
      </c>
      <c r="B154" s="2" t="s">
        <v>2105</v>
      </c>
      <c r="C154" s="2" t="s">
        <v>2106</v>
      </c>
      <c r="D154" s="2" t="s">
        <v>2107</v>
      </c>
      <c r="F154" s="3" t="s">
        <v>58</v>
      </c>
      <c r="G154" s="3" t="s">
        <v>59</v>
      </c>
      <c r="H154" s="3" t="s">
        <v>58</v>
      </c>
      <c r="I154" s="3" t="s">
        <v>58</v>
      </c>
      <c r="J154" s="3" t="s">
        <v>60</v>
      </c>
      <c r="K154" s="2" t="s">
        <v>2108</v>
      </c>
      <c r="L154" s="2" t="s">
        <v>2109</v>
      </c>
      <c r="M154" s="3" t="s">
        <v>1123</v>
      </c>
      <c r="O154" s="3" t="s">
        <v>65</v>
      </c>
      <c r="P154" s="3" t="s">
        <v>66</v>
      </c>
      <c r="R154" s="3" t="s">
        <v>67</v>
      </c>
      <c r="S154" s="4">
        <v>4</v>
      </c>
      <c r="T154" s="4">
        <v>4</v>
      </c>
      <c r="U154" s="5" t="s">
        <v>2110</v>
      </c>
      <c r="V154" s="5" t="s">
        <v>2110</v>
      </c>
      <c r="W154" s="5" t="s">
        <v>87</v>
      </c>
      <c r="X154" s="5" t="s">
        <v>87</v>
      </c>
      <c r="Y154" s="4">
        <v>221</v>
      </c>
      <c r="Z154" s="4">
        <v>193</v>
      </c>
      <c r="AA154" s="4">
        <v>221</v>
      </c>
      <c r="AB154" s="4">
        <v>3</v>
      </c>
      <c r="AC154" s="4">
        <v>3</v>
      </c>
      <c r="AD154" s="4">
        <v>3</v>
      </c>
      <c r="AE154" s="4">
        <v>3</v>
      </c>
      <c r="AF154" s="4">
        <v>1</v>
      </c>
      <c r="AG154" s="4">
        <v>1</v>
      </c>
      <c r="AH154" s="4">
        <v>0</v>
      </c>
      <c r="AI154" s="4">
        <v>0</v>
      </c>
      <c r="AJ154" s="4">
        <v>0</v>
      </c>
      <c r="AK154" s="4">
        <v>0</v>
      </c>
      <c r="AL154" s="4">
        <v>2</v>
      </c>
      <c r="AM154" s="4">
        <v>2</v>
      </c>
      <c r="AN154" s="4">
        <v>0</v>
      </c>
      <c r="AO154" s="4">
        <v>0</v>
      </c>
      <c r="AP154" s="3" t="s">
        <v>58</v>
      </c>
      <c r="AQ154" s="3" t="s">
        <v>58</v>
      </c>
      <c r="AS154" s="6" t="str">
        <f>HYPERLINK("https://creighton-primo.hosted.exlibrisgroup.com/primo-explore/search?tab=default_tab&amp;search_scope=EVERYTHING&amp;vid=01CRU&amp;lang=en_US&amp;offset=0&amp;query=any,contains,991000413599702656","Catalog Record")</f>
        <v>Catalog Record</v>
      </c>
      <c r="AT154" s="6" t="str">
        <f>HYPERLINK("http://www.worldcat.org/oclc/10723023","WorldCat Record")</f>
        <v>WorldCat Record</v>
      </c>
      <c r="AU154" s="3" t="s">
        <v>2111</v>
      </c>
      <c r="AV154" s="3" t="s">
        <v>2112</v>
      </c>
      <c r="AW154" s="3" t="s">
        <v>2113</v>
      </c>
      <c r="AX154" s="3" t="s">
        <v>2113</v>
      </c>
      <c r="AY154" s="3" t="s">
        <v>2114</v>
      </c>
      <c r="AZ154" s="3" t="s">
        <v>75</v>
      </c>
      <c r="BB154" s="3" t="s">
        <v>2115</v>
      </c>
      <c r="BC154" s="3" t="s">
        <v>2116</v>
      </c>
      <c r="BD154" s="3" t="s">
        <v>2117</v>
      </c>
    </row>
    <row r="155" spans="1:56" ht="54" customHeight="1" x14ac:dyDescent="0.25">
      <c r="A155" s="7" t="s">
        <v>58</v>
      </c>
      <c r="B155" s="2" t="s">
        <v>2118</v>
      </c>
      <c r="C155" s="2" t="s">
        <v>2119</v>
      </c>
      <c r="D155" s="2" t="s">
        <v>2120</v>
      </c>
      <c r="F155" s="3" t="s">
        <v>58</v>
      </c>
      <c r="G155" s="3" t="s">
        <v>59</v>
      </c>
      <c r="H155" s="3" t="s">
        <v>58</v>
      </c>
      <c r="I155" s="3" t="s">
        <v>58</v>
      </c>
      <c r="J155" s="3" t="s">
        <v>60</v>
      </c>
      <c r="K155" s="2" t="s">
        <v>2121</v>
      </c>
      <c r="L155" s="2" t="s">
        <v>2122</v>
      </c>
      <c r="M155" s="3" t="s">
        <v>2123</v>
      </c>
      <c r="N155" s="2" t="s">
        <v>250</v>
      </c>
      <c r="O155" s="3" t="s">
        <v>65</v>
      </c>
      <c r="P155" s="3" t="s">
        <v>66</v>
      </c>
      <c r="R155" s="3" t="s">
        <v>67</v>
      </c>
      <c r="S155" s="4">
        <v>3</v>
      </c>
      <c r="T155" s="4">
        <v>3</v>
      </c>
      <c r="U155" s="5" t="s">
        <v>2124</v>
      </c>
      <c r="V155" s="5" t="s">
        <v>2124</v>
      </c>
      <c r="W155" s="5" t="s">
        <v>2125</v>
      </c>
      <c r="X155" s="5" t="s">
        <v>2125</v>
      </c>
      <c r="Y155" s="4">
        <v>95</v>
      </c>
      <c r="Z155" s="4">
        <v>84</v>
      </c>
      <c r="AA155" s="4">
        <v>147</v>
      </c>
      <c r="AB155" s="4">
        <v>2</v>
      </c>
      <c r="AC155" s="4">
        <v>2</v>
      </c>
      <c r="AD155" s="4">
        <v>1</v>
      </c>
      <c r="AE155" s="4">
        <v>3</v>
      </c>
      <c r="AF155" s="4">
        <v>0</v>
      </c>
      <c r="AG155" s="4">
        <v>1</v>
      </c>
      <c r="AH155" s="4">
        <v>0</v>
      </c>
      <c r="AI155" s="4">
        <v>1</v>
      </c>
      <c r="AJ155" s="4">
        <v>0</v>
      </c>
      <c r="AK155" s="4">
        <v>0</v>
      </c>
      <c r="AL155" s="4">
        <v>1</v>
      </c>
      <c r="AM155" s="4">
        <v>1</v>
      </c>
      <c r="AN155" s="4">
        <v>0</v>
      </c>
      <c r="AO155" s="4">
        <v>0</v>
      </c>
      <c r="AP155" s="3" t="s">
        <v>58</v>
      </c>
      <c r="AQ155" s="3" t="s">
        <v>70</v>
      </c>
      <c r="AR155" s="6" t="str">
        <f>HYPERLINK("http://catalog.hathitrust.org/Record/002872396","HathiTrust Record")</f>
        <v>HathiTrust Record</v>
      </c>
      <c r="AS155" s="6" t="str">
        <f>HYPERLINK("https://creighton-primo.hosted.exlibrisgroup.com/primo-explore/search?tab=default_tab&amp;search_scope=EVERYTHING&amp;vid=01CRU&amp;lang=en_US&amp;offset=0&amp;query=any,contains,991003887409702656","Catalog Record")</f>
        <v>Catalog Record</v>
      </c>
      <c r="AT155" s="6" t="str">
        <f>HYPERLINK("http://www.worldcat.org/oclc/1742051","WorldCat Record")</f>
        <v>WorldCat Record</v>
      </c>
      <c r="AU155" s="3" t="s">
        <v>2126</v>
      </c>
      <c r="AV155" s="3" t="s">
        <v>2127</v>
      </c>
      <c r="AW155" s="3" t="s">
        <v>2128</v>
      </c>
      <c r="AX155" s="3" t="s">
        <v>2128</v>
      </c>
      <c r="AY155" s="3" t="s">
        <v>2129</v>
      </c>
      <c r="AZ155" s="3" t="s">
        <v>75</v>
      </c>
      <c r="BC155" s="3" t="s">
        <v>2130</v>
      </c>
      <c r="BD155" s="3" t="s">
        <v>2131</v>
      </c>
    </row>
    <row r="156" spans="1:56" ht="54" customHeight="1" x14ac:dyDescent="0.25">
      <c r="A156" s="7" t="s">
        <v>58</v>
      </c>
      <c r="B156" s="2" t="s">
        <v>2132</v>
      </c>
      <c r="C156" s="2" t="s">
        <v>2133</v>
      </c>
      <c r="D156" s="2" t="s">
        <v>2134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60</v>
      </c>
      <c r="K156" s="2" t="s">
        <v>2135</v>
      </c>
      <c r="L156" s="2" t="s">
        <v>2136</v>
      </c>
      <c r="M156" s="3" t="s">
        <v>750</v>
      </c>
      <c r="O156" s="3" t="s">
        <v>65</v>
      </c>
      <c r="P156" s="3" t="s">
        <v>66</v>
      </c>
      <c r="R156" s="3" t="s">
        <v>67</v>
      </c>
      <c r="S156" s="4">
        <v>0</v>
      </c>
      <c r="T156" s="4">
        <v>0</v>
      </c>
      <c r="U156" s="5" t="s">
        <v>2137</v>
      </c>
      <c r="V156" s="5" t="s">
        <v>2137</v>
      </c>
      <c r="W156" s="5" t="s">
        <v>1395</v>
      </c>
      <c r="X156" s="5" t="s">
        <v>1395</v>
      </c>
      <c r="Y156" s="4">
        <v>441</v>
      </c>
      <c r="Z156" s="4">
        <v>397</v>
      </c>
      <c r="AA156" s="4">
        <v>436</v>
      </c>
      <c r="AB156" s="4">
        <v>5</v>
      </c>
      <c r="AC156" s="4">
        <v>5</v>
      </c>
      <c r="AD156" s="4">
        <v>14</v>
      </c>
      <c r="AE156" s="4">
        <v>15</v>
      </c>
      <c r="AF156" s="4">
        <v>5</v>
      </c>
      <c r="AG156" s="4">
        <v>6</v>
      </c>
      <c r="AH156" s="4">
        <v>3</v>
      </c>
      <c r="AI156" s="4">
        <v>3</v>
      </c>
      <c r="AJ156" s="4">
        <v>4</v>
      </c>
      <c r="AK156" s="4">
        <v>4</v>
      </c>
      <c r="AL156" s="4">
        <v>4</v>
      </c>
      <c r="AM156" s="4">
        <v>4</v>
      </c>
      <c r="AN156" s="4">
        <v>0</v>
      </c>
      <c r="AO156" s="4">
        <v>0</v>
      </c>
      <c r="AP156" s="3" t="s">
        <v>58</v>
      </c>
      <c r="AQ156" s="3" t="s">
        <v>70</v>
      </c>
      <c r="AR156" s="6" t="str">
        <f>HYPERLINK("http://catalog.hathitrust.org/Record/001469024","HathiTrust Record")</f>
        <v>HathiTrust Record</v>
      </c>
      <c r="AS156" s="6" t="str">
        <f>HYPERLINK("https://creighton-primo.hosted.exlibrisgroup.com/primo-explore/search?tab=default_tab&amp;search_scope=EVERYTHING&amp;vid=01CRU&amp;lang=en_US&amp;offset=0&amp;query=any,contains,991000604969702656","Catalog Record")</f>
        <v>Catalog Record</v>
      </c>
      <c r="AT156" s="6" t="str">
        <f>HYPERLINK("http://www.worldcat.org/oclc/98740","WorldCat Record")</f>
        <v>WorldCat Record</v>
      </c>
      <c r="AU156" s="3" t="s">
        <v>2138</v>
      </c>
      <c r="AV156" s="3" t="s">
        <v>2139</v>
      </c>
      <c r="AW156" s="3" t="s">
        <v>2140</v>
      </c>
      <c r="AX156" s="3" t="s">
        <v>2140</v>
      </c>
      <c r="AY156" s="3" t="s">
        <v>2141</v>
      </c>
      <c r="AZ156" s="3" t="s">
        <v>75</v>
      </c>
      <c r="BC156" s="3" t="s">
        <v>2142</v>
      </c>
      <c r="BD156" s="3" t="s">
        <v>2143</v>
      </c>
    </row>
    <row r="157" spans="1:56" ht="54" customHeight="1" x14ac:dyDescent="0.25">
      <c r="A157" s="7" t="s">
        <v>58</v>
      </c>
      <c r="B157" s="2" t="s">
        <v>2144</v>
      </c>
      <c r="C157" s="2" t="s">
        <v>2145</v>
      </c>
      <c r="D157" s="2" t="s">
        <v>2146</v>
      </c>
      <c r="F157" s="3" t="s">
        <v>58</v>
      </c>
      <c r="G157" s="3" t="s">
        <v>59</v>
      </c>
      <c r="H157" s="3" t="s">
        <v>58</v>
      </c>
      <c r="I157" s="3" t="s">
        <v>58</v>
      </c>
      <c r="J157" s="3" t="s">
        <v>60</v>
      </c>
      <c r="L157" s="2" t="s">
        <v>2147</v>
      </c>
      <c r="M157" s="3" t="s">
        <v>428</v>
      </c>
      <c r="O157" s="3" t="s">
        <v>65</v>
      </c>
      <c r="P157" s="3" t="s">
        <v>281</v>
      </c>
      <c r="R157" s="3" t="s">
        <v>67</v>
      </c>
      <c r="S157" s="4">
        <v>17</v>
      </c>
      <c r="T157" s="4">
        <v>17</v>
      </c>
      <c r="U157" s="5" t="s">
        <v>2148</v>
      </c>
      <c r="V157" s="5" t="s">
        <v>2148</v>
      </c>
      <c r="W157" s="5" t="s">
        <v>2149</v>
      </c>
      <c r="X157" s="5" t="s">
        <v>2149</v>
      </c>
      <c r="Y157" s="4">
        <v>141</v>
      </c>
      <c r="Z157" s="4">
        <v>29</v>
      </c>
      <c r="AA157" s="4">
        <v>154</v>
      </c>
      <c r="AB157" s="4">
        <v>1</v>
      </c>
      <c r="AC157" s="4">
        <v>4</v>
      </c>
      <c r="AD157" s="4">
        <v>0</v>
      </c>
      <c r="AE157" s="4">
        <v>2</v>
      </c>
      <c r="AF157" s="4">
        <v>0</v>
      </c>
      <c r="AG157" s="4">
        <v>1</v>
      </c>
      <c r="AH157" s="4">
        <v>0</v>
      </c>
      <c r="AI157" s="4">
        <v>0</v>
      </c>
      <c r="AJ157" s="4">
        <v>0</v>
      </c>
      <c r="AK157" s="4">
        <v>1</v>
      </c>
      <c r="AL157" s="4">
        <v>0</v>
      </c>
      <c r="AM157" s="4">
        <v>0</v>
      </c>
      <c r="AN157" s="4">
        <v>0</v>
      </c>
      <c r="AO157" s="4">
        <v>0</v>
      </c>
      <c r="AP157" s="3" t="s">
        <v>58</v>
      </c>
      <c r="AQ157" s="3" t="s">
        <v>58</v>
      </c>
      <c r="AS157" s="6" t="str">
        <f>HYPERLINK("https://creighton-primo.hosted.exlibrisgroup.com/primo-explore/search?tab=default_tab&amp;search_scope=EVERYTHING&amp;vid=01CRU&amp;lang=en_US&amp;offset=0&amp;query=any,contains,991001735779702656","Catalog Record")</f>
        <v>Catalog Record</v>
      </c>
      <c r="AT157" s="6" t="str">
        <f>HYPERLINK("http://www.worldcat.org/oclc/21971779","WorldCat Record")</f>
        <v>WorldCat Record</v>
      </c>
      <c r="AU157" s="3" t="s">
        <v>2150</v>
      </c>
      <c r="AV157" s="3" t="s">
        <v>2151</v>
      </c>
      <c r="AW157" s="3" t="s">
        <v>2152</v>
      </c>
      <c r="AX157" s="3" t="s">
        <v>2152</v>
      </c>
      <c r="AY157" s="3" t="s">
        <v>2153</v>
      </c>
      <c r="AZ157" s="3" t="s">
        <v>75</v>
      </c>
      <c r="BB157" s="3" t="s">
        <v>2154</v>
      </c>
      <c r="BC157" s="3" t="s">
        <v>2155</v>
      </c>
      <c r="BD157" s="3" t="s">
        <v>2156</v>
      </c>
    </row>
    <row r="158" spans="1:56" ht="54" customHeight="1" x14ac:dyDescent="0.25">
      <c r="A158" s="7" t="s">
        <v>58</v>
      </c>
      <c r="B158" s="2" t="s">
        <v>2157</v>
      </c>
      <c r="C158" s="2" t="s">
        <v>2158</v>
      </c>
      <c r="D158" s="2" t="s">
        <v>2159</v>
      </c>
      <c r="F158" s="3" t="s">
        <v>58</v>
      </c>
      <c r="G158" s="3" t="s">
        <v>59</v>
      </c>
      <c r="H158" s="3" t="s">
        <v>58</v>
      </c>
      <c r="I158" s="3" t="s">
        <v>58</v>
      </c>
      <c r="J158" s="3" t="s">
        <v>60</v>
      </c>
      <c r="K158" s="2" t="s">
        <v>2160</v>
      </c>
      <c r="L158" s="2" t="s">
        <v>2161</v>
      </c>
      <c r="M158" s="3" t="s">
        <v>823</v>
      </c>
      <c r="O158" s="3" t="s">
        <v>65</v>
      </c>
      <c r="P158" s="3" t="s">
        <v>2162</v>
      </c>
      <c r="R158" s="3" t="s">
        <v>67</v>
      </c>
      <c r="S158" s="4">
        <v>10</v>
      </c>
      <c r="T158" s="4">
        <v>10</v>
      </c>
      <c r="U158" s="5" t="s">
        <v>2148</v>
      </c>
      <c r="V158" s="5" t="s">
        <v>2148</v>
      </c>
      <c r="W158" s="5" t="s">
        <v>2163</v>
      </c>
      <c r="X158" s="5" t="s">
        <v>2163</v>
      </c>
      <c r="Y158" s="4">
        <v>236</v>
      </c>
      <c r="Z158" s="4">
        <v>203</v>
      </c>
      <c r="AA158" s="4">
        <v>203</v>
      </c>
      <c r="AB158" s="4">
        <v>2</v>
      </c>
      <c r="AC158" s="4">
        <v>2</v>
      </c>
      <c r="AD158" s="4">
        <v>4</v>
      </c>
      <c r="AE158" s="4">
        <v>4</v>
      </c>
      <c r="AF158" s="4">
        <v>3</v>
      </c>
      <c r="AG158" s="4">
        <v>3</v>
      </c>
      <c r="AH158" s="4">
        <v>0</v>
      </c>
      <c r="AI158" s="4">
        <v>0</v>
      </c>
      <c r="AJ158" s="4">
        <v>0</v>
      </c>
      <c r="AK158" s="4">
        <v>0</v>
      </c>
      <c r="AL158" s="4">
        <v>1</v>
      </c>
      <c r="AM158" s="4">
        <v>1</v>
      </c>
      <c r="AN158" s="4">
        <v>0</v>
      </c>
      <c r="AO158" s="4">
        <v>0</v>
      </c>
      <c r="AP158" s="3" t="s">
        <v>58</v>
      </c>
      <c r="AQ158" s="3" t="s">
        <v>58</v>
      </c>
      <c r="AS158" s="6" t="str">
        <f>HYPERLINK("https://creighton-primo.hosted.exlibrisgroup.com/primo-explore/search?tab=default_tab&amp;search_scope=EVERYTHING&amp;vid=01CRU&amp;lang=en_US&amp;offset=0&amp;query=any,contains,991001311959702656","Catalog Record")</f>
        <v>Catalog Record</v>
      </c>
      <c r="AT158" s="6" t="str">
        <f>HYPERLINK("http://www.worldcat.org/oclc/18159943","WorldCat Record")</f>
        <v>WorldCat Record</v>
      </c>
      <c r="AU158" s="3" t="s">
        <v>2164</v>
      </c>
      <c r="AV158" s="3" t="s">
        <v>2165</v>
      </c>
      <c r="AW158" s="3" t="s">
        <v>2166</v>
      </c>
      <c r="AX158" s="3" t="s">
        <v>2166</v>
      </c>
      <c r="AY158" s="3" t="s">
        <v>2167</v>
      </c>
      <c r="AZ158" s="3" t="s">
        <v>75</v>
      </c>
      <c r="BB158" s="3" t="s">
        <v>2168</v>
      </c>
      <c r="BC158" s="3" t="s">
        <v>2169</v>
      </c>
      <c r="BD158" s="3" t="s">
        <v>2170</v>
      </c>
    </row>
    <row r="159" spans="1:56" ht="54" customHeight="1" x14ac:dyDescent="0.25">
      <c r="A159" s="7" t="s">
        <v>58</v>
      </c>
      <c r="B159" s="2" t="s">
        <v>2171</v>
      </c>
      <c r="C159" s="2" t="s">
        <v>2172</v>
      </c>
      <c r="D159" s="2" t="s">
        <v>2173</v>
      </c>
      <c r="F159" s="3" t="s">
        <v>58</v>
      </c>
      <c r="G159" s="3" t="s">
        <v>59</v>
      </c>
      <c r="H159" s="3" t="s">
        <v>58</v>
      </c>
      <c r="I159" s="3" t="s">
        <v>58</v>
      </c>
      <c r="J159" s="3" t="s">
        <v>60</v>
      </c>
      <c r="K159" s="2" t="s">
        <v>2174</v>
      </c>
      <c r="L159" s="2" t="s">
        <v>2175</v>
      </c>
      <c r="M159" s="3" t="s">
        <v>808</v>
      </c>
      <c r="O159" s="3" t="s">
        <v>65</v>
      </c>
      <c r="P159" s="3" t="s">
        <v>251</v>
      </c>
      <c r="R159" s="3" t="s">
        <v>67</v>
      </c>
      <c r="S159" s="4">
        <v>5</v>
      </c>
      <c r="T159" s="4">
        <v>5</v>
      </c>
      <c r="U159" s="5" t="s">
        <v>2176</v>
      </c>
      <c r="V159" s="5" t="s">
        <v>2176</v>
      </c>
      <c r="W159" s="5" t="s">
        <v>2177</v>
      </c>
      <c r="X159" s="5" t="s">
        <v>2177</v>
      </c>
      <c r="Y159" s="4">
        <v>773</v>
      </c>
      <c r="Z159" s="4">
        <v>657</v>
      </c>
      <c r="AA159" s="4">
        <v>657</v>
      </c>
      <c r="AB159" s="4">
        <v>7</v>
      </c>
      <c r="AC159" s="4">
        <v>7</v>
      </c>
      <c r="AD159" s="4">
        <v>30</v>
      </c>
      <c r="AE159" s="4">
        <v>30</v>
      </c>
      <c r="AF159" s="4">
        <v>14</v>
      </c>
      <c r="AG159" s="4">
        <v>14</v>
      </c>
      <c r="AH159" s="4">
        <v>7</v>
      </c>
      <c r="AI159" s="4">
        <v>7</v>
      </c>
      <c r="AJ159" s="4">
        <v>7</v>
      </c>
      <c r="AK159" s="4">
        <v>7</v>
      </c>
      <c r="AL159" s="4">
        <v>6</v>
      </c>
      <c r="AM159" s="4">
        <v>6</v>
      </c>
      <c r="AN159" s="4">
        <v>0</v>
      </c>
      <c r="AO159" s="4">
        <v>0</v>
      </c>
      <c r="AP159" s="3" t="s">
        <v>58</v>
      </c>
      <c r="AQ159" s="3" t="s">
        <v>58</v>
      </c>
      <c r="AS159" s="6" t="str">
        <f>HYPERLINK("https://creighton-primo.hosted.exlibrisgroup.com/primo-explore/search?tab=default_tab&amp;search_scope=EVERYTHING&amp;vid=01CRU&amp;lang=en_US&amp;offset=0&amp;query=any,contains,991001255699702656","Catalog Record")</f>
        <v>Catalog Record</v>
      </c>
      <c r="AT159" s="6" t="str">
        <f>HYPERLINK("http://www.worldcat.org/oclc/17731309","WorldCat Record")</f>
        <v>WorldCat Record</v>
      </c>
      <c r="AU159" s="3" t="s">
        <v>2178</v>
      </c>
      <c r="AV159" s="3" t="s">
        <v>2179</v>
      </c>
      <c r="AW159" s="3" t="s">
        <v>2180</v>
      </c>
      <c r="AX159" s="3" t="s">
        <v>2180</v>
      </c>
      <c r="AY159" s="3" t="s">
        <v>2181</v>
      </c>
      <c r="AZ159" s="3" t="s">
        <v>75</v>
      </c>
      <c r="BB159" s="3" t="s">
        <v>2182</v>
      </c>
      <c r="BC159" s="3" t="s">
        <v>2183</v>
      </c>
      <c r="BD159" s="3" t="s">
        <v>2184</v>
      </c>
    </row>
    <row r="160" spans="1:56" ht="54" customHeight="1" x14ac:dyDescent="0.25">
      <c r="A160" s="7" t="s">
        <v>58</v>
      </c>
      <c r="B160" s="2" t="s">
        <v>2185</v>
      </c>
      <c r="C160" s="2" t="s">
        <v>2186</v>
      </c>
      <c r="D160" s="2" t="s">
        <v>2187</v>
      </c>
      <c r="F160" s="3" t="s">
        <v>58</v>
      </c>
      <c r="G160" s="3" t="s">
        <v>59</v>
      </c>
      <c r="H160" s="3" t="s">
        <v>58</v>
      </c>
      <c r="I160" s="3" t="s">
        <v>58</v>
      </c>
      <c r="J160" s="3" t="s">
        <v>60</v>
      </c>
      <c r="K160" s="2" t="s">
        <v>2188</v>
      </c>
      <c r="L160" s="2" t="s">
        <v>2189</v>
      </c>
      <c r="M160" s="3" t="s">
        <v>1016</v>
      </c>
      <c r="O160" s="3" t="s">
        <v>65</v>
      </c>
      <c r="P160" s="3" t="s">
        <v>737</v>
      </c>
      <c r="R160" s="3" t="s">
        <v>67</v>
      </c>
      <c r="S160" s="4">
        <v>7</v>
      </c>
      <c r="T160" s="4">
        <v>7</v>
      </c>
      <c r="U160" s="5" t="s">
        <v>2190</v>
      </c>
      <c r="V160" s="5" t="s">
        <v>2190</v>
      </c>
      <c r="W160" s="5" t="s">
        <v>2191</v>
      </c>
      <c r="X160" s="5" t="s">
        <v>2191</v>
      </c>
      <c r="Y160" s="4">
        <v>921</v>
      </c>
      <c r="Z160" s="4">
        <v>828</v>
      </c>
      <c r="AA160" s="4">
        <v>862</v>
      </c>
      <c r="AB160" s="4">
        <v>4</v>
      </c>
      <c r="AC160" s="4">
        <v>4</v>
      </c>
      <c r="AD160" s="4">
        <v>28</v>
      </c>
      <c r="AE160" s="4">
        <v>28</v>
      </c>
      <c r="AF160" s="4">
        <v>14</v>
      </c>
      <c r="AG160" s="4">
        <v>14</v>
      </c>
      <c r="AH160" s="4">
        <v>6</v>
      </c>
      <c r="AI160" s="4">
        <v>6</v>
      </c>
      <c r="AJ160" s="4">
        <v>11</v>
      </c>
      <c r="AK160" s="4">
        <v>11</v>
      </c>
      <c r="AL160" s="4">
        <v>3</v>
      </c>
      <c r="AM160" s="4">
        <v>3</v>
      </c>
      <c r="AN160" s="4">
        <v>0</v>
      </c>
      <c r="AO160" s="4">
        <v>0</v>
      </c>
      <c r="AP160" s="3" t="s">
        <v>58</v>
      </c>
      <c r="AQ160" s="3" t="s">
        <v>58</v>
      </c>
      <c r="AS160" s="6" t="str">
        <f>HYPERLINK("https://creighton-primo.hosted.exlibrisgroup.com/primo-explore/search?tab=default_tab&amp;search_scope=EVERYTHING&amp;vid=01CRU&amp;lang=en_US&amp;offset=0&amp;query=any,contains,991004426569702656","Catalog Record")</f>
        <v>Catalog Record</v>
      </c>
      <c r="AT160" s="6" t="str">
        <f>HYPERLINK("http://www.worldcat.org/oclc/53336222","WorldCat Record")</f>
        <v>WorldCat Record</v>
      </c>
      <c r="AU160" s="3" t="s">
        <v>2192</v>
      </c>
      <c r="AV160" s="3" t="s">
        <v>2193</v>
      </c>
      <c r="AW160" s="3" t="s">
        <v>2194</v>
      </c>
      <c r="AX160" s="3" t="s">
        <v>2194</v>
      </c>
      <c r="AY160" s="3" t="s">
        <v>2195</v>
      </c>
      <c r="AZ160" s="3" t="s">
        <v>75</v>
      </c>
      <c r="BB160" s="3" t="s">
        <v>2196</v>
      </c>
      <c r="BC160" s="3" t="s">
        <v>2197</v>
      </c>
      <c r="BD160" s="3" t="s">
        <v>2198</v>
      </c>
    </row>
    <row r="161" spans="1:56" ht="54" customHeight="1" x14ac:dyDescent="0.25">
      <c r="A161" s="7" t="s">
        <v>58</v>
      </c>
      <c r="B161" s="2" t="s">
        <v>2199</v>
      </c>
      <c r="C161" s="2" t="s">
        <v>2200</v>
      </c>
      <c r="D161" s="2" t="s">
        <v>2201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60</v>
      </c>
      <c r="K161" s="2" t="s">
        <v>2202</v>
      </c>
      <c r="L161" s="2" t="s">
        <v>2203</v>
      </c>
      <c r="M161" s="3" t="s">
        <v>1165</v>
      </c>
      <c r="O161" s="3" t="s">
        <v>65</v>
      </c>
      <c r="P161" s="3" t="s">
        <v>386</v>
      </c>
      <c r="Q161" s="2" t="s">
        <v>2204</v>
      </c>
      <c r="R161" s="3" t="s">
        <v>67</v>
      </c>
      <c r="S161" s="4">
        <v>1</v>
      </c>
      <c r="T161" s="4">
        <v>1</v>
      </c>
      <c r="U161" s="5" t="s">
        <v>2205</v>
      </c>
      <c r="V161" s="5" t="s">
        <v>2205</v>
      </c>
      <c r="W161" s="5" t="s">
        <v>2206</v>
      </c>
      <c r="X161" s="5" t="s">
        <v>2206</v>
      </c>
      <c r="Y161" s="4">
        <v>680</v>
      </c>
      <c r="Z161" s="4">
        <v>595</v>
      </c>
      <c r="AA161" s="4">
        <v>609</v>
      </c>
      <c r="AB161" s="4">
        <v>4</v>
      </c>
      <c r="AC161" s="4">
        <v>4</v>
      </c>
      <c r="AD161" s="4">
        <v>24</v>
      </c>
      <c r="AE161" s="4">
        <v>24</v>
      </c>
      <c r="AF161" s="4">
        <v>9</v>
      </c>
      <c r="AG161" s="4">
        <v>9</v>
      </c>
      <c r="AH161" s="4">
        <v>6</v>
      </c>
      <c r="AI161" s="4">
        <v>6</v>
      </c>
      <c r="AJ161" s="4">
        <v>13</v>
      </c>
      <c r="AK161" s="4">
        <v>13</v>
      </c>
      <c r="AL161" s="4">
        <v>3</v>
      </c>
      <c r="AM161" s="4">
        <v>3</v>
      </c>
      <c r="AN161" s="4">
        <v>0</v>
      </c>
      <c r="AO161" s="4">
        <v>0</v>
      </c>
      <c r="AP161" s="3" t="s">
        <v>58</v>
      </c>
      <c r="AQ161" s="3" t="s">
        <v>58</v>
      </c>
      <c r="AS161" s="6" t="str">
        <f>HYPERLINK("https://creighton-primo.hosted.exlibrisgroup.com/primo-explore/search?tab=default_tab&amp;search_scope=EVERYTHING&amp;vid=01CRU&amp;lang=en_US&amp;offset=0&amp;query=any,contains,991003781929702656","Catalog Record")</f>
        <v>Catalog Record</v>
      </c>
      <c r="AT161" s="6" t="str">
        <f>HYPERLINK("http://www.worldcat.org/oclc/44117928","WorldCat Record")</f>
        <v>WorldCat Record</v>
      </c>
      <c r="AU161" s="3" t="s">
        <v>2207</v>
      </c>
      <c r="AV161" s="3" t="s">
        <v>2208</v>
      </c>
      <c r="AW161" s="3" t="s">
        <v>2209</v>
      </c>
      <c r="AX161" s="3" t="s">
        <v>2209</v>
      </c>
      <c r="AY161" s="3" t="s">
        <v>2210</v>
      </c>
      <c r="AZ161" s="3" t="s">
        <v>75</v>
      </c>
      <c r="BB161" s="3" t="s">
        <v>2211</v>
      </c>
      <c r="BC161" s="3" t="s">
        <v>2212</v>
      </c>
      <c r="BD161" s="3" t="s">
        <v>2213</v>
      </c>
    </row>
    <row r="162" spans="1:56" ht="54" customHeight="1" x14ac:dyDescent="0.25">
      <c r="A162" s="7" t="s">
        <v>58</v>
      </c>
      <c r="B162" s="2" t="s">
        <v>2214</v>
      </c>
      <c r="C162" s="2" t="s">
        <v>2215</v>
      </c>
      <c r="D162" s="2" t="s">
        <v>2216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L162" s="2" t="s">
        <v>2217</v>
      </c>
      <c r="M162" s="3" t="s">
        <v>2218</v>
      </c>
      <c r="O162" s="3" t="s">
        <v>65</v>
      </c>
      <c r="P162" s="3" t="s">
        <v>737</v>
      </c>
      <c r="R162" s="3" t="s">
        <v>67</v>
      </c>
      <c r="S162" s="4">
        <v>1</v>
      </c>
      <c r="T162" s="4">
        <v>1</v>
      </c>
      <c r="U162" s="5" t="s">
        <v>2219</v>
      </c>
      <c r="V162" s="5" t="s">
        <v>2219</v>
      </c>
      <c r="W162" s="5" t="s">
        <v>2219</v>
      </c>
      <c r="X162" s="5" t="s">
        <v>2219</v>
      </c>
      <c r="Y162" s="4">
        <v>496</v>
      </c>
      <c r="Z162" s="4">
        <v>447</v>
      </c>
      <c r="AA162" s="4">
        <v>479</v>
      </c>
      <c r="AB162" s="4">
        <v>3</v>
      </c>
      <c r="AC162" s="4">
        <v>3</v>
      </c>
      <c r="AD162" s="4">
        <v>17</v>
      </c>
      <c r="AE162" s="4">
        <v>18</v>
      </c>
      <c r="AF162" s="4">
        <v>9</v>
      </c>
      <c r="AG162" s="4">
        <v>10</v>
      </c>
      <c r="AH162" s="4">
        <v>4</v>
      </c>
      <c r="AI162" s="4">
        <v>4</v>
      </c>
      <c r="AJ162" s="4">
        <v>5</v>
      </c>
      <c r="AK162" s="4">
        <v>5</v>
      </c>
      <c r="AL162" s="4">
        <v>2</v>
      </c>
      <c r="AM162" s="4">
        <v>2</v>
      </c>
      <c r="AN162" s="4">
        <v>0</v>
      </c>
      <c r="AO162" s="4">
        <v>0</v>
      </c>
      <c r="AP162" s="3" t="s">
        <v>58</v>
      </c>
      <c r="AQ162" s="3" t="s">
        <v>58</v>
      </c>
      <c r="AS162" s="6" t="str">
        <f>HYPERLINK("https://creighton-primo.hosted.exlibrisgroup.com/primo-explore/search?tab=default_tab&amp;search_scope=EVERYTHING&amp;vid=01CRU&amp;lang=en_US&amp;offset=0&amp;query=any,contains,991004847249702656","Catalog Record")</f>
        <v>Catalog Record</v>
      </c>
      <c r="AT162" s="6" t="str">
        <f>HYPERLINK("http://www.worldcat.org/oclc/57724792","WorldCat Record")</f>
        <v>WorldCat Record</v>
      </c>
      <c r="AU162" s="3" t="s">
        <v>2220</v>
      </c>
      <c r="AV162" s="3" t="s">
        <v>2221</v>
      </c>
      <c r="AW162" s="3" t="s">
        <v>2222</v>
      </c>
      <c r="AX162" s="3" t="s">
        <v>2222</v>
      </c>
      <c r="AY162" s="3" t="s">
        <v>2223</v>
      </c>
      <c r="AZ162" s="3" t="s">
        <v>75</v>
      </c>
      <c r="BB162" s="3" t="s">
        <v>2224</v>
      </c>
      <c r="BC162" s="3" t="s">
        <v>2225</v>
      </c>
      <c r="BD162" s="3" t="s">
        <v>2226</v>
      </c>
    </row>
    <row r="163" spans="1:56" ht="54" customHeight="1" x14ac:dyDescent="0.25">
      <c r="A163" s="7" t="s">
        <v>58</v>
      </c>
      <c r="B163" s="2" t="s">
        <v>2227</v>
      </c>
      <c r="C163" s="2" t="s">
        <v>2228</v>
      </c>
      <c r="D163" s="2" t="s">
        <v>2229</v>
      </c>
      <c r="F163" s="3" t="s">
        <v>58</v>
      </c>
      <c r="G163" s="3" t="s">
        <v>59</v>
      </c>
      <c r="H163" s="3" t="s">
        <v>58</v>
      </c>
      <c r="I163" s="3" t="s">
        <v>58</v>
      </c>
      <c r="J163" s="3" t="s">
        <v>60</v>
      </c>
      <c r="K163" s="2" t="s">
        <v>2230</v>
      </c>
      <c r="L163" s="2" t="s">
        <v>2231</v>
      </c>
      <c r="M163" s="3" t="s">
        <v>1248</v>
      </c>
      <c r="O163" s="3" t="s">
        <v>65</v>
      </c>
      <c r="P163" s="3" t="s">
        <v>386</v>
      </c>
      <c r="R163" s="3" t="s">
        <v>67</v>
      </c>
      <c r="S163" s="4">
        <v>5</v>
      </c>
      <c r="T163" s="4">
        <v>5</v>
      </c>
      <c r="U163" s="5" t="s">
        <v>2232</v>
      </c>
      <c r="V163" s="5" t="s">
        <v>2232</v>
      </c>
      <c r="W163" s="5" t="s">
        <v>2233</v>
      </c>
      <c r="X163" s="5" t="s">
        <v>2233</v>
      </c>
      <c r="Y163" s="4">
        <v>361</v>
      </c>
      <c r="Z163" s="4">
        <v>272</v>
      </c>
      <c r="AA163" s="4">
        <v>274</v>
      </c>
      <c r="AB163" s="4">
        <v>5</v>
      </c>
      <c r="AC163" s="4">
        <v>5</v>
      </c>
      <c r="AD163" s="4">
        <v>11</v>
      </c>
      <c r="AE163" s="4">
        <v>11</v>
      </c>
      <c r="AF163" s="4">
        <v>2</v>
      </c>
      <c r="AG163" s="4">
        <v>2</v>
      </c>
      <c r="AH163" s="4">
        <v>3</v>
      </c>
      <c r="AI163" s="4">
        <v>3</v>
      </c>
      <c r="AJ163" s="4">
        <v>3</v>
      </c>
      <c r="AK163" s="4">
        <v>3</v>
      </c>
      <c r="AL163" s="4">
        <v>4</v>
      </c>
      <c r="AM163" s="4">
        <v>4</v>
      </c>
      <c r="AN163" s="4">
        <v>0</v>
      </c>
      <c r="AO163" s="4">
        <v>0</v>
      </c>
      <c r="AP163" s="3" t="s">
        <v>58</v>
      </c>
      <c r="AQ163" s="3" t="s">
        <v>70</v>
      </c>
      <c r="AR163" s="6" t="str">
        <f>HYPERLINK("http://catalog.hathitrust.org/Record/002801514","HathiTrust Record")</f>
        <v>HathiTrust Record</v>
      </c>
      <c r="AS163" s="6" t="str">
        <f>HYPERLINK("https://creighton-primo.hosted.exlibrisgroup.com/primo-explore/search?tab=default_tab&amp;search_scope=EVERYTHING&amp;vid=01CRU&amp;lang=en_US&amp;offset=0&amp;query=any,contains,991002092869702656","Catalog Record")</f>
        <v>Catalog Record</v>
      </c>
      <c r="AT163" s="6" t="str">
        <f>HYPERLINK("http://www.worldcat.org/oclc/26852922","WorldCat Record")</f>
        <v>WorldCat Record</v>
      </c>
      <c r="AU163" s="3" t="s">
        <v>2234</v>
      </c>
      <c r="AV163" s="3" t="s">
        <v>2235</v>
      </c>
      <c r="AW163" s="3" t="s">
        <v>2236</v>
      </c>
      <c r="AX163" s="3" t="s">
        <v>2236</v>
      </c>
      <c r="AY163" s="3" t="s">
        <v>2237</v>
      </c>
      <c r="AZ163" s="3" t="s">
        <v>75</v>
      </c>
      <c r="BB163" s="3" t="s">
        <v>2238</v>
      </c>
      <c r="BC163" s="3" t="s">
        <v>2239</v>
      </c>
      <c r="BD163" s="3" t="s">
        <v>2240</v>
      </c>
    </row>
    <row r="164" spans="1:56" ht="54" customHeight="1" x14ac:dyDescent="0.25">
      <c r="A164" s="7" t="s">
        <v>58</v>
      </c>
      <c r="B164" s="2" t="s">
        <v>2241</v>
      </c>
      <c r="C164" s="2" t="s">
        <v>2242</v>
      </c>
      <c r="D164" s="2" t="s">
        <v>2243</v>
      </c>
      <c r="F164" s="3" t="s">
        <v>58</v>
      </c>
      <c r="G164" s="3" t="s">
        <v>59</v>
      </c>
      <c r="H164" s="3" t="s">
        <v>58</v>
      </c>
      <c r="I164" s="3" t="s">
        <v>58</v>
      </c>
      <c r="J164" s="3" t="s">
        <v>60</v>
      </c>
      <c r="K164" s="2" t="s">
        <v>2244</v>
      </c>
      <c r="L164" s="2" t="s">
        <v>2245</v>
      </c>
      <c r="M164" s="3" t="s">
        <v>2246</v>
      </c>
      <c r="O164" s="3" t="s">
        <v>65</v>
      </c>
      <c r="P164" s="3" t="s">
        <v>386</v>
      </c>
      <c r="R164" s="3" t="s">
        <v>67</v>
      </c>
      <c r="S164" s="4">
        <v>1</v>
      </c>
      <c r="T164" s="4">
        <v>1</v>
      </c>
      <c r="U164" s="5" t="s">
        <v>2247</v>
      </c>
      <c r="V164" s="5" t="s">
        <v>2247</v>
      </c>
      <c r="W164" s="5" t="s">
        <v>2248</v>
      </c>
      <c r="X164" s="5" t="s">
        <v>2248</v>
      </c>
      <c r="Y164" s="4">
        <v>550</v>
      </c>
      <c r="Z164" s="4">
        <v>469</v>
      </c>
      <c r="AA164" s="4">
        <v>471</v>
      </c>
      <c r="AB164" s="4">
        <v>5</v>
      </c>
      <c r="AC164" s="4">
        <v>5</v>
      </c>
      <c r="AD164" s="4">
        <v>24</v>
      </c>
      <c r="AE164" s="4">
        <v>24</v>
      </c>
      <c r="AF164" s="4">
        <v>12</v>
      </c>
      <c r="AG164" s="4">
        <v>12</v>
      </c>
      <c r="AH164" s="4">
        <v>4</v>
      </c>
      <c r="AI164" s="4">
        <v>4</v>
      </c>
      <c r="AJ164" s="4">
        <v>8</v>
      </c>
      <c r="AK164" s="4">
        <v>8</v>
      </c>
      <c r="AL164" s="4">
        <v>4</v>
      </c>
      <c r="AM164" s="4">
        <v>4</v>
      </c>
      <c r="AN164" s="4">
        <v>0</v>
      </c>
      <c r="AO164" s="4">
        <v>0</v>
      </c>
      <c r="AP164" s="3" t="s">
        <v>58</v>
      </c>
      <c r="AQ164" s="3" t="s">
        <v>70</v>
      </c>
      <c r="AR164" s="6" t="str">
        <f>HYPERLINK("http://catalog.hathitrust.org/Record/003131303","HathiTrust Record")</f>
        <v>HathiTrust Record</v>
      </c>
      <c r="AS164" s="6" t="str">
        <f>HYPERLINK("https://creighton-primo.hosted.exlibrisgroup.com/primo-explore/search?tab=default_tab&amp;search_scope=EVERYTHING&amp;vid=01CRU&amp;lang=en_US&amp;offset=0&amp;query=any,contains,991002520489702656","Catalog Record")</f>
        <v>Catalog Record</v>
      </c>
      <c r="AT164" s="6" t="str">
        <f>HYPERLINK("http://www.worldcat.org/oclc/32779236","WorldCat Record")</f>
        <v>WorldCat Record</v>
      </c>
      <c r="AU164" s="3" t="s">
        <v>2249</v>
      </c>
      <c r="AV164" s="3" t="s">
        <v>2250</v>
      </c>
      <c r="AW164" s="3" t="s">
        <v>2251</v>
      </c>
      <c r="AX164" s="3" t="s">
        <v>2251</v>
      </c>
      <c r="AY164" s="3" t="s">
        <v>2252</v>
      </c>
      <c r="AZ164" s="3" t="s">
        <v>75</v>
      </c>
      <c r="BB164" s="3" t="s">
        <v>2253</v>
      </c>
      <c r="BC164" s="3" t="s">
        <v>2254</v>
      </c>
      <c r="BD164" s="3" t="s">
        <v>2255</v>
      </c>
    </row>
    <row r="165" spans="1:56" ht="54" customHeight="1" x14ac:dyDescent="0.25">
      <c r="A165" s="7" t="s">
        <v>58</v>
      </c>
      <c r="B165" s="2" t="s">
        <v>2256</v>
      </c>
      <c r="C165" s="2" t="s">
        <v>2257</v>
      </c>
      <c r="D165" s="2" t="s">
        <v>2258</v>
      </c>
      <c r="F165" s="3" t="s">
        <v>58</v>
      </c>
      <c r="G165" s="3" t="s">
        <v>59</v>
      </c>
      <c r="H165" s="3" t="s">
        <v>58</v>
      </c>
      <c r="I165" s="3" t="s">
        <v>58</v>
      </c>
      <c r="J165" s="3" t="s">
        <v>60</v>
      </c>
      <c r="K165" s="2" t="s">
        <v>2259</v>
      </c>
      <c r="L165" s="2" t="s">
        <v>2260</v>
      </c>
      <c r="M165" s="3" t="s">
        <v>808</v>
      </c>
      <c r="O165" s="3" t="s">
        <v>65</v>
      </c>
      <c r="P165" s="3" t="s">
        <v>66</v>
      </c>
      <c r="Q165" s="2" t="s">
        <v>2261</v>
      </c>
      <c r="R165" s="3" t="s">
        <v>67</v>
      </c>
      <c r="S165" s="4">
        <v>4</v>
      </c>
      <c r="T165" s="4">
        <v>4</v>
      </c>
      <c r="U165" s="5" t="s">
        <v>2262</v>
      </c>
      <c r="V165" s="5" t="s">
        <v>2262</v>
      </c>
      <c r="W165" s="5" t="s">
        <v>949</v>
      </c>
      <c r="X165" s="5" t="s">
        <v>949</v>
      </c>
      <c r="Y165" s="4">
        <v>490</v>
      </c>
      <c r="Z165" s="4">
        <v>368</v>
      </c>
      <c r="AA165" s="4">
        <v>371</v>
      </c>
      <c r="AB165" s="4">
        <v>4</v>
      </c>
      <c r="AC165" s="4">
        <v>4</v>
      </c>
      <c r="AD165" s="4">
        <v>12</v>
      </c>
      <c r="AE165" s="4">
        <v>12</v>
      </c>
      <c r="AF165" s="4">
        <v>4</v>
      </c>
      <c r="AG165" s="4">
        <v>4</v>
      </c>
      <c r="AH165" s="4">
        <v>2</v>
      </c>
      <c r="AI165" s="4">
        <v>2</v>
      </c>
      <c r="AJ165" s="4">
        <v>6</v>
      </c>
      <c r="AK165" s="4">
        <v>6</v>
      </c>
      <c r="AL165" s="4">
        <v>3</v>
      </c>
      <c r="AM165" s="4">
        <v>3</v>
      </c>
      <c r="AN165" s="4">
        <v>0</v>
      </c>
      <c r="AO165" s="4">
        <v>0</v>
      </c>
      <c r="AP165" s="3" t="s">
        <v>58</v>
      </c>
      <c r="AQ165" s="3" t="s">
        <v>70</v>
      </c>
      <c r="AR165" s="6" t="str">
        <f>HYPERLINK("http://catalog.hathitrust.org/Record/001832979","HathiTrust Record")</f>
        <v>HathiTrust Record</v>
      </c>
      <c r="AS165" s="6" t="str">
        <f>HYPERLINK("https://creighton-primo.hosted.exlibrisgroup.com/primo-explore/search?tab=default_tab&amp;search_scope=EVERYTHING&amp;vid=01CRU&amp;lang=en_US&amp;offset=0&amp;query=any,contains,991001351239702656","Catalog Record")</f>
        <v>Catalog Record</v>
      </c>
      <c r="AT165" s="6" t="str">
        <f>HYPERLINK("http://www.worldcat.org/oclc/18442100","WorldCat Record")</f>
        <v>WorldCat Record</v>
      </c>
      <c r="AU165" s="3" t="s">
        <v>2263</v>
      </c>
      <c r="AV165" s="3" t="s">
        <v>2264</v>
      </c>
      <c r="AW165" s="3" t="s">
        <v>2265</v>
      </c>
      <c r="AX165" s="3" t="s">
        <v>2265</v>
      </c>
      <c r="AY165" s="3" t="s">
        <v>2266</v>
      </c>
      <c r="AZ165" s="3" t="s">
        <v>75</v>
      </c>
      <c r="BB165" s="3" t="s">
        <v>2267</v>
      </c>
      <c r="BC165" s="3" t="s">
        <v>2268</v>
      </c>
      <c r="BD165" s="3" t="s">
        <v>2269</v>
      </c>
    </row>
    <row r="166" spans="1:56" ht="54" customHeight="1" x14ac:dyDescent="0.25">
      <c r="A166" s="7" t="s">
        <v>58</v>
      </c>
      <c r="B166" s="2" t="s">
        <v>2270</v>
      </c>
      <c r="C166" s="2" t="s">
        <v>2271</v>
      </c>
      <c r="D166" s="2" t="s">
        <v>2272</v>
      </c>
      <c r="F166" s="3" t="s">
        <v>58</v>
      </c>
      <c r="G166" s="3" t="s">
        <v>59</v>
      </c>
      <c r="H166" s="3" t="s">
        <v>58</v>
      </c>
      <c r="I166" s="3" t="s">
        <v>58</v>
      </c>
      <c r="J166" s="3" t="s">
        <v>60</v>
      </c>
      <c r="K166" s="2" t="s">
        <v>2273</v>
      </c>
      <c r="L166" s="2" t="s">
        <v>2274</v>
      </c>
      <c r="M166" s="3" t="s">
        <v>671</v>
      </c>
      <c r="N166" s="2" t="s">
        <v>604</v>
      </c>
      <c r="O166" s="3" t="s">
        <v>65</v>
      </c>
      <c r="P166" s="3" t="s">
        <v>66</v>
      </c>
      <c r="R166" s="3" t="s">
        <v>67</v>
      </c>
      <c r="S166" s="4">
        <v>3</v>
      </c>
      <c r="T166" s="4">
        <v>3</v>
      </c>
      <c r="U166" s="5" t="s">
        <v>2232</v>
      </c>
      <c r="V166" s="5" t="s">
        <v>2232</v>
      </c>
      <c r="W166" s="5" t="s">
        <v>2275</v>
      </c>
      <c r="X166" s="5" t="s">
        <v>2275</v>
      </c>
      <c r="Y166" s="4">
        <v>356</v>
      </c>
      <c r="Z166" s="4">
        <v>284</v>
      </c>
      <c r="AA166" s="4">
        <v>286</v>
      </c>
      <c r="AB166" s="4">
        <v>2</v>
      </c>
      <c r="AC166" s="4">
        <v>2</v>
      </c>
      <c r="AD166" s="4">
        <v>4</v>
      </c>
      <c r="AE166" s="4">
        <v>4</v>
      </c>
      <c r="AF166" s="4">
        <v>2</v>
      </c>
      <c r="AG166" s="4">
        <v>2</v>
      </c>
      <c r="AH166" s="4">
        <v>0</v>
      </c>
      <c r="AI166" s="4">
        <v>0</v>
      </c>
      <c r="AJ166" s="4">
        <v>1</v>
      </c>
      <c r="AK166" s="4">
        <v>1</v>
      </c>
      <c r="AL166" s="4">
        <v>1</v>
      </c>
      <c r="AM166" s="4">
        <v>1</v>
      </c>
      <c r="AN166" s="4">
        <v>0</v>
      </c>
      <c r="AO166" s="4">
        <v>0</v>
      </c>
      <c r="AP166" s="3" t="s">
        <v>58</v>
      </c>
      <c r="AQ166" s="3" t="s">
        <v>70</v>
      </c>
      <c r="AR166" s="6" t="str">
        <f>HYPERLINK("http://catalog.hathitrust.org/Record/008510916","HathiTrust Record")</f>
        <v>HathiTrust Record</v>
      </c>
      <c r="AS166" s="6" t="str">
        <f>HYPERLINK("https://creighton-primo.hosted.exlibrisgroup.com/primo-explore/search?tab=default_tab&amp;search_scope=EVERYTHING&amp;vid=01CRU&amp;lang=en_US&amp;offset=0&amp;query=any,contains,991002897989702656","Catalog Record")</f>
        <v>Catalog Record</v>
      </c>
      <c r="AT166" s="6" t="str">
        <f>HYPERLINK("http://www.worldcat.org/oclc/514873","WorldCat Record")</f>
        <v>WorldCat Record</v>
      </c>
      <c r="AU166" s="3" t="s">
        <v>2276</v>
      </c>
      <c r="AV166" s="3" t="s">
        <v>2277</v>
      </c>
      <c r="AW166" s="3" t="s">
        <v>2278</v>
      </c>
      <c r="AX166" s="3" t="s">
        <v>2278</v>
      </c>
      <c r="AY166" s="3" t="s">
        <v>2279</v>
      </c>
      <c r="AZ166" s="3" t="s">
        <v>75</v>
      </c>
      <c r="BB166" s="3" t="s">
        <v>2280</v>
      </c>
      <c r="BC166" s="3" t="s">
        <v>2281</v>
      </c>
      <c r="BD166" s="3" t="s">
        <v>2282</v>
      </c>
    </row>
  </sheetData>
  <sheetProtection sheet="1" objects="1" scenarios="1"/>
  <protectedRanges>
    <protectedRange sqref="A2:A166" name="Range1"/>
    <protectedRange sqref="A1" name="Range1_1"/>
  </protectedRanges>
  <dataValidations count="1">
    <dataValidation type="list" allowBlank="1" showInputMessage="1" showErrorMessage="1" sqref="A2:A166" xr:uid="{AB10DBC6-B8FF-4AC0-A5E3-96299AF9BC38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132B0E5A-B0DB-45A0-98FC-D4F962476539}"/>
</file>

<file path=customXml/itemProps2.xml><?xml version="1.0" encoding="utf-8"?>
<ds:datastoreItem xmlns:ds="http://schemas.openxmlformats.org/officeDocument/2006/customXml" ds:itemID="{953109BE-C36A-4974-8F86-CECAD69971C7}"/>
</file>

<file path=customXml/itemProps3.xml><?xml version="1.0" encoding="utf-8"?>
<ds:datastoreItem xmlns:ds="http://schemas.openxmlformats.org/officeDocument/2006/customXml" ds:itemID="{FDDEEF8D-66F3-4790-9396-DD1A3A2205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2022-03-04T01:49:32Z</dcterms:created>
  <dcterms:modified xsi:type="dcterms:W3CDTF">2022-03-04T01:51:19Z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286400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