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09C06E05-BDDE-448B-A058-CA4B0760D7C3}" xr6:coauthVersionLast="47" xr6:coauthVersionMax="47" xr10:uidLastSave="{00000000-0000-0000-0000-000000000000}"/>
  <bookViews>
    <workbookView xWindow="-120" yWindow="-120" windowWidth="29040" windowHeight="15840" xr2:uid="{2A1FCD8A-825A-4587-A3CB-B8A6F28A96C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68" i="1" l="1"/>
  <c r="AS368" i="1"/>
  <c r="AR368" i="1"/>
  <c r="AT367" i="1"/>
  <c r="AS367" i="1"/>
  <c r="AT366" i="1"/>
  <c r="AS366" i="1"/>
  <c r="AR366" i="1"/>
  <c r="AT365" i="1"/>
  <c r="AS365" i="1"/>
  <c r="AT364" i="1"/>
  <c r="AS364" i="1"/>
  <c r="AT363" i="1"/>
  <c r="AS363" i="1"/>
  <c r="AR363" i="1"/>
  <c r="AT362" i="1"/>
  <c r="AS362" i="1"/>
  <c r="AR362" i="1"/>
  <c r="AT361" i="1"/>
  <c r="AS361" i="1"/>
  <c r="AR361" i="1"/>
  <c r="AT360" i="1"/>
  <c r="AS360" i="1"/>
  <c r="AR360" i="1"/>
  <c r="AT359" i="1"/>
  <c r="AS359" i="1"/>
  <c r="AT358" i="1"/>
  <c r="AS358" i="1"/>
  <c r="AT357" i="1"/>
  <c r="AS357" i="1"/>
  <c r="AT356" i="1"/>
  <c r="AS356" i="1"/>
  <c r="AR356" i="1"/>
  <c r="AT355" i="1"/>
  <c r="AS355" i="1"/>
  <c r="AR355" i="1"/>
  <c r="AT354" i="1"/>
  <c r="AS354" i="1"/>
  <c r="AR354" i="1"/>
  <c r="AT353" i="1"/>
  <c r="AS353" i="1"/>
  <c r="AR353" i="1"/>
  <c r="AT352" i="1"/>
  <c r="AS352" i="1"/>
  <c r="AR352" i="1"/>
  <c r="AT351" i="1"/>
  <c r="AS351" i="1"/>
  <c r="AR351" i="1"/>
  <c r="AT350" i="1"/>
  <c r="AS350" i="1"/>
  <c r="AR350" i="1"/>
  <c r="AT349" i="1"/>
  <c r="AS349" i="1"/>
  <c r="AR349" i="1"/>
  <c r="AT348" i="1"/>
  <c r="AS348" i="1"/>
  <c r="AT347" i="1"/>
  <c r="AS347" i="1"/>
  <c r="AT346" i="1"/>
  <c r="AS346" i="1"/>
  <c r="AT345" i="1"/>
  <c r="AS345" i="1"/>
  <c r="AT344" i="1"/>
  <c r="AS344" i="1"/>
  <c r="AT343" i="1"/>
  <c r="AS343" i="1"/>
  <c r="AR343" i="1"/>
  <c r="AT342" i="1"/>
  <c r="AS342" i="1"/>
  <c r="AT341" i="1"/>
  <c r="AS341" i="1"/>
  <c r="AR341" i="1"/>
  <c r="AT340" i="1"/>
  <c r="AS340" i="1"/>
  <c r="AR340" i="1"/>
  <c r="AT339" i="1"/>
  <c r="AS339" i="1"/>
  <c r="AR339" i="1"/>
  <c r="AT338" i="1"/>
  <c r="AS338" i="1"/>
  <c r="AT337" i="1"/>
  <c r="AS337" i="1"/>
  <c r="AT336" i="1"/>
  <c r="AS336" i="1"/>
  <c r="AR336" i="1"/>
  <c r="AT335" i="1"/>
  <c r="AS335" i="1"/>
  <c r="AR335" i="1"/>
  <c r="AT334" i="1"/>
  <c r="AS334" i="1"/>
  <c r="AT333" i="1"/>
  <c r="AS333" i="1"/>
  <c r="AT332" i="1"/>
  <c r="AS332" i="1"/>
  <c r="AT331" i="1"/>
  <c r="AS331" i="1"/>
  <c r="AR331" i="1"/>
  <c r="AT330" i="1"/>
  <c r="AS330" i="1"/>
  <c r="AT329" i="1"/>
  <c r="AS329" i="1"/>
  <c r="AR329" i="1"/>
  <c r="AT328" i="1"/>
  <c r="AS328" i="1"/>
  <c r="AR328" i="1"/>
  <c r="AT327" i="1"/>
  <c r="AS327" i="1"/>
  <c r="AR327" i="1"/>
  <c r="AT326" i="1"/>
  <c r="AS326" i="1"/>
  <c r="AR326" i="1"/>
  <c r="AT325" i="1"/>
  <c r="AS325" i="1"/>
  <c r="AR325" i="1"/>
  <c r="AT324" i="1"/>
  <c r="AS324" i="1"/>
  <c r="AT323" i="1"/>
  <c r="AS323" i="1"/>
  <c r="AT322" i="1"/>
  <c r="AS322" i="1"/>
  <c r="AR322" i="1"/>
  <c r="AT321" i="1"/>
  <c r="AS321" i="1"/>
  <c r="AR321" i="1"/>
  <c r="AT320" i="1"/>
  <c r="AS320" i="1"/>
  <c r="AR320" i="1"/>
  <c r="AT319" i="1"/>
  <c r="AS319" i="1"/>
  <c r="AR319" i="1"/>
  <c r="AT318" i="1"/>
  <c r="AS318" i="1"/>
  <c r="AR318" i="1"/>
  <c r="AT317" i="1"/>
  <c r="AS317" i="1"/>
  <c r="AT316" i="1"/>
  <c r="AS316" i="1"/>
  <c r="AR316" i="1"/>
  <c r="AT315" i="1"/>
  <c r="AS315" i="1"/>
  <c r="AT314" i="1"/>
  <c r="AS314" i="1"/>
  <c r="AT313" i="1"/>
  <c r="AS313" i="1"/>
  <c r="AT312" i="1"/>
  <c r="AS312" i="1"/>
  <c r="AT311" i="1"/>
  <c r="AS311" i="1"/>
  <c r="AR311" i="1"/>
  <c r="AT310" i="1"/>
  <c r="AS310" i="1"/>
  <c r="AT309" i="1"/>
  <c r="AS309" i="1"/>
  <c r="AR309" i="1"/>
  <c r="AT308" i="1"/>
  <c r="AS308" i="1"/>
  <c r="AT307" i="1"/>
  <c r="AS307" i="1"/>
  <c r="AT306" i="1"/>
  <c r="AS306" i="1"/>
  <c r="AT305" i="1"/>
  <c r="AS305" i="1"/>
  <c r="AT304" i="1"/>
  <c r="AS304" i="1"/>
  <c r="AT303" i="1"/>
  <c r="AS303" i="1"/>
  <c r="AT302" i="1"/>
  <c r="AS302" i="1"/>
  <c r="AR302" i="1"/>
  <c r="AT301" i="1"/>
  <c r="AS301" i="1"/>
  <c r="AR301" i="1"/>
  <c r="AT300" i="1"/>
  <c r="AS300" i="1"/>
  <c r="AR300" i="1"/>
  <c r="AT299" i="1"/>
  <c r="AS299" i="1"/>
  <c r="AR299" i="1"/>
  <c r="AT298" i="1"/>
  <c r="AS298" i="1"/>
  <c r="AT297" i="1"/>
  <c r="AS297" i="1"/>
  <c r="AT296" i="1"/>
  <c r="AS296" i="1"/>
  <c r="AT295" i="1"/>
  <c r="AS295" i="1"/>
  <c r="AT294" i="1"/>
  <c r="AS294" i="1"/>
  <c r="AR294" i="1"/>
  <c r="AT293" i="1"/>
  <c r="AS293" i="1"/>
  <c r="AT292" i="1"/>
  <c r="AS292" i="1"/>
  <c r="AT291" i="1"/>
  <c r="AS291" i="1"/>
  <c r="AT290" i="1"/>
  <c r="AS290" i="1"/>
  <c r="AT289" i="1"/>
  <c r="AS289" i="1"/>
  <c r="AR289" i="1"/>
  <c r="AT288" i="1"/>
  <c r="AS288" i="1"/>
  <c r="AR288" i="1"/>
  <c r="AT287" i="1"/>
  <c r="AS287" i="1"/>
  <c r="AR287" i="1"/>
  <c r="AT286" i="1"/>
  <c r="AS286" i="1"/>
  <c r="AR286" i="1"/>
  <c r="AT285" i="1"/>
  <c r="AS285" i="1"/>
  <c r="AR285" i="1"/>
  <c r="AT284" i="1"/>
  <c r="AS284" i="1"/>
  <c r="AR284" i="1"/>
  <c r="AT283" i="1"/>
  <c r="AS283" i="1"/>
  <c r="AT282" i="1"/>
  <c r="AS282" i="1"/>
  <c r="AR282" i="1"/>
  <c r="AT281" i="1"/>
  <c r="AS281" i="1"/>
  <c r="AT280" i="1"/>
  <c r="AS280" i="1"/>
  <c r="AT279" i="1"/>
  <c r="AS279" i="1"/>
  <c r="AR279" i="1"/>
  <c r="AT278" i="1"/>
  <c r="AS278" i="1"/>
  <c r="AR278" i="1"/>
  <c r="AT277" i="1"/>
  <c r="AS277" i="1"/>
  <c r="AT276" i="1"/>
  <c r="AS276" i="1"/>
  <c r="AR276" i="1"/>
  <c r="AT275" i="1"/>
  <c r="AS275" i="1"/>
  <c r="AT274" i="1"/>
  <c r="AS274" i="1"/>
  <c r="AR274" i="1"/>
  <c r="AT273" i="1"/>
  <c r="AS273" i="1"/>
  <c r="AR273" i="1"/>
  <c r="AT272" i="1"/>
  <c r="AS272" i="1"/>
  <c r="AR272" i="1"/>
  <c r="AT271" i="1"/>
  <c r="AS271" i="1"/>
  <c r="AR271" i="1"/>
  <c r="AT270" i="1"/>
  <c r="AS270" i="1"/>
  <c r="AR270" i="1"/>
  <c r="AT269" i="1"/>
  <c r="AS269" i="1"/>
  <c r="AT268" i="1"/>
  <c r="AS268" i="1"/>
  <c r="AT267" i="1"/>
  <c r="AS267" i="1"/>
  <c r="AT266" i="1"/>
  <c r="AS266" i="1"/>
  <c r="AT265" i="1"/>
  <c r="AS265" i="1"/>
  <c r="AR265" i="1"/>
  <c r="AT264" i="1"/>
  <c r="AS264" i="1"/>
  <c r="AT263" i="1"/>
  <c r="AS263" i="1"/>
  <c r="AR263" i="1"/>
  <c r="AT262" i="1"/>
  <c r="AS262" i="1"/>
  <c r="AR262" i="1"/>
  <c r="AT261" i="1"/>
  <c r="AS261" i="1"/>
  <c r="AR261" i="1"/>
  <c r="AT260" i="1"/>
  <c r="AS260" i="1"/>
  <c r="AT259" i="1"/>
  <c r="AS259" i="1"/>
  <c r="AT258" i="1"/>
  <c r="AS258" i="1"/>
  <c r="AT257" i="1"/>
  <c r="AS257" i="1"/>
  <c r="AT256" i="1"/>
  <c r="AS256" i="1"/>
  <c r="AT255" i="1"/>
  <c r="AS255" i="1"/>
  <c r="AT254" i="1"/>
  <c r="AS254" i="1"/>
  <c r="AR254" i="1"/>
  <c r="AT253" i="1"/>
  <c r="AS253" i="1"/>
  <c r="AT252" i="1"/>
  <c r="AS252" i="1"/>
  <c r="AT251" i="1"/>
  <c r="AS251" i="1"/>
  <c r="AT250" i="1"/>
  <c r="AS250" i="1"/>
  <c r="AT249" i="1"/>
  <c r="AS249" i="1"/>
  <c r="AR249" i="1"/>
  <c r="AT248" i="1"/>
  <c r="AS248" i="1"/>
  <c r="AR248" i="1"/>
  <c r="AT247" i="1"/>
  <c r="AS247" i="1"/>
  <c r="AR247" i="1"/>
  <c r="AT246" i="1"/>
  <c r="AS246" i="1"/>
  <c r="AR246" i="1"/>
  <c r="AT245" i="1"/>
  <c r="AS245" i="1"/>
  <c r="AR245" i="1"/>
  <c r="AT244" i="1"/>
  <c r="AS244" i="1"/>
  <c r="AT243" i="1"/>
  <c r="AS243" i="1"/>
  <c r="AR243" i="1"/>
  <c r="AT242" i="1"/>
  <c r="AS242" i="1"/>
  <c r="AT241" i="1"/>
  <c r="AS241" i="1"/>
  <c r="AT240" i="1"/>
  <c r="AS240" i="1"/>
  <c r="AT239" i="1"/>
  <c r="AS239" i="1"/>
  <c r="AR239" i="1"/>
  <c r="AT238" i="1"/>
  <c r="AS238" i="1"/>
  <c r="AR238" i="1"/>
  <c r="AT237" i="1"/>
  <c r="AS237" i="1"/>
  <c r="AR237" i="1"/>
  <c r="AT236" i="1"/>
  <c r="AS236" i="1"/>
  <c r="AT235" i="1"/>
  <c r="AS235" i="1"/>
  <c r="AR235" i="1"/>
  <c r="AT234" i="1"/>
  <c r="AS234" i="1"/>
  <c r="AT233" i="1"/>
  <c r="AS233" i="1"/>
  <c r="AT232" i="1"/>
  <c r="AS232" i="1"/>
  <c r="AR232" i="1"/>
  <c r="AT231" i="1"/>
  <c r="AS231" i="1"/>
  <c r="AR231" i="1"/>
  <c r="AT230" i="1"/>
  <c r="AS230" i="1"/>
  <c r="AT229" i="1"/>
  <c r="AS229" i="1"/>
  <c r="AR229" i="1"/>
  <c r="AT228" i="1"/>
  <c r="AS228" i="1"/>
  <c r="AT227" i="1"/>
  <c r="AS227" i="1"/>
  <c r="AT226" i="1"/>
  <c r="AS226" i="1"/>
  <c r="AT225" i="1"/>
  <c r="AS225" i="1"/>
  <c r="AR225" i="1"/>
  <c r="AT224" i="1"/>
  <c r="AS224" i="1"/>
  <c r="AR224" i="1"/>
  <c r="AT223" i="1"/>
  <c r="AS223" i="1"/>
  <c r="AR223" i="1"/>
  <c r="AT222" i="1"/>
  <c r="AS222" i="1"/>
  <c r="AT221" i="1"/>
  <c r="AS221" i="1"/>
  <c r="AT220" i="1"/>
  <c r="AS220" i="1"/>
  <c r="AR220" i="1"/>
  <c r="AT219" i="1"/>
  <c r="AS219" i="1"/>
  <c r="AR219" i="1"/>
  <c r="AT218" i="1"/>
  <c r="AS218" i="1"/>
  <c r="AR218" i="1"/>
  <c r="AT217" i="1"/>
  <c r="AS217" i="1"/>
  <c r="AR217" i="1"/>
  <c r="AT216" i="1"/>
  <c r="AS216" i="1"/>
  <c r="AR216" i="1"/>
  <c r="AT215" i="1"/>
  <c r="AS215" i="1"/>
  <c r="AR215" i="1"/>
  <c r="AT214" i="1"/>
  <c r="AS214" i="1"/>
  <c r="AR214" i="1"/>
  <c r="AT213" i="1"/>
  <c r="AS213" i="1"/>
  <c r="AR213" i="1"/>
  <c r="AT212" i="1"/>
  <c r="AS212" i="1"/>
  <c r="AR212" i="1"/>
  <c r="AT211" i="1"/>
  <c r="AS211" i="1"/>
  <c r="AT210" i="1"/>
  <c r="AS210" i="1"/>
  <c r="AR210" i="1"/>
  <c r="AT209" i="1"/>
  <c r="AS209" i="1"/>
  <c r="AT208" i="1"/>
  <c r="AS208" i="1"/>
  <c r="AT207" i="1"/>
  <c r="AS207" i="1"/>
  <c r="AT206" i="1"/>
  <c r="AS206" i="1"/>
  <c r="AT205" i="1"/>
  <c r="AS205" i="1"/>
  <c r="AR205" i="1"/>
  <c r="AT204" i="1"/>
  <c r="AS204" i="1"/>
  <c r="AT203" i="1"/>
  <c r="AS203" i="1"/>
  <c r="AR203" i="1"/>
  <c r="AT202" i="1"/>
  <c r="AS202" i="1"/>
  <c r="AR202" i="1"/>
  <c r="AT201" i="1"/>
  <c r="AS201" i="1"/>
  <c r="AT200" i="1"/>
  <c r="AS200" i="1"/>
  <c r="AR200" i="1"/>
  <c r="AT199" i="1"/>
  <c r="AS199" i="1"/>
  <c r="AR199" i="1"/>
  <c r="AT198" i="1"/>
  <c r="AS198" i="1"/>
  <c r="AR198" i="1"/>
  <c r="AT197" i="1"/>
  <c r="AS197" i="1"/>
  <c r="AR197" i="1"/>
  <c r="AT196" i="1"/>
  <c r="AS196" i="1"/>
  <c r="AT195" i="1"/>
  <c r="AS195" i="1"/>
  <c r="AT194" i="1"/>
  <c r="AS194" i="1"/>
  <c r="AT193" i="1"/>
  <c r="AS193" i="1"/>
  <c r="AR193" i="1"/>
  <c r="AT192" i="1"/>
  <c r="AS192" i="1"/>
  <c r="AT191" i="1"/>
  <c r="AS191" i="1"/>
  <c r="AR191" i="1"/>
  <c r="AT190" i="1"/>
  <c r="AS190" i="1"/>
  <c r="AR190" i="1"/>
  <c r="AT189" i="1"/>
  <c r="AS189" i="1"/>
  <c r="AR189" i="1"/>
  <c r="AT188" i="1"/>
  <c r="AS188" i="1"/>
  <c r="AT187" i="1"/>
  <c r="AS187" i="1"/>
  <c r="AR187" i="1"/>
  <c r="AT186" i="1"/>
  <c r="AS186" i="1"/>
  <c r="AT185" i="1"/>
  <c r="AS185" i="1"/>
  <c r="AR185" i="1"/>
  <c r="AT184" i="1"/>
  <c r="AS184" i="1"/>
  <c r="AR184" i="1"/>
  <c r="AT183" i="1"/>
  <c r="AS183" i="1"/>
  <c r="AR183" i="1"/>
  <c r="AT182" i="1"/>
  <c r="AS182" i="1"/>
  <c r="AR182" i="1"/>
  <c r="AT181" i="1"/>
  <c r="AS181" i="1"/>
  <c r="AR181" i="1"/>
  <c r="AT180" i="1"/>
  <c r="AS180" i="1"/>
  <c r="AR180" i="1"/>
  <c r="AT179" i="1"/>
  <c r="AS179" i="1"/>
  <c r="AR179" i="1"/>
  <c r="AT178" i="1"/>
  <c r="AS178" i="1"/>
  <c r="AT177" i="1"/>
  <c r="AS177" i="1"/>
  <c r="AR177" i="1"/>
  <c r="AT176" i="1"/>
  <c r="AS176" i="1"/>
  <c r="AT175" i="1"/>
  <c r="AS175" i="1"/>
  <c r="AR175" i="1"/>
  <c r="AT174" i="1"/>
  <c r="AS174" i="1"/>
  <c r="AT173" i="1"/>
  <c r="AS173" i="1"/>
  <c r="AT172" i="1"/>
  <c r="AS172" i="1"/>
  <c r="AR172" i="1"/>
  <c r="AT171" i="1"/>
  <c r="AS171" i="1"/>
  <c r="AR171" i="1"/>
  <c r="AT170" i="1"/>
  <c r="AS170" i="1"/>
  <c r="AR170" i="1"/>
  <c r="AT169" i="1"/>
  <c r="AS169" i="1"/>
  <c r="AR169" i="1"/>
  <c r="AT168" i="1"/>
  <c r="AS168" i="1"/>
  <c r="AR168" i="1"/>
  <c r="AT167" i="1"/>
  <c r="AS167" i="1"/>
  <c r="AR167" i="1"/>
  <c r="AT166" i="1"/>
  <c r="AS166" i="1"/>
  <c r="AR166" i="1"/>
  <c r="AT165" i="1"/>
  <c r="AS165" i="1"/>
  <c r="AT164" i="1"/>
  <c r="AS164" i="1"/>
  <c r="AT163" i="1"/>
  <c r="AS163" i="1"/>
  <c r="AT162" i="1"/>
  <c r="AS162" i="1"/>
  <c r="AT161" i="1"/>
  <c r="AS161" i="1"/>
  <c r="AR161" i="1"/>
  <c r="AT160" i="1"/>
  <c r="AS160" i="1"/>
  <c r="AR160" i="1"/>
  <c r="AT159" i="1"/>
  <c r="AS159" i="1"/>
  <c r="AR159" i="1"/>
  <c r="AT158" i="1"/>
  <c r="AS158" i="1"/>
  <c r="AR158" i="1"/>
  <c r="AT157" i="1"/>
  <c r="AS157" i="1"/>
  <c r="AT156" i="1"/>
  <c r="AS156" i="1"/>
  <c r="AR156" i="1"/>
  <c r="AT155" i="1"/>
  <c r="AS155" i="1"/>
  <c r="AR155" i="1"/>
  <c r="AT154" i="1"/>
  <c r="AS154" i="1"/>
  <c r="AT153" i="1"/>
  <c r="AS153" i="1"/>
  <c r="AT152" i="1"/>
  <c r="AS152" i="1"/>
  <c r="AR152" i="1"/>
  <c r="AT151" i="1"/>
  <c r="AS151" i="1"/>
  <c r="AR151" i="1"/>
  <c r="AT150" i="1"/>
  <c r="AS150" i="1"/>
  <c r="AT149" i="1"/>
  <c r="AS149" i="1"/>
  <c r="AT148" i="1"/>
  <c r="AS148" i="1"/>
  <c r="AR148" i="1"/>
  <c r="AT147" i="1"/>
  <c r="AS147" i="1"/>
  <c r="AT146" i="1"/>
  <c r="AS146" i="1"/>
  <c r="AR146" i="1"/>
  <c r="AT145" i="1"/>
  <c r="AS145" i="1"/>
  <c r="AR145" i="1"/>
  <c r="AT144" i="1"/>
  <c r="AS144" i="1"/>
  <c r="AT143" i="1"/>
  <c r="AS143" i="1"/>
  <c r="AR143" i="1"/>
  <c r="AT142" i="1"/>
  <c r="AS142" i="1"/>
  <c r="AR142" i="1"/>
  <c r="AT141" i="1"/>
  <c r="AS141" i="1"/>
  <c r="AR141" i="1"/>
  <c r="AT140" i="1"/>
  <c r="AS140" i="1"/>
  <c r="AR140" i="1"/>
  <c r="AT139" i="1"/>
  <c r="AS139" i="1"/>
  <c r="AT138" i="1"/>
  <c r="AS138" i="1"/>
  <c r="AR138" i="1"/>
  <c r="AT137" i="1"/>
  <c r="AS137" i="1"/>
  <c r="AT136" i="1"/>
  <c r="AS136" i="1"/>
  <c r="AT135" i="1"/>
  <c r="AS135" i="1"/>
  <c r="AR135" i="1"/>
  <c r="AT134" i="1"/>
  <c r="AS134" i="1"/>
  <c r="AR134" i="1"/>
  <c r="AT133" i="1"/>
  <c r="AS133" i="1"/>
  <c r="AT132" i="1"/>
  <c r="AS132" i="1"/>
  <c r="AR132" i="1"/>
  <c r="AT131" i="1"/>
  <c r="AS131" i="1"/>
  <c r="AT130" i="1"/>
  <c r="AS130" i="1"/>
  <c r="AR130" i="1"/>
  <c r="AT129" i="1"/>
  <c r="AS129" i="1"/>
  <c r="AT128" i="1"/>
  <c r="AS128" i="1"/>
  <c r="AR128" i="1"/>
  <c r="AT127" i="1"/>
  <c r="AS127" i="1"/>
  <c r="AR127" i="1"/>
  <c r="AT126" i="1"/>
  <c r="AS126" i="1"/>
  <c r="AR126" i="1"/>
  <c r="AT125" i="1"/>
  <c r="AS125" i="1"/>
  <c r="AR125" i="1"/>
  <c r="AT124" i="1"/>
  <c r="AS124" i="1"/>
  <c r="AR124" i="1"/>
  <c r="AT123" i="1"/>
  <c r="AS123" i="1"/>
  <c r="AR123" i="1"/>
  <c r="AT122" i="1"/>
  <c r="AS122" i="1"/>
  <c r="AR122" i="1"/>
  <c r="AT121" i="1"/>
  <c r="AS121" i="1"/>
  <c r="AT120" i="1"/>
  <c r="AS120" i="1"/>
  <c r="AR120" i="1"/>
  <c r="AT119" i="1"/>
  <c r="AS119" i="1"/>
  <c r="AR119" i="1"/>
  <c r="AT118" i="1"/>
  <c r="AS118" i="1"/>
  <c r="AR118" i="1"/>
  <c r="AT117" i="1"/>
  <c r="AS117" i="1"/>
  <c r="AT116" i="1"/>
  <c r="AS116" i="1"/>
  <c r="AR116" i="1"/>
  <c r="AT115" i="1"/>
  <c r="AS115" i="1"/>
  <c r="AR115" i="1"/>
  <c r="AT114" i="1"/>
  <c r="AS114" i="1"/>
  <c r="AR114" i="1"/>
  <c r="AT113" i="1"/>
  <c r="AS113" i="1"/>
  <c r="AR113" i="1"/>
  <c r="AT112" i="1"/>
  <c r="AS112" i="1"/>
  <c r="AR112" i="1"/>
  <c r="AT111" i="1"/>
  <c r="AS111" i="1"/>
  <c r="AT110" i="1"/>
  <c r="AS110" i="1"/>
  <c r="AR110" i="1"/>
  <c r="AT109" i="1"/>
  <c r="AS109" i="1"/>
  <c r="AR109" i="1"/>
  <c r="AT108" i="1"/>
  <c r="AS108" i="1"/>
  <c r="AT107" i="1"/>
  <c r="AS107" i="1"/>
  <c r="AT106" i="1"/>
  <c r="AS106" i="1"/>
  <c r="AR106" i="1"/>
  <c r="AT105" i="1"/>
  <c r="AS105" i="1"/>
  <c r="AR105" i="1"/>
  <c r="AT104" i="1"/>
  <c r="AS104" i="1"/>
  <c r="AR104" i="1"/>
  <c r="AT103" i="1"/>
  <c r="AS103" i="1"/>
  <c r="AR103" i="1"/>
  <c r="AT102" i="1"/>
  <c r="AS102" i="1"/>
  <c r="AT101" i="1"/>
  <c r="AS101" i="1"/>
  <c r="AR101" i="1"/>
  <c r="AT100" i="1"/>
  <c r="AS100" i="1"/>
  <c r="AR100" i="1"/>
  <c r="AT99" i="1"/>
  <c r="AS99" i="1"/>
  <c r="AT98" i="1"/>
  <c r="AS98" i="1"/>
  <c r="AR98" i="1"/>
  <c r="AT97" i="1"/>
  <c r="AS97" i="1"/>
  <c r="AT96" i="1"/>
  <c r="AS96" i="1"/>
  <c r="AT95" i="1"/>
  <c r="AS95" i="1"/>
  <c r="AR95" i="1"/>
  <c r="AT94" i="1"/>
  <c r="AS94" i="1"/>
  <c r="AR94" i="1"/>
  <c r="AT93" i="1"/>
  <c r="AS93" i="1"/>
  <c r="AT92" i="1"/>
  <c r="AS92" i="1"/>
  <c r="AR92" i="1"/>
  <c r="AT91" i="1"/>
  <c r="AS91" i="1"/>
  <c r="AR91" i="1"/>
  <c r="AT90" i="1"/>
  <c r="AS90" i="1"/>
  <c r="AR90" i="1"/>
  <c r="AT89" i="1"/>
  <c r="AS89" i="1"/>
  <c r="AR89" i="1"/>
  <c r="AT88" i="1"/>
  <c r="AS88" i="1"/>
  <c r="AT87" i="1"/>
  <c r="AS87" i="1"/>
  <c r="AR87" i="1"/>
  <c r="AT86" i="1"/>
  <c r="AS86" i="1"/>
  <c r="AR86" i="1"/>
  <c r="AT85" i="1"/>
  <c r="AS85" i="1"/>
  <c r="AR85" i="1"/>
  <c r="AT84" i="1"/>
  <c r="AS84" i="1"/>
  <c r="AR84" i="1"/>
  <c r="AT83" i="1"/>
  <c r="AS83" i="1"/>
  <c r="AT82" i="1"/>
  <c r="AS82" i="1"/>
  <c r="AR82" i="1"/>
  <c r="AT81" i="1"/>
  <c r="AS81" i="1"/>
  <c r="AT80" i="1"/>
  <c r="AS80" i="1"/>
  <c r="AR80" i="1"/>
  <c r="AT79" i="1"/>
  <c r="AS79" i="1"/>
  <c r="AR79" i="1"/>
  <c r="AT78" i="1"/>
  <c r="AS78" i="1"/>
  <c r="AR78" i="1"/>
  <c r="AT77" i="1"/>
  <c r="AS77" i="1"/>
  <c r="AT76" i="1"/>
  <c r="AS76" i="1"/>
  <c r="AT75" i="1"/>
  <c r="AS75" i="1"/>
  <c r="AT74" i="1"/>
  <c r="AS74" i="1"/>
  <c r="AR74" i="1"/>
  <c r="AT73" i="1"/>
  <c r="AS73" i="1"/>
  <c r="AR73" i="1"/>
  <c r="AT72" i="1"/>
  <c r="AS72" i="1"/>
  <c r="AR72" i="1"/>
  <c r="AT71" i="1"/>
  <c r="AS71" i="1"/>
  <c r="AT70" i="1"/>
  <c r="AS70" i="1"/>
  <c r="AR70" i="1"/>
  <c r="AT69" i="1"/>
  <c r="AS69" i="1"/>
  <c r="AR69" i="1"/>
  <c r="AT68" i="1"/>
  <c r="AS68" i="1"/>
  <c r="AT67" i="1"/>
  <c r="AS67" i="1"/>
  <c r="AT66" i="1"/>
  <c r="AS66" i="1"/>
  <c r="AR66" i="1"/>
  <c r="AT65" i="1"/>
  <c r="AS65" i="1"/>
  <c r="AT64" i="1"/>
  <c r="AS64" i="1"/>
  <c r="AR64" i="1"/>
  <c r="AT63" i="1"/>
  <c r="AS63" i="1"/>
  <c r="AR63" i="1"/>
  <c r="AT62" i="1"/>
  <c r="AS62" i="1"/>
  <c r="AR62" i="1"/>
  <c r="AT61" i="1"/>
  <c r="AS61" i="1"/>
  <c r="AR61" i="1"/>
  <c r="AT60" i="1"/>
  <c r="AS60" i="1"/>
  <c r="AT59" i="1"/>
  <c r="AS59" i="1"/>
  <c r="AR59" i="1"/>
  <c r="AT58" i="1"/>
  <c r="AS58" i="1"/>
  <c r="AR58" i="1"/>
  <c r="AT57" i="1"/>
  <c r="AS57" i="1"/>
  <c r="AR57" i="1"/>
  <c r="AT56" i="1"/>
  <c r="AS56" i="1"/>
  <c r="AT55" i="1"/>
  <c r="AS55" i="1"/>
  <c r="AR55" i="1"/>
  <c r="AT54" i="1"/>
  <c r="AS54" i="1"/>
  <c r="AR54" i="1"/>
  <c r="AT53" i="1"/>
  <c r="AS53" i="1"/>
  <c r="AT52" i="1"/>
  <c r="AS52" i="1"/>
  <c r="AR52" i="1"/>
  <c r="AT51" i="1"/>
  <c r="AS51" i="1"/>
  <c r="AR51" i="1"/>
  <c r="AT50" i="1"/>
  <c r="AS50" i="1"/>
  <c r="AR50" i="1"/>
  <c r="AT49" i="1"/>
  <c r="AS49" i="1"/>
  <c r="AR49" i="1"/>
  <c r="AT48" i="1"/>
  <c r="AS48" i="1"/>
  <c r="AR48" i="1"/>
  <c r="AT47" i="1"/>
  <c r="AS47" i="1"/>
  <c r="AR47" i="1"/>
  <c r="AT46" i="1"/>
  <c r="AS46" i="1"/>
  <c r="AR46" i="1"/>
  <c r="AT45" i="1"/>
  <c r="AS45" i="1"/>
  <c r="AR45" i="1"/>
  <c r="AT44" i="1"/>
  <c r="AS44" i="1"/>
  <c r="AT43" i="1"/>
  <c r="AS43" i="1"/>
  <c r="AR43" i="1"/>
  <c r="AT42" i="1"/>
  <c r="AS42" i="1"/>
  <c r="AR42" i="1"/>
  <c r="AT41" i="1"/>
  <c r="AS41" i="1"/>
  <c r="AR41" i="1"/>
  <c r="AT40" i="1"/>
  <c r="AS40" i="1"/>
  <c r="AR40" i="1"/>
  <c r="AT39" i="1"/>
  <c r="AS39" i="1"/>
  <c r="AR39" i="1"/>
  <c r="AT38" i="1"/>
  <c r="AS38" i="1"/>
  <c r="AR38" i="1"/>
  <c r="AT37" i="1"/>
  <c r="AS37" i="1"/>
  <c r="AT36" i="1"/>
  <c r="AS36" i="1"/>
  <c r="AR36" i="1"/>
  <c r="AT35" i="1"/>
  <c r="AS35" i="1"/>
  <c r="AR35" i="1"/>
  <c r="AT34" i="1"/>
  <c r="AS34" i="1"/>
  <c r="AT33" i="1"/>
  <c r="AS33" i="1"/>
  <c r="AR33" i="1"/>
  <c r="AT32" i="1"/>
  <c r="AS32" i="1"/>
  <c r="AR32" i="1"/>
  <c r="AT31" i="1"/>
  <c r="AS31" i="1"/>
  <c r="AT30" i="1"/>
  <c r="AS30" i="1"/>
  <c r="AR30" i="1"/>
  <c r="AT29" i="1"/>
  <c r="AS29" i="1"/>
  <c r="AR29" i="1"/>
  <c r="AT28" i="1"/>
  <c r="AS28" i="1"/>
  <c r="AT27" i="1"/>
  <c r="AS27" i="1"/>
  <c r="AR27" i="1"/>
  <c r="AT26" i="1"/>
  <c r="AS26" i="1"/>
  <c r="AT25" i="1"/>
  <c r="AS25" i="1"/>
  <c r="AR25" i="1"/>
  <c r="AT24" i="1"/>
  <c r="AS24" i="1"/>
  <c r="AR24" i="1"/>
  <c r="AT23" i="1"/>
  <c r="AS23" i="1"/>
  <c r="AT22" i="1"/>
  <c r="AS22" i="1"/>
  <c r="AR22" i="1"/>
  <c r="AT21" i="1"/>
  <c r="AS21" i="1"/>
  <c r="AR21" i="1"/>
  <c r="AT20" i="1"/>
  <c r="AS20" i="1"/>
  <c r="AT19" i="1"/>
  <c r="AS19" i="1"/>
  <c r="AR19" i="1"/>
  <c r="AT18" i="1"/>
  <c r="AS18" i="1"/>
  <c r="AR18" i="1"/>
  <c r="AT17" i="1"/>
  <c r="AS17" i="1"/>
  <c r="AT16" i="1"/>
  <c r="AS16" i="1"/>
  <c r="AT15" i="1"/>
  <c r="AS15" i="1"/>
  <c r="AR15" i="1"/>
  <c r="AT14" i="1"/>
  <c r="AS14" i="1"/>
  <c r="AT13" i="1"/>
  <c r="AS13" i="1"/>
  <c r="AT12" i="1"/>
  <c r="AS12" i="1"/>
  <c r="AR12" i="1"/>
  <c r="AT11" i="1"/>
  <c r="AS11" i="1"/>
  <c r="AR11" i="1"/>
  <c r="AT10" i="1"/>
  <c r="AS10" i="1"/>
  <c r="AR10" i="1"/>
  <c r="AT9" i="1"/>
  <c r="AS9" i="1"/>
  <c r="AR9" i="1"/>
  <c r="AT8" i="1"/>
  <c r="AS8" i="1"/>
  <c r="AR8" i="1"/>
  <c r="AT7" i="1"/>
  <c r="AS7" i="1"/>
  <c r="AT6" i="1"/>
  <c r="AS6" i="1"/>
  <c r="AR6" i="1"/>
  <c r="AT5" i="1"/>
  <c r="AS5" i="1"/>
  <c r="AR5" i="1"/>
  <c r="AT4" i="1"/>
  <c r="AS4" i="1"/>
  <c r="AR4" i="1"/>
  <c r="AT3" i="1"/>
  <c r="AS3" i="1"/>
  <c r="AR3" i="1"/>
  <c r="AT2" i="1"/>
  <c r="AS2" i="1"/>
  <c r="AR2" i="1"/>
</calcChain>
</file>

<file path=xl/sharedStrings.xml><?xml version="1.0" encoding="utf-8"?>
<sst xmlns="http://schemas.openxmlformats.org/spreadsheetml/2006/main" count="11068" uniqueCount="4899">
  <si>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</si>
  <si>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</si>
  <si>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</si>
  <si>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</si>
  <si>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</si>
  <si>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</si>
  <si>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</si>
  <si>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</si>
  <si>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</si>
  <si>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</si>
  <si>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</si>
  <si>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</si>
  <si>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</si>
  <si>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</si>
  <si>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</si>
  <si>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</si>
  <si>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</si>
  <si>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</si>
  <si>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</si>
  <si>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</si>
  <si>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</si>
  <si>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</si>
  <si>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</si>
  <si>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</si>
  <si>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</si>
  <si>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</si>
  <si>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</si>
  <si>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</si>
  <si>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</si>
  <si>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</si>
  <si>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</si>
  <si>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</si>
  <si>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</si>
  <si>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</si>
  <si>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</si>
  <si>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</si>
  <si>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</si>
  <si>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</si>
  <si>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</si>
  <si>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</si>
  <si>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</si>
  <si>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</si>
  <si>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</si>
  <si>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</si>
  <si>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</si>
  <si>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</si>
  <si>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</si>
  <si>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</si>
  <si>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</si>
  <si>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</si>
  <si>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</si>
  <si>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</si>
  <si>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</si>
  <si>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</si>
  <si>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</si>
  <si>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NE1050 .L43</t>
  </si>
  <si>
    <t>0                      NE 1050000L  43</t>
  </si>
  <si>
    <t>An introduction to the woodcut of the seventeenth century / by Hellmut Lehmann-Haupt ; with a discussion of the German woodcut broadsides of the seventeenth century by Ingeborg Lehmann-Haupt.</t>
  </si>
  <si>
    <t>No</t>
  </si>
  <si>
    <t>1</t>
  </si>
  <si>
    <t>0</t>
  </si>
  <si>
    <t>Lehmann-Haupt, Hellmut, 1903-1992.</t>
  </si>
  <si>
    <t>New York : Abaris Books, c1977.</t>
  </si>
  <si>
    <t>1977</t>
  </si>
  <si>
    <t>eng</t>
  </si>
  <si>
    <t>nyu</t>
  </si>
  <si>
    <t xml:space="preserve">NE </t>
  </si>
  <si>
    <t>1997-05-29</t>
  </si>
  <si>
    <t>1993-06-01</t>
  </si>
  <si>
    <t>Yes</t>
  </si>
  <si>
    <t>558630:eng</t>
  </si>
  <si>
    <t>4325668</t>
  </si>
  <si>
    <t>991004624469702656</t>
  </si>
  <si>
    <t>2260417760002656</t>
  </si>
  <si>
    <t>BOOK</t>
  </si>
  <si>
    <t>9780913870495</t>
  </si>
  <si>
    <t>32285001715589</t>
  </si>
  <si>
    <t>893788928</t>
  </si>
  <si>
    <t>NE1112.E32 A4 1992</t>
  </si>
  <si>
    <t>0                      NE 1112000E  32                 A  4           1992</t>
  </si>
  <si>
    <t>Works of mercy / Fritz Eichenberg ; edited by Robert Ellsberg.</t>
  </si>
  <si>
    <t>Eichenberg, Fritz, 1901-1990.</t>
  </si>
  <si>
    <t>Maryknoll, NY : Orbis Books, c1992.</t>
  </si>
  <si>
    <t>1992</t>
  </si>
  <si>
    <t>2010-09-24</t>
  </si>
  <si>
    <t>1995-11-02</t>
  </si>
  <si>
    <t>359202:eng</t>
  </si>
  <si>
    <t>26012334</t>
  </si>
  <si>
    <t>991002038089702656</t>
  </si>
  <si>
    <t>2261140220002656</t>
  </si>
  <si>
    <t>9780883448281</t>
  </si>
  <si>
    <t>32285002099892</t>
  </si>
  <si>
    <t>893892052</t>
  </si>
  <si>
    <t>NE1184 .I813 1964a</t>
  </si>
  <si>
    <t>0                      NE 1184000I  813         1964a</t>
  </si>
  <si>
    <t>Japanese Buddhist prints / With the collaboration of Un'ichi Hiratsuka [and others] English adaptation by Charles S. Terry.</t>
  </si>
  <si>
    <t>Ishida, Mosaku, 1894-1977.</t>
  </si>
  <si>
    <t>New York : H. N. Abrams, 1964.</t>
  </si>
  <si>
    <t>1964</t>
  </si>
  <si>
    <t>2005-03-16</t>
  </si>
  <si>
    <t>890491165:eng</t>
  </si>
  <si>
    <t>3251208</t>
  </si>
  <si>
    <t>991004388199702656</t>
  </si>
  <si>
    <t>2256885260002656</t>
  </si>
  <si>
    <t>32285001715597</t>
  </si>
  <si>
    <t>893876042</t>
  </si>
  <si>
    <t>NE1205.D9 A2</t>
  </si>
  <si>
    <t>0                      NE 1205000D  9                  A  2</t>
  </si>
  <si>
    <t>The complete woodcuts of Albrecht Dürer / ed. by Willi Kurth.</t>
  </si>
  <si>
    <t>Dürer, Albrecht, 1471-1528.</t>
  </si>
  <si>
    <t>New York : Bonanza Books, [1946]</t>
  </si>
  <si>
    <t>1946</t>
  </si>
  <si>
    <t>2003-04-17</t>
  </si>
  <si>
    <t>1994-08-22</t>
  </si>
  <si>
    <t>2048789572:eng</t>
  </si>
  <si>
    <t>1313420</t>
  </si>
  <si>
    <t>991003685519702656</t>
  </si>
  <si>
    <t>2257617080002656</t>
  </si>
  <si>
    <t>32285001938249</t>
  </si>
  <si>
    <t>893342855</t>
  </si>
  <si>
    <t>NE1225 .R6</t>
  </si>
  <si>
    <t>0                      NE 1225000R  6</t>
  </si>
  <si>
    <t>Linocuts and woodcuts; a complete block printing handbook.</t>
  </si>
  <si>
    <t>Rothenstein, Michael, 1908-1993.</t>
  </si>
  <si>
    <t>New York, Watson-Guptill Publications [1964, c1962]</t>
  </si>
  <si>
    <t>1998-11-16</t>
  </si>
  <si>
    <t>1997-08-06</t>
  </si>
  <si>
    <t>232590452:eng</t>
  </si>
  <si>
    <t>312255</t>
  </si>
  <si>
    <t>991002288339702656</t>
  </si>
  <si>
    <t>2271101960002656</t>
  </si>
  <si>
    <t>32285003046561</t>
  </si>
  <si>
    <t>893251040</t>
  </si>
  <si>
    <t>NE1300.6.K37 A4 1980</t>
  </si>
  <si>
    <t>0                      NE 1300600K  37                 A  4           1980</t>
  </si>
  <si>
    <t>Kyoto rediscovered : a portfolio of woodblock prints / Clifton Karhu ; translated and adapted by Alex Kerr.</t>
  </si>
  <si>
    <t>Karhu, Clifton, 1927-</t>
  </si>
  <si>
    <t>New York : Weatherhill/Tankosha, 1980.</t>
  </si>
  <si>
    <t>1980</t>
  </si>
  <si>
    <t>1st English ed.</t>
  </si>
  <si>
    <t>1996-02-25</t>
  </si>
  <si>
    <t>496841:eng</t>
  </si>
  <si>
    <t>6422102</t>
  </si>
  <si>
    <t>991004980999702656</t>
  </si>
  <si>
    <t>2268915270002656</t>
  </si>
  <si>
    <t>9780834815216</t>
  </si>
  <si>
    <t>32285001715613</t>
  </si>
  <si>
    <t>893332237</t>
  </si>
  <si>
    <t>NE1310 .M48</t>
  </si>
  <si>
    <t>0                      NE 1310000M  48</t>
  </si>
  <si>
    <t>Japanese prints : from the early masters to the modern / by James A. Michener, with notes on the prints by Richard Lane. With the cooperation of the Honolulu Academy of Arts.</t>
  </si>
  <si>
    <t>Michener, James A. (James Albert), 1907-1997.</t>
  </si>
  <si>
    <t>Tokyo : Rutland, Vt. : C. E. Tuttle Co., c1959, 1979 printing.</t>
  </si>
  <si>
    <t>1959</t>
  </si>
  <si>
    <t xml:space="preserve">ja </t>
  </si>
  <si>
    <t>1999-01-22</t>
  </si>
  <si>
    <t>37888292:eng</t>
  </si>
  <si>
    <t>519182</t>
  </si>
  <si>
    <t>991003175629702656</t>
  </si>
  <si>
    <t>2262508630002656</t>
  </si>
  <si>
    <t>32285001715621</t>
  </si>
  <si>
    <t>893434711</t>
  </si>
  <si>
    <t>NE1315 .G46 1964</t>
  </si>
  <si>
    <t>0                      NE 1315000G  46          1964</t>
  </si>
  <si>
    <t>Masters of the Japanese print : Moronobu to Utamaro / by Margaret Gentles.</t>
  </si>
  <si>
    <t>Gentles, Margaret.</t>
  </si>
  <si>
    <t>[New York] : Asia Society, Inc. ; Distributed by H.N. Abrams, [1964]</t>
  </si>
  <si>
    <t>2007-02-01</t>
  </si>
  <si>
    <t>476827:eng</t>
  </si>
  <si>
    <t>715916</t>
  </si>
  <si>
    <t>991005008399702656</t>
  </si>
  <si>
    <t>2255509790002656</t>
  </si>
  <si>
    <t>32285005274526</t>
  </si>
  <si>
    <t>893338368</t>
  </si>
  <si>
    <t>NE1317.P48 P485 1973</t>
  </si>
  <si>
    <t>0                      NE 1317000P  48                 P  485         1973</t>
  </si>
  <si>
    <t>The theatrical world of Osaka prints : a collection of eighteenth and nineteenth century Japanese woodblock prints in the Philadelphia Museum of Art / by Roger S. Keyes and Keiko Mizushima.</t>
  </si>
  <si>
    <t>Philadelphia Museum of Art.</t>
  </si>
  <si>
    <t>1973</t>
  </si>
  <si>
    <t>pau</t>
  </si>
  <si>
    <t>889159489:eng</t>
  </si>
  <si>
    <t>803812</t>
  </si>
  <si>
    <t>991005008749702656</t>
  </si>
  <si>
    <t>2269161440002656</t>
  </si>
  <si>
    <t>32285005274641</t>
  </si>
  <si>
    <t>893507486</t>
  </si>
  <si>
    <t>NE1321.8 .L36 1982</t>
  </si>
  <si>
    <t>0                      NE 1321800L  36          1982</t>
  </si>
  <si>
    <t>Images from the floating world : the Japanese print : including an illustrated dictionary of ukiyo-e / Richard Lane.</t>
  </si>
  <si>
    <t>Lane, Richard, 1926-2002.</t>
  </si>
  <si>
    <t>New York : Dorset, 1982, c1978.</t>
  </si>
  <si>
    <t>1982</t>
  </si>
  <si>
    <t>1993-08-05</t>
  </si>
  <si>
    <t>10201234890:eng</t>
  </si>
  <si>
    <t>9123543</t>
  </si>
  <si>
    <t>991000133919702656</t>
  </si>
  <si>
    <t>2264920880002656</t>
  </si>
  <si>
    <t>9780880290074</t>
  </si>
  <si>
    <t>32285001751006</t>
  </si>
  <si>
    <t>893865121</t>
  </si>
  <si>
    <t>NE1321.8 .W42</t>
  </si>
  <si>
    <t>0                      NE 1321800W  42</t>
  </si>
  <si>
    <t>Japanese woodblock prints : the reciprocal influence between East and West / Lucille R. Webber.</t>
  </si>
  <si>
    <t>Webber, Lucille R., 1905-</t>
  </si>
  <si>
    <t>Provo, UT : Brigham Young University Press, [1979]</t>
  </si>
  <si>
    <t>1979</t>
  </si>
  <si>
    <t>utu</t>
  </si>
  <si>
    <t>2010-02-04</t>
  </si>
  <si>
    <t>1992-01-21</t>
  </si>
  <si>
    <t>372847158:eng</t>
  </si>
  <si>
    <t>4515463</t>
  </si>
  <si>
    <t>991004670869702656</t>
  </si>
  <si>
    <t>2265567260002656</t>
  </si>
  <si>
    <t>9780842516037</t>
  </si>
  <si>
    <t>32285000917038</t>
  </si>
  <si>
    <t>893624949</t>
  </si>
  <si>
    <t>NE1325.A5 A4 1992</t>
  </si>
  <si>
    <t>0                      NE 1325000A  5                  A  4           1992</t>
  </si>
  <si>
    <t>One hundred famous views of Edo / Hiroshige ; introductory essays by Henry D. Smith II and Amy G. Poster ; commentaries on the plates by Henry D. Smith II ; preface by Robert Buck.</t>
  </si>
  <si>
    <t>Andō, Hiroshige, 1797-1858.</t>
  </si>
  <si>
    <t>New York : G. Braziller : Brooklyn Museum, 1992, c1986.</t>
  </si>
  <si>
    <t>1999-10-13</t>
  </si>
  <si>
    <t>2019164:eng</t>
  </si>
  <si>
    <t>27302361</t>
  </si>
  <si>
    <t>991002130959702656</t>
  </si>
  <si>
    <t>2271131930002656</t>
  </si>
  <si>
    <t>32285003610408</t>
  </si>
  <si>
    <t>893516928</t>
  </si>
  <si>
    <t>NE1325.A5 B53 1994</t>
  </si>
  <si>
    <t>0                      NE 1325000A  5                  B  53          1994</t>
  </si>
  <si>
    <t>Hiroshige in Tokyo : the floating world of Edo / Julian Bicknell.</t>
  </si>
  <si>
    <t>Bicknell, Julian.</t>
  </si>
  <si>
    <t>Rohnert Park, Calif. : Pomegranate Artbooks, 1994.</t>
  </si>
  <si>
    <t>1994</t>
  </si>
  <si>
    <t>cau</t>
  </si>
  <si>
    <t>Painters &amp; places</t>
  </si>
  <si>
    <t>2009-09-02</t>
  </si>
  <si>
    <t>316076487:eng</t>
  </si>
  <si>
    <t>30802793</t>
  </si>
  <si>
    <t>991005334029702656</t>
  </si>
  <si>
    <t>2261098620002656</t>
  </si>
  <si>
    <t>9781566408035</t>
  </si>
  <si>
    <t>32285005543359</t>
  </si>
  <si>
    <t>893263766</t>
  </si>
  <si>
    <t>NE1326.5.K58 S74 2004</t>
  </si>
  <si>
    <t>0                      NE 1326500K  58                 S  74          2004</t>
  </si>
  <si>
    <t>Japanese kite prints : selections from the Skinner collection / John Stevenson.</t>
  </si>
  <si>
    <t>Stevenson, John, 1944-</t>
  </si>
  <si>
    <t>Seattle : Drachen Foundation, 2004.</t>
  </si>
  <si>
    <t>2004</t>
  </si>
  <si>
    <t>wau</t>
  </si>
  <si>
    <t>2005-04-07</t>
  </si>
  <si>
    <t>996539:eng</t>
  </si>
  <si>
    <t>54960195</t>
  </si>
  <si>
    <t>991004495669702656</t>
  </si>
  <si>
    <t>2263730560002656</t>
  </si>
  <si>
    <t>9780295984544</t>
  </si>
  <si>
    <t>32285005048516</t>
  </si>
  <si>
    <t>893904891</t>
  </si>
  <si>
    <t>NE1340 .H5</t>
  </si>
  <si>
    <t>0                      NE 1340000H  5</t>
  </si>
  <si>
    <t>Gyotaku; the art and technique of the Japanese fish print, by Yoshio Hiyama.</t>
  </si>
  <si>
    <t>Hiyama, Yoshio, 1909-1988.</t>
  </si>
  <si>
    <t>Seattle, University of Washington Press [1964]</t>
  </si>
  <si>
    <t>2000-05-22</t>
  </si>
  <si>
    <t>344930075:eng</t>
  </si>
  <si>
    <t>625216</t>
  </si>
  <si>
    <t>991003070789702656</t>
  </si>
  <si>
    <t>2259326230002656</t>
  </si>
  <si>
    <t>9780295738017</t>
  </si>
  <si>
    <t>32285003046603</t>
  </si>
  <si>
    <t>893245989</t>
  </si>
  <si>
    <t>NE2049.5.L67 A4 1988</t>
  </si>
  <si>
    <t>0                      NE 2049500L  67                 A  4           1988</t>
  </si>
  <si>
    <t>The etchings of Claude Lorrain / Lino Mannocci.</t>
  </si>
  <si>
    <t>Lorrain, Claude, 1600-1682.</t>
  </si>
  <si>
    <t>New Haven : Yale University Press, 1988.</t>
  </si>
  <si>
    <t>1988</t>
  </si>
  <si>
    <t>ctu</t>
  </si>
  <si>
    <t>1994-11-05</t>
  </si>
  <si>
    <t>1992-11-09</t>
  </si>
  <si>
    <t>304441548:eng</t>
  </si>
  <si>
    <t>17873168</t>
  </si>
  <si>
    <t>991001274949702656</t>
  </si>
  <si>
    <t>2269598130002656</t>
  </si>
  <si>
    <t>9780300042221</t>
  </si>
  <si>
    <t>32285001360659</t>
  </si>
  <si>
    <t>893420217</t>
  </si>
  <si>
    <t>NE2049.5.M3 H3</t>
  </si>
  <si>
    <t>0                      NE 2049500M  3                  H  3</t>
  </si>
  <si>
    <t>Edouard Manet: graphic works; a definitive catalogue raisonné [by] Jean C. Harris.</t>
  </si>
  <si>
    <t>Harris, Jean C., 1927-1988.</t>
  </si>
  <si>
    <t>New York, Collectors Editions [1970]</t>
  </si>
  <si>
    <t>1970</t>
  </si>
  <si>
    <t>1999-03-09</t>
  </si>
  <si>
    <t>1334594:eng</t>
  </si>
  <si>
    <t>148563</t>
  </si>
  <si>
    <t>991000835269702656</t>
  </si>
  <si>
    <t>2260099400002656</t>
  </si>
  <si>
    <t>9780876810408</t>
  </si>
  <si>
    <t>32285003046678</t>
  </si>
  <si>
    <t>893865730</t>
  </si>
  <si>
    <t>NE2062.5 .G6 L6 1970 V.2</t>
  </si>
  <si>
    <t>0                      NE 2062500G  6                  L  6           1970                  V.2</t>
  </si>
  <si>
    <t>Goya's Caprichos : beauty, reason &amp; caricature.</t>
  </si>
  <si>
    <t>V. 2</t>
  </si>
  <si>
    <t>López-Rey, José.</t>
  </si>
  <si>
    <t>Westport, Conn. : Greenwood Press, [1970, c1953]</t>
  </si>
  <si>
    <t>1995-02-28</t>
  </si>
  <si>
    <t>2003-11-09</t>
  </si>
  <si>
    <t>1993-01-05</t>
  </si>
  <si>
    <t>836657019:eng</t>
  </si>
  <si>
    <t>128369</t>
  </si>
  <si>
    <t>991000730109702656</t>
  </si>
  <si>
    <t>2261670400002656</t>
  </si>
  <si>
    <t>9780837144658</t>
  </si>
  <si>
    <t>32285001472009</t>
  </si>
  <si>
    <t>893432243</t>
  </si>
  <si>
    <t>NE2062.5.G6 A41 1989</t>
  </si>
  <si>
    <t>0                      NE 2062500G  6                  A  41          1989</t>
  </si>
  <si>
    <t>Graphic evolutions : the print series of Francisco Goya / by Janis A. Tomlinson ; with an introduction by David Rosand.</t>
  </si>
  <si>
    <t>Tomlinson, Janis A.</t>
  </si>
  <si>
    <t>New York : Columbia University Press, c1989.</t>
  </si>
  <si>
    <t>1989</t>
  </si>
  <si>
    <t>Columbia studies on art ; no. 2</t>
  </si>
  <si>
    <t>1990-06-12</t>
  </si>
  <si>
    <t>889756435:eng</t>
  </si>
  <si>
    <t>18351158</t>
  </si>
  <si>
    <t>991001335459702656</t>
  </si>
  <si>
    <t>2265961300002656</t>
  </si>
  <si>
    <t>9780231068659</t>
  </si>
  <si>
    <t>32285000175710</t>
  </si>
  <si>
    <t>893702940</t>
  </si>
  <si>
    <t>NE2062.5.G6 A64 1989</t>
  </si>
  <si>
    <t>0                      NE 2062500G  6                  A  64          1989</t>
  </si>
  <si>
    <t>Los caprichos de Francisco de Goya y Lucientes / Camilo José Cela.</t>
  </si>
  <si>
    <t>Cela, Camilo José, 1916-2002.</t>
  </si>
  <si>
    <t>[Spain] : Silex, c1989.</t>
  </si>
  <si>
    <t>spa</t>
  </si>
  <si>
    <t xml:space="preserve">sp </t>
  </si>
  <si>
    <t>1991-04-24</t>
  </si>
  <si>
    <t>355676134:spa</t>
  </si>
  <si>
    <t>22003504</t>
  </si>
  <si>
    <t>991001740559702656</t>
  </si>
  <si>
    <t>2269777310002656</t>
  </si>
  <si>
    <t>9788477370185</t>
  </si>
  <si>
    <t>32285000568963</t>
  </si>
  <si>
    <t>893866441</t>
  </si>
  <si>
    <t>NE2062.5.G6 L6 1970</t>
  </si>
  <si>
    <t>0                      NE 2062500G  6                  L  6           1970</t>
  </si>
  <si>
    <t>V. 1</t>
  </si>
  <si>
    <t>32285001471993</t>
  </si>
  <si>
    <t>893419729</t>
  </si>
  <si>
    <t>NE2165.R5 B58</t>
  </si>
  <si>
    <t>0                      NE 2165000R  5                  B  58</t>
  </si>
  <si>
    <t>Rembrandt : the complete etchings / [By] K.G. Boon. [Translated from the Dutch by Elizabeth Willems-Treman]</t>
  </si>
  <si>
    <t>Rembrandt Harmenszoon van Rijn, 1606-1669.</t>
  </si>
  <si>
    <t>New York, H.N. Abrams [1963]</t>
  </si>
  <si>
    <t>1963</t>
  </si>
  <si>
    <t>1997-05-28</t>
  </si>
  <si>
    <t>22853984:eng</t>
  </si>
  <si>
    <t>519350</t>
  </si>
  <si>
    <t>991002905759702656</t>
  </si>
  <si>
    <t>2256819130002656</t>
  </si>
  <si>
    <t>32285002698735</t>
  </si>
  <si>
    <t>893793086</t>
  </si>
  <si>
    <t>NE2165.R5 S78</t>
  </si>
  <si>
    <t>0                      NE 2165000R  5                  S  78</t>
  </si>
  <si>
    <t>Rembrandt: experimental etcher. [Catalogue was prepared jointly by Felice Stampfle and others]</t>
  </si>
  <si>
    <t>Boston, Museum of Fine Arts; distributed by New York Graphic Society, Greenwich, Conn. [1969]</t>
  </si>
  <si>
    <t>1969</t>
  </si>
  <si>
    <t>1997-09-13</t>
  </si>
  <si>
    <t>1997-08-07</t>
  </si>
  <si>
    <t>1198286:eng</t>
  </si>
  <si>
    <t>59029</t>
  </si>
  <si>
    <t>991000146809702656</t>
  </si>
  <si>
    <t>2260552640002656</t>
  </si>
  <si>
    <t>32285003046736</t>
  </si>
  <si>
    <t>893327071</t>
  </si>
  <si>
    <t>NE2210.M38 L52</t>
  </si>
  <si>
    <t>0                      NE 2210000M  38                 L  52</t>
  </si>
  <si>
    <t>Matisse: 50 years of his graphic art. Text by William S. Lieberman.</t>
  </si>
  <si>
    <t>Matisse, Henri, 1869-1954.</t>
  </si>
  <si>
    <t>New York, G. Braziller, 1956.</t>
  </si>
  <si>
    <t>1956</t>
  </si>
  <si>
    <t xml:space="preserve">xx </t>
  </si>
  <si>
    <t>2003-05-19</t>
  </si>
  <si>
    <t>3943309759:eng</t>
  </si>
  <si>
    <t>46462503</t>
  </si>
  <si>
    <t>991002872859702656</t>
  </si>
  <si>
    <t>2255205480002656</t>
  </si>
  <si>
    <t>32285003046751</t>
  </si>
  <si>
    <t>893352564</t>
  </si>
  <si>
    <t>NE2237.5.E78 A4 1992</t>
  </si>
  <si>
    <t>0                      NE 2237500E  78                 A  4           1992</t>
  </si>
  <si>
    <t>Erté, the last works : graphics, sculpture / by Eric Estorick ; contributions by Ray Perman and David Rogath ; photographed by Daniel Kramer ; additional photography by Ron Krisel.</t>
  </si>
  <si>
    <t>Estorick, Eric.</t>
  </si>
  <si>
    <t>New York : Dutton Studio Books, [1992], c1991.</t>
  </si>
  <si>
    <t>2003-11-13</t>
  </si>
  <si>
    <t>1993-12-06</t>
  </si>
  <si>
    <t>32552050:eng</t>
  </si>
  <si>
    <t>29798534</t>
  </si>
  <si>
    <t>991002100209702656</t>
  </si>
  <si>
    <t>2259720010002656</t>
  </si>
  <si>
    <t>9780525934394</t>
  </si>
  <si>
    <t>32285001814002</t>
  </si>
  <si>
    <t>893316385</t>
  </si>
  <si>
    <t>NE2297 .M3 1970b</t>
  </si>
  <si>
    <t>0                      NE 2297000M  3           1970b</t>
  </si>
  <si>
    <t>Artists' lithographs; a world history from Senefelder to the present day, by Felix H. Man.</t>
  </si>
  <si>
    <t>Man, Felix H., 1893-1985.</t>
  </si>
  <si>
    <t>London, Studio Vista, 1970.</t>
  </si>
  <si>
    <t>enk</t>
  </si>
  <si>
    <t>1999-05-19</t>
  </si>
  <si>
    <t>198700829:eng</t>
  </si>
  <si>
    <t>130721</t>
  </si>
  <si>
    <t>991000759279702656</t>
  </si>
  <si>
    <t>2254847810002656</t>
  </si>
  <si>
    <t>9780289797334</t>
  </si>
  <si>
    <t>32285003046769</t>
  </si>
  <si>
    <t>893871981</t>
  </si>
  <si>
    <t>NE2312.C8 A45</t>
  </si>
  <si>
    <t>0                      NE 2312000C  8                  A  45</t>
  </si>
  <si>
    <t>The great book of Currier &amp; Ives' America / by Walton Rawls.</t>
  </si>
  <si>
    <t>Currier &amp; Ives.</t>
  </si>
  <si>
    <t>New York : Abbeville Press, 1979.</t>
  </si>
  <si>
    <t>2002-02-26</t>
  </si>
  <si>
    <t>498576:eng</t>
  </si>
  <si>
    <t>20358380</t>
  </si>
  <si>
    <t>991005379349702656</t>
  </si>
  <si>
    <t>2262893070002656</t>
  </si>
  <si>
    <t>9780896590700</t>
  </si>
  <si>
    <t>32285001715688</t>
  </si>
  <si>
    <t>893701489</t>
  </si>
  <si>
    <t>NE2349.5.B66 A4 1989</t>
  </si>
  <si>
    <t>0                      NE 2349500B  66                 A  4           1989</t>
  </si>
  <si>
    <t>Pierre Bonnard, the graphic art / Colta Ives, Helen Giambruni, Sasha M. Newman.</t>
  </si>
  <si>
    <t>Bonnard, Pierre, 1867-1947.</t>
  </si>
  <si>
    <t>New York : Metropolitan Museum of Art : Distributed by H.N. Abrams, c1989.</t>
  </si>
  <si>
    <t>1994-06-08</t>
  </si>
  <si>
    <t>1991-03-07</t>
  </si>
  <si>
    <t>341575664:eng</t>
  </si>
  <si>
    <t>20131149</t>
  </si>
  <si>
    <t>991001541559702656</t>
  </si>
  <si>
    <t>2264122870002656</t>
  </si>
  <si>
    <t>9780870995675</t>
  </si>
  <si>
    <t>32285000493337</t>
  </si>
  <si>
    <t>893261855</t>
  </si>
  <si>
    <t>NE2349.5.P5 M613</t>
  </si>
  <si>
    <t>0                      NE 2349500P  5                  M  613</t>
  </si>
  <si>
    <t>Picasso lithographs / [translated from the French by Jean Didry.</t>
  </si>
  <si>
    <t>Picasso, Pablo, 1881-1973.</t>
  </si>
  <si>
    <t>Boston] : Boston Book and Art Publisher, [1970]</t>
  </si>
  <si>
    <t>mau</t>
  </si>
  <si>
    <t>2006-04-11</t>
  </si>
  <si>
    <t>1995-04-18</t>
  </si>
  <si>
    <t>9438599731:eng</t>
  </si>
  <si>
    <t>104024</t>
  </si>
  <si>
    <t>991000625329702656</t>
  </si>
  <si>
    <t>2260799070002656</t>
  </si>
  <si>
    <t>32285002027679</t>
  </si>
  <si>
    <t>893515445</t>
  </si>
  <si>
    <t>NE2349.5.T68 A4 1989</t>
  </si>
  <si>
    <t>0                      NE 2349500T  68                 A  4           1989</t>
  </si>
  <si>
    <t>Toulouse-Lautrec : the Baldwin M. Baldwin collection, San Diego Museum of Art / Nora Desloge ; with essays by Phillip Dennis Cate, Julia Frey.</t>
  </si>
  <si>
    <t>San Diego Museum of Art.</t>
  </si>
  <si>
    <t>[San Diego] : The Museum, c1988.</t>
  </si>
  <si>
    <t>2003-07-31</t>
  </si>
  <si>
    <t>1992-06-01</t>
  </si>
  <si>
    <t>3806252015:eng</t>
  </si>
  <si>
    <t>19819225</t>
  </si>
  <si>
    <t>991001504979702656</t>
  </si>
  <si>
    <t>2270373220002656</t>
  </si>
  <si>
    <t>9780937108079</t>
  </si>
  <si>
    <t>32285001125938</t>
  </si>
  <si>
    <t>893426638</t>
  </si>
  <si>
    <t>NE2350.5.A4 B8 1977</t>
  </si>
  <si>
    <t>0                      NE 2350500A  4                  B  8           1977</t>
  </si>
  <si>
    <t>Josef Albers : despite straight lines : an analysis of his graphic constructions / by François Bucher ; statements and poems by Josef Albers.</t>
  </si>
  <si>
    <t>Bucher, François.</t>
  </si>
  <si>
    <t>Cambridge : MIT Press, c1977.</t>
  </si>
  <si>
    <t>Rev. ed.</t>
  </si>
  <si>
    <t>1993-09-06</t>
  </si>
  <si>
    <t>1991-12-09</t>
  </si>
  <si>
    <t>4061613626:eng</t>
  </si>
  <si>
    <t>3401274</t>
  </si>
  <si>
    <t>991004426579702656</t>
  </si>
  <si>
    <t>2256277740002656</t>
  </si>
  <si>
    <t>9780262010498</t>
  </si>
  <si>
    <t>32285000885490</t>
  </si>
  <si>
    <t>893700229</t>
  </si>
  <si>
    <t>NE2356.5.E77 A4 1978</t>
  </si>
  <si>
    <t>0                      NE 2356500E  77                 A  4           1978</t>
  </si>
  <si>
    <t>Erté graphics : five complete suites reproduced in full color = Erté : cinq suites de lithographies / pref. by Salome Estorick.</t>
  </si>
  <si>
    <t>Erté.</t>
  </si>
  <si>
    <t>New York : Dover Publications, c1978.</t>
  </si>
  <si>
    <t>1978</t>
  </si>
  <si>
    <t>2004-12-02</t>
  </si>
  <si>
    <t>1999-03-03</t>
  </si>
  <si>
    <t>1027493083:eng</t>
  </si>
  <si>
    <t>4037284</t>
  </si>
  <si>
    <t>991004575369702656</t>
  </si>
  <si>
    <t>2269084970002656</t>
  </si>
  <si>
    <t>9780486235806</t>
  </si>
  <si>
    <t>32285003529061</t>
  </si>
  <si>
    <t>893876268</t>
  </si>
  <si>
    <t>NE2415.C7 P38 1930</t>
  </si>
  <si>
    <t>0                      NE 2415000C  7                  P  38          1930</t>
  </si>
  <si>
    <t>Railroad, Indian and pioneer prints / by N. Currier and Currier &amp; Ives ; compiled by Fred J. Peters ; being a pictorial check list and collation, fully illustrated.</t>
  </si>
  <si>
    <t>Peters, Fred J. (Fred Joseph), 1882-, compiler.</t>
  </si>
  <si>
    <t>New York, N.Y. : Antique Bulletin Pub. Co., 1930.</t>
  </si>
  <si>
    <t>1930</t>
  </si>
  <si>
    <t>Library ed.</t>
  </si>
  <si>
    <t>2005-10-19</t>
  </si>
  <si>
    <t>1330830:eng</t>
  </si>
  <si>
    <t>9101588</t>
  </si>
  <si>
    <t>991004680039702656</t>
  </si>
  <si>
    <t>2260072600002656</t>
  </si>
  <si>
    <t>32285005089809</t>
  </si>
  <si>
    <t>893337993</t>
  </si>
  <si>
    <t>NE2415.C7 P4</t>
  </si>
  <si>
    <t>0                      NE 2415000C  7                  P  4</t>
  </si>
  <si>
    <t>Currier &amp; Ives, printmakers to the American people / by Harry T. Peters.</t>
  </si>
  <si>
    <t>Peters, Harry Twyford, 1881-1948.</t>
  </si>
  <si>
    <t>Garden City, N.Y. : Doubleday, Doran &amp; co., inc., 1942.</t>
  </si>
  <si>
    <t>1942</t>
  </si>
  <si>
    <t>2000-08-25</t>
  </si>
  <si>
    <t>1994-08-04</t>
  </si>
  <si>
    <t>1298845:eng</t>
  </si>
  <si>
    <t>171756</t>
  </si>
  <si>
    <t>991005353529702656</t>
  </si>
  <si>
    <t>2267418610002656</t>
  </si>
  <si>
    <t>32285001942407</t>
  </si>
  <si>
    <t>893514481</t>
  </si>
  <si>
    <t>NE2415.C7 P7</t>
  </si>
  <si>
    <t>0                      NE 2415000C  7                  P  7</t>
  </si>
  <si>
    <t>Currier &amp; Ives chronicles of America : color plates reproduced from the original hand colored stone prints by N. Currier and Currier &amp; Ives / edited by John Lowell Pratt. Introd. by A. K. Baragwanath.</t>
  </si>
  <si>
    <t>Pratt, John Lowell, compiler.</t>
  </si>
  <si>
    <t>Maplewood, N.J. : Hammond, [1968]</t>
  </si>
  <si>
    <t>1968</t>
  </si>
  <si>
    <t>nju</t>
  </si>
  <si>
    <t>1992-11-07</t>
  </si>
  <si>
    <t>902149917:eng</t>
  </si>
  <si>
    <t>438103</t>
  </si>
  <si>
    <t>991005355429702656</t>
  </si>
  <si>
    <t>2265225340002656</t>
  </si>
  <si>
    <t>32285001383339</t>
  </si>
  <si>
    <t>893796023</t>
  </si>
  <si>
    <t>NE2415.C7 S55</t>
  </si>
  <si>
    <t>0                      NE 2415000C  7                  S  55</t>
  </si>
  <si>
    <t>Currier and Ives' America : a panorama of the mid-nineteenth century scene / eighty prints in full color, with an introd. and commentary by the editor, Colin Simkin.</t>
  </si>
  <si>
    <t>New York : Crown Publishers, [1952]</t>
  </si>
  <si>
    <t>1952</t>
  </si>
  <si>
    <t>836149676:eng</t>
  </si>
  <si>
    <t>1112660</t>
  </si>
  <si>
    <t>991005357829702656</t>
  </si>
  <si>
    <t>2271129780002656</t>
  </si>
  <si>
    <t>32285001383321</t>
  </si>
  <si>
    <t>893326623</t>
  </si>
  <si>
    <t>NE2425 .A5</t>
  </si>
  <si>
    <t>0                      NE 2425000A  5</t>
  </si>
  <si>
    <t>The Tamarind book of lithography: art &amp; techniques [by] Garo Z. Antreasian with Clinton Adams.</t>
  </si>
  <si>
    <t>Antreasian, Garo Z., 1922-</t>
  </si>
  <si>
    <t>Los Angeles, Tamarind Lithography Workshop, 1971.</t>
  </si>
  <si>
    <t>1971</t>
  </si>
  <si>
    <t>2006-06-16</t>
  </si>
  <si>
    <t>579712:eng</t>
  </si>
  <si>
    <t>205837</t>
  </si>
  <si>
    <t>991001235639702656</t>
  </si>
  <si>
    <t>2256699620002656</t>
  </si>
  <si>
    <t>9780810904965</t>
  </si>
  <si>
    <t>32285003046801</t>
  </si>
  <si>
    <t>893903352</t>
  </si>
  <si>
    <t>NE400 .E32</t>
  </si>
  <si>
    <t>0                      NE 0400000E  32</t>
  </si>
  <si>
    <t>The art of the print : masterpieces, history, techniques.</t>
  </si>
  <si>
    <t>New York : H. N. Abrams, [1976]</t>
  </si>
  <si>
    <t>1976</t>
  </si>
  <si>
    <t>1996-04-16</t>
  </si>
  <si>
    <t>1991-05-16</t>
  </si>
  <si>
    <t>287801226:eng</t>
  </si>
  <si>
    <t>1032275</t>
  </si>
  <si>
    <t>991003485069702656</t>
  </si>
  <si>
    <t>2268162340002656</t>
  </si>
  <si>
    <t>9780810901032</t>
  </si>
  <si>
    <t>32285000596576</t>
  </si>
  <si>
    <t>893598623</t>
  </si>
  <si>
    <t>NE400 .M3</t>
  </si>
  <si>
    <t>0                      NE 0400000M  3</t>
  </si>
  <si>
    <t>Prints &amp; people : a social history of printed pictures / [by] A. Hyatt Mayor.</t>
  </si>
  <si>
    <t>Mayor, A. Hyatt (Alpheus Hyatt), 1901-1980.</t>
  </si>
  <si>
    <t>[New York] : Metropolitan Museum of Art; distributed by New York Graphic Society, [1971]</t>
  </si>
  <si>
    <t>1990-04-25</t>
  </si>
  <si>
    <t>440570:eng</t>
  </si>
  <si>
    <t>226680</t>
  </si>
  <si>
    <t>991001385469702656</t>
  </si>
  <si>
    <t>2263143370002656</t>
  </si>
  <si>
    <t>9780870991080</t>
  </si>
  <si>
    <t>32285000119155</t>
  </si>
  <si>
    <t>893872501</t>
  </si>
  <si>
    <t>NE400 .P58 2000</t>
  </si>
  <si>
    <t>0                      NE 0400000P  58          2000</t>
  </si>
  <si>
    <t>Hard pressed : 600 years of prints and process / David Platzker and Elizabeth Wyckoff.</t>
  </si>
  <si>
    <t>Platzker, David, 1965-</t>
  </si>
  <si>
    <t>New York : Hudson Hills Press, 2000.</t>
  </si>
  <si>
    <t>2000</t>
  </si>
  <si>
    <t>1st ed.</t>
  </si>
  <si>
    <t>2009-04-08</t>
  </si>
  <si>
    <t>2002-04-15</t>
  </si>
  <si>
    <t>197593696:eng</t>
  </si>
  <si>
    <t>44266175</t>
  </si>
  <si>
    <t>991003782169702656</t>
  </si>
  <si>
    <t>2265372180002656</t>
  </si>
  <si>
    <t>9781555951924</t>
  </si>
  <si>
    <t>32285004479027</t>
  </si>
  <si>
    <t>893705629</t>
  </si>
  <si>
    <t>NE400 .S213 1972</t>
  </si>
  <si>
    <t>0                      NE 0400000S  213         1972</t>
  </si>
  <si>
    <t>The history of prints and printmaking from Dürer to Picasso : a guide to collecting.</t>
  </si>
  <si>
    <t>Salamon, Ferdinando.</t>
  </si>
  <si>
    <t>New York : American Heritage Press, [1972]</t>
  </si>
  <si>
    <t>1972</t>
  </si>
  <si>
    <t>2004-04-08</t>
  </si>
  <si>
    <t>1991-04-09</t>
  </si>
  <si>
    <t>2864331901:eng</t>
  </si>
  <si>
    <t>524404</t>
  </si>
  <si>
    <t>991002917169702656</t>
  </si>
  <si>
    <t>2261016930002656</t>
  </si>
  <si>
    <t>9780070544604</t>
  </si>
  <si>
    <t>32285000550698</t>
  </si>
  <si>
    <t>893251777</t>
  </si>
  <si>
    <t>NE440 .P37 2001</t>
  </si>
  <si>
    <t>0                      NE 0440000P  37          2001</t>
  </si>
  <si>
    <t>The unfinished print / Peter Parshall, Stacey Sell, Judith Brodie.</t>
  </si>
  <si>
    <t>Parshall, Peter W.</t>
  </si>
  <si>
    <t>Washington, D.C. : National Gallery of Art, c2001.</t>
  </si>
  <si>
    <t>2001</t>
  </si>
  <si>
    <t>dcu</t>
  </si>
  <si>
    <t>2002-05-17</t>
  </si>
  <si>
    <t>2002-05-13</t>
  </si>
  <si>
    <t>20378411:eng</t>
  </si>
  <si>
    <t>45756231</t>
  </si>
  <si>
    <t>991003667529702656</t>
  </si>
  <si>
    <t>2266327680002656</t>
  </si>
  <si>
    <t>9780894682841</t>
  </si>
  <si>
    <t>32285004487731</t>
  </si>
  <si>
    <t>893800009</t>
  </si>
  <si>
    <t>NE441.5.R44 L35 1994</t>
  </si>
  <si>
    <t>0                      NE 0441500R  44                 L  35          1994</t>
  </si>
  <si>
    <t>The Renaissance print, 1470-1550 / David Landau and Peter Parshall.</t>
  </si>
  <si>
    <t>Landau, David, 1950-</t>
  </si>
  <si>
    <t>New Haven : Yale University Press, 1994.</t>
  </si>
  <si>
    <t>2002-08-13</t>
  </si>
  <si>
    <t>2000-04-11</t>
  </si>
  <si>
    <t>31021046:eng</t>
  </si>
  <si>
    <t>28495351</t>
  </si>
  <si>
    <t>991002212809702656</t>
  </si>
  <si>
    <t>2272594160002656</t>
  </si>
  <si>
    <t>9780300057393</t>
  </si>
  <si>
    <t>32285003677035</t>
  </si>
  <si>
    <t>893439894</t>
  </si>
  <si>
    <t>NE507 .A42 1975</t>
  </si>
  <si>
    <t>0                      NE 0507000A  42          1975</t>
  </si>
  <si>
    <t>Art &amp; commerce : American prints of the nineteenth century : proceedings of a conference held in Boston, May 8-10, 1975, Museum of Fine Arts, Boston, Massachusetts.</t>
  </si>
  <si>
    <t>American Prints Conference (1975 : Boston, Mass.)</t>
  </si>
  <si>
    <t>[Boston] : The Museum ; Charlottesville : distributed by the University Press of Virginia, c1978.</t>
  </si>
  <si>
    <t>1150981363:eng</t>
  </si>
  <si>
    <t>4768263</t>
  </si>
  <si>
    <t>991005374419702656</t>
  </si>
  <si>
    <t>2263757860002656</t>
  </si>
  <si>
    <t>9780878461301</t>
  </si>
  <si>
    <t>32285001715316</t>
  </si>
  <si>
    <t>893619903</t>
  </si>
  <si>
    <t>NE507 .W37 1984</t>
  </si>
  <si>
    <t>0                      NE 0507000W  37          1984</t>
  </si>
  <si>
    <t>American printmaking : a century of American printmaking, 1880-1980 / James Watrous.</t>
  </si>
  <si>
    <t>Watrous, James, 1908-</t>
  </si>
  <si>
    <t>Madison, Wis. : University of Wisconsin Press, 1984.</t>
  </si>
  <si>
    <t>1984</t>
  </si>
  <si>
    <t>wiu</t>
  </si>
  <si>
    <t>1994-10-25</t>
  </si>
  <si>
    <t>836629288:eng</t>
  </si>
  <si>
    <t>9919144</t>
  </si>
  <si>
    <t>991000282029702656</t>
  </si>
  <si>
    <t>2268286120002656</t>
  </si>
  <si>
    <t>9780299096809</t>
  </si>
  <si>
    <t>32285001715332</t>
  </si>
  <si>
    <t>893589316</t>
  </si>
  <si>
    <t>NE508 .K7 1984</t>
  </si>
  <si>
    <t>0                      NE 0508000K  7           1984</t>
  </si>
  <si>
    <t>Great American prints, 1900-1950 : 138 lithographs, etchings, and woodcuts / June and Norman Kraeft.</t>
  </si>
  <si>
    <t>Kraeft, June.</t>
  </si>
  <si>
    <t>New York : Dover Publications, 1984.</t>
  </si>
  <si>
    <t>1992-05-14</t>
  </si>
  <si>
    <t>836636394:eng</t>
  </si>
  <si>
    <t>10045639</t>
  </si>
  <si>
    <t>991000303479702656</t>
  </si>
  <si>
    <t>2258896530002656</t>
  </si>
  <si>
    <t>9780486246611</t>
  </si>
  <si>
    <t>32285001109528</t>
  </si>
  <si>
    <t>893595460</t>
  </si>
  <si>
    <t>NE539.C3 A4 1979</t>
  </si>
  <si>
    <t>0                      NE 0539000C  3                  A  4           1979</t>
  </si>
  <si>
    <t>Mary Cassatt : a catalogue raisonné of the graphic work / Adelyn Dohme Breeskin.</t>
  </si>
  <si>
    <t>Breeskin, Adelyn Dohme, 1896-1986.</t>
  </si>
  <si>
    <t>Washington : Smithsonian Institution Press, 1979.</t>
  </si>
  <si>
    <t>2d ed., rev.</t>
  </si>
  <si>
    <t>1999-04-06</t>
  </si>
  <si>
    <t>1992-02-06</t>
  </si>
  <si>
    <t>256236021:eng</t>
  </si>
  <si>
    <t>4593214</t>
  </si>
  <si>
    <t>991004686639702656</t>
  </si>
  <si>
    <t>2271081540002656</t>
  </si>
  <si>
    <t>9780874742848</t>
  </si>
  <si>
    <t>32285000943646</t>
  </si>
  <si>
    <t>893882804</t>
  </si>
  <si>
    <t>NE539.C3 A4 1989</t>
  </si>
  <si>
    <t>0                      NE 0539000C  3                  A  4           1989</t>
  </si>
  <si>
    <t>Mary Cassatt : the color prints / Nancy Mowll Mathews and Barbara Stern Shapiro.</t>
  </si>
  <si>
    <t>Mathews, Nancy Mowll.</t>
  </si>
  <si>
    <t>New York : H.N. Abrams ; [Williamstown, Mass.] : Williams College Museum of Art, 1989.</t>
  </si>
  <si>
    <t>1993-05-13</t>
  </si>
  <si>
    <t>1808421028:eng</t>
  </si>
  <si>
    <t>18442109</t>
  </si>
  <si>
    <t>991001351269702656</t>
  </si>
  <si>
    <t>2269501250002656</t>
  </si>
  <si>
    <t>9780810910492</t>
  </si>
  <si>
    <t>32285001581742</t>
  </si>
  <si>
    <t>893238058</t>
  </si>
  <si>
    <t>NE539.G74 A4 2001</t>
  </si>
  <si>
    <t>0                      NE 0539000G  74                 A  4           2001</t>
  </si>
  <si>
    <t>Red Grooms : the graphic work / introduction and catalogue by Walter G. Knestrick ; essay by Vincent Katz.</t>
  </si>
  <si>
    <t>Knestrick, Walter.</t>
  </si>
  <si>
    <t>New York : Harry N. Abrams, 2001.</t>
  </si>
  <si>
    <t>2004-07-28</t>
  </si>
  <si>
    <t>807612085:eng</t>
  </si>
  <si>
    <t>44493364</t>
  </si>
  <si>
    <t>991003781969702656</t>
  </si>
  <si>
    <t>2269385440002656</t>
  </si>
  <si>
    <t>9780810927247</t>
  </si>
  <si>
    <t>32285004479050</t>
  </si>
  <si>
    <t>893410704</t>
  </si>
  <si>
    <t>NE594.L3 T44</t>
  </si>
  <si>
    <t>0                      NE 0594000L  3                  T  44</t>
  </si>
  <si>
    <t>Lasansky, printmaker.</t>
  </si>
  <si>
    <t>Lasansky, Mauricio, 1914-2012.</t>
  </si>
  <si>
    <t>Iowa City : University of Iowa Press, c1975.</t>
  </si>
  <si>
    <t>1975</t>
  </si>
  <si>
    <t>iau</t>
  </si>
  <si>
    <t>1995-01-15</t>
  </si>
  <si>
    <t>1992-02-27</t>
  </si>
  <si>
    <t>2229469:eng</t>
  </si>
  <si>
    <t>1339704</t>
  </si>
  <si>
    <t>991003703149702656</t>
  </si>
  <si>
    <t>2255083020002656</t>
  </si>
  <si>
    <t>9780877450573</t>
  </si>
  <si>
    <t>32285000977131</t>
  </si>
  <si>
    <t>893518781</t>
  </si>
  <si>
    <t>NE628 .C37 1990</t>
  </si>
  <si>
    <t>0                      NE 0628000C  37          1990</t>
  </si>
  <si>
    <t>Avant-garde British printmaking, 1914-1960 / Frances Carey and Antony Griffiths ; with a contribution by Stephen Coppel.</t>
  </si>
  <si>
    <t>Carey, Frances (Art historian)</t>
  </si>
  <si>
    <t>London : Published for the Trustees of the British Museum by British Museum Publications, c1990.</t>
  </si>
  <si>
    <t>1990</t>
  </si>
  <si>
    <t>1992-02-04</t>
  </si>
  <si>
    <t>1992-01-07</t>
  </si>
  <si>
    <t>24534775:eng</t>
  </si>
  <si>
    <t>22242056</t>
  </si>
  <si>
    <t>991001758879702656</t>
  </si>
  <si>
    <t>2272213080002656</t>
  </si>
  <si>
    <t>9780714116464</t>
  </si>
  <si>
    <t>32285000863356</t>
  </si>
  <si>
    <t>893256490</t>
  </si>
  <si>
    <t>NE642.B5 B5 1967</t>
  </si>
  <si>
    <t>0                      NE 0642000B  5                  B  5           1967</t>
  </si>
  <si>
    <t>The engraved designs of William Blake.</t>
  </si>
  <si>
    <t>Binyon, Laurence, 1869-1943.</t>
  </si>
  <si>
    <t>New York, Da Capo Press, 1967.</t>
  </si>
  <si>
    <t>1967</t>
  </si>
  <si>
    <t>2001-02-20</t>
  </si>
  <si>
    <t>1477075:eng</t>
  </si>
  <si>
    <t>511675</t>
  </si>
  <si>
    <t>991002891009702656</t>
  </si>
  <si>
    <t>2263825930002656</t>
  </si>
  <si>
    <t>32285003046264</t>
  </si>
  <si>
    <t>893317403</t>
  </si>
  <si>
    <t>NE642.H6 P3</t>
  </si>
  <si>
    <t>0                      NE 0642000H  6                  P  3</t>
  </si>
  <si>
    <t>Hogarth's graphic works. Compiled and with a commentary by Ronald Paulson.</t>
  </si>
  <si>
    <t>V.2</t>
  </si>
  <si>
    <t>Hogarth, William, 1697-1764.</t>
  </si>
  <si>
    <t>New Haven, Yale University Press, 1965.</t>
  </si>
  <si>
    <t>1965</t>
  </si>
  <si>
    <t>1st complete ed.</t>
  </si>
  <si>
    <t>1997-09-26</t>
  </si>
  <si>
    <t>5578381647:eng</t>
  </si>
  <si>
    <t>1373441</t>
  </si>
  <si>
    <t>991003726109702656</t>
  </si>
  <si>
    <t>2258527910002656</t>
  </si>
  <si>
    <t>32285003046314</t>
  </si>
  <si>
    <t>893810135</t>
  </si>
  <si>
    <t>V.1</t>
  </si>
  <si>
    <t>32285003046306</t>
  </si>
  <si>
    <t>893810136</t>
  </si>
  <si>
    <t>NE642.H6 S47 1973</t>
  </si>
  <si>
    <t>0                      NE 0642000H  6                  S  47          1973</t>
  </si>
  <si>
    <t>Engravings by Hogarth / Edited by Sean Shesgreen.</t>
  </si>
  <si>
    <t>New York : Dover, [1973]</t>
  </si>
  <si>
    <t>1996-08-28</t>
  </si>
  <si>
    <t>1994-01-11</t>
  </si>
  <si>
    <t>1102691341:eng</t>
  </si>
  <si>
    <t>820893</t>
  </si>
  <si>
    <t>991003298229702656</t>
  </si>
  <si>
    <t>2259120670002656</t>
  </si>
  <si>
    <t>9780486224794</t>
  </si>
  <si>
    <t>32285001679116</t>
  </si>
  <si>
    <t>893518348</t>
  </si>
  <si>
    <t>NE650.G5 L8</t>
  </si>
  <si>
    <t>0                      NE 0650000G  5                  L  8</t>
  </si>
  <si>
    <t>Giacometti: the complete graphics and 15 drawings, by Herbert C. Lust. Introd. by John Lloyd Taylor.</t>
  </si>
  <si>
    <t>Giacometti, Alberto, 1901-1966.</t>
  </si>
  <si>
    <t>New York, Tudor Pub. Co. [1970]</t>
  </si>
  <si>
    <t>2006-12-03</t>
  </si>
  <si>
    <t>3883513174:eng</t>
  </si>
  <si>
    <t>126137</t>
  </si>
  <si>
    <t>991000719149702656</t>
  </si>
  <si>
    <t>2260420810002656</t>
  </si>
  <si>
    <t>9780814804100</t>
  </si>
  <si>
    <t>32285003046355</t>
  </si>
  <si>
    <t>893339822</t>
  </si>
  <si>
    <t>NE650.R67 G4</t>
  </si>
  <si>
    <t>0                      NE 0650000R  67                 G  4</t>
  </si>
  <si>
    <t>Georges Rouault's Miserere [by] Frank and Dorothy Getlein.</t>
  </si>
  <si>
    <t>Getlein, Frank.</t>
  </si>
  <si>
    <t>Milwaukee, Bruce Pub. Co. [1964]</t>
  </si>
  <si>
    <t>1997-09-18</t>
  </si>
  <si>
    <t>1945908:eng</t>
  </si>
  <si>
    <t>1019614</t>
  </si>
  <si>
    <t>991003475249702656</t>
  </si>
  <si>
    <t>2258080710002656</t>
  </si>
  <si>
    <t>32285003046371</t>
  </si>
  <si>
    <t>893611078</t>
  </si>
  <si>
    <t>NE651 .R54 1983</t>
  </si>
  <si>
    <t>0                      NE 0651000R  54          1983</t>
  </si>
  <si>
    <t>An alle Künstler! : war-revolution-Weimar : German Expressionist prints, drawings, posters and periodicals from the Robert Gore Rifkind Foundation / exhibition and catalogue essays by Ida Katherine Rigby ; exhibition organized by the University Gallery, San Diego State University.</t>
  </si>
  <si>
    <t>Rigby, Ida Katherine.</t>
  </si>
  <si>
    <t>San Diego : San Diego State University Press, 1983.</t>
  </si>
  <si>
    <t>1983</t>
  </si>
  <si>
    <t>1996-07-22</t>
  </si>
  <si>
    <t>24358435:eng</t>
  </si>
  <si>
    <t>9892112</t>
  </si>
  <si>
    <t>991000273339702656</t>
  </si>
  <si>
    <t>2268293440002656</t>
  </si>
  <si>
    <t>9780916304645</t>
  </si>
  <si>
    <t>32285001715456</t>
  </si>
  <si>
    <t>893802649</t>
  </si>
  <si>
    <t>NE651.3 .B75 1984</t>
  </si>
  <si>
    <t>0                      NE 0651300B  75          1984</t>
  </si>
  <si>
    <t>The prints in Germany 1880-1933 : the age of expressionism : prints from the Department of Prints and drawings in the British Museum / Frances Carey and Antony Griffiths ; with a selection of illustrated books from the British Library, David Paisey.</t>
  </si>
  <si>
    <t>British Museum. Department of Prints and Drawings.</t>
  </si>
  <si>
    <t>New York : Harper &amp; Row, c1984.</t>
  </si>
  <si>
    <t>1st U.S. ed.</t>
  </si>
  <si>
    <t>1998-11-19</t>
  </si>
  <si>
    <t>7822229:eng</t>
  </si>
  <si>
    <t>13444444</t>
  </si>
  <si>
    <t>991000604469702656</t>
  </si>
  <si>
    <t>2265183720002656</t>
  </si>
  <si>
    <t>9780064301510</t>
  </si>
  <si>
    <t>32285001715464</t>
  </si>
  <si>
    <t>893601896</t>
  </si>
  <si>
    <t>NE651.6.E9 P75 1991</t>
  </si>
  <si>
    <t>0                      NE 0651600E  9                  P  75          1991</t>
  </si>
  <si>
    <t>Inner visions : German prints from the age of expressionism / introduction by Ida Katherine Rigby ; catalogue by Mary Priester with assistance by Lois Allan, Elizabeth Sarah Davis, and Virginia Wilson Hanson.</t>
  </si>
  <si>
    <t>Priester, Mary.</t>
  </si>
  <si>
    <t>Portland, Or. : Portland Art Museum, [1991]</t>
  </si>
  <si>
    <t>1991</t>
  </si>
  <si>
    <t>oru</t>
  </si>
  <si>
    <t>2007-02-15</t>
  </si>
  <si>
    <t>1993-12-30</t>
  </si>
  <si>
    <t>889578610:eng</t>
  </si>
  <si>
    <t>28147423</t>
  </si>
  <si>
    <t>991002184979702656</t>
  </si>
  <si>
    <t>2255015260002656</t>
  </si>
  <si>
    <t>9780295971902</t>
  </si>
  <si>
    <t>32285001819274</t>
  </si>
  <si>
    <t>893721323</t>
  </si>
  <si>
    <t>NE654.D9 A54 1967</t>
  </si>
  <si>
    <t>0                      NE 0654000D  9                  A  54          1967</t>
  </si>
  <si>
    <t>Albrecht Dürer : engravings and etchings / by Campbell Dodgson.</t>
  </si>
  <si>
    <t>New York : Da Capo, 1967.</t>
  </si>
  <si>
    <t>Da Capo Press series in graphic art ; v. 1</t>
  </si>
  <si>
    <t>2010-10-01</t>
  </si>
  <si>
    <t>1990-04-18</t>
  </si>
  <si>
    <t>155640280:eng</t>
  </si>
  <si>
    <t>653803</t>
  </si>
  <si>
    <t>991003105609702656</t>
  </si>
  <si>
    <t>2264011620002656</t>
  </si>
  <si>
    <t>32285000118637</t>
  </si>
  <si>
    <t>893604446</t>
  </si>
  <si>
    <t>NE659 .U54</t>
  </si>
  <si>
    <t>0                      NE 0659000U  54</t>
  </si>
  <si>
    <t>Early Italian engravings from the National Gallery of Art. [By] Jay A. Levenson, Konrad Oberhuber [and] Jacquelyn L. Sheehan. --</t>
  </si>
  <si>
    <t>National Gallery of Art (U.S.)</t>
  </si>
  <si>
    <t>___</t>
  </si>
  <si>
    <t>1993-12-01</t>
  </si>
  <si>
    <t>1823520:eng</t>
  </si>
  <si>
    <t>697289</t>
  </si>
  <si>
    <t>991003157799702656</t>
  </si>
  <si>
    <t>2264575930002656</t>
  </si>
  <si>
    <t>32285001715498</t>
  </si>
  <si>
    <t>893774455</t>
  </si>
  <si>
    <t>NE662.R3 A4 1981</t>
  </si>
  <si>
    <t>0                      NE 0662000R  3                  A  4           1981</t>
  </si>
  <si>
    <t>The engravings of Marcantonio Raimondi : essays / by Innis H. Shoemaker and Elizabeth Broun ; catalogue by Innis H. Shoemaker.</t>
  </si>
  <si>
    <t>Shoemaker, Innis H.</t>
  </si>
  <si>
    <t>Lawrence : Spencer Museum of Art, University of Kansas, 1981.</t>
  </si>
  <si>
    <t>1981</t>
  </si>
  <si>
    <t>ksu</t>
  </si>
  <si>
    <t>1999-02-17</t>
  </si>
  <si>
    <t>30679977:eng</t>
  </si>
  <si>
    <t>8200401</t>
  </si>
  <si>
    <t>991005217989702656</t>
  </si>
  <si>
    <t>2270488000002656</t>
  </si>
  <si>
    <t>32285001715514</t>
  </si>
  <si>
    <t>893783221</t>
  </si>
  <si>
    <t>NE670.E75 A43 1967</t>
  </si>
  <si>
    <t>0                      NE 0670000E  75                 A  43          1967</t>
  </si>
  <si>
    <t>The graphic work of M. C. Escher.</t>
  </si>
  <si>
    <t>Escher, M. C. (Maurits Cornelis), 1898-1972.</t>
  </si>
  <si>
    <t>New York : Meredith Press, [1967]</t>
  </si>
  <si>
    <t>[New ed.]</t>
  </si>
  <si>
    <t>2006-02-28</t>
  </si>
  <si>
    <t>1990-02-27</t>
  </si>
  <si>
    <t>2070136527:eng</t>
  </si>
  <si>
    <t>2030234</t>
  </si>
  <si>
    <t>991003985699702656</t>
  </si>
  <si>
    <t>2271922980002656</t>
  </si>
  <si>
    <t>32285005174320</t>
  </si>
  <si>
    <t>893318661</t>
  </si>
  <si>
    <t>NE670.E75 L6</t>
  </si>
  <si>
    <t>0                      NE 0670000E  75                 L  6</t>
  </si>
  <si>
    <t>The world of M. C. Escher / [edited by J. L. Locher]</t>
  </si>
  <si>
    <t>New York : H. N. Abrams, [1971?]</t>
  </si>
  <si>
    <t>2007-08-22</t>
  </si>
  <si>
    <t>1419367:eng</t>
  </si>
  <si>
    <t>402146</t>
  </si>
  <si>
    <t>991002692849702656</t>
  </si>
  <si>
    <t>2267635270002656</t>
  </si>
  <si>
    <t>9780810901070</t>
  </si>
  <si>
    <t>32285000061845</t>
  </si>
  <si>
    <t>893804899</t>
  </si>
  <si>
    <t>NE694.M8 T4813</t>
  </si>
  <si>
    <t>0                      NE 0694000M  8                  T  4813</t>
  </si>
  <si>
    <t>The graphic art of Edvard Munch / translated from the German by Ruth Michaelis-Jena with the collaboration of Patrick Murray.</t>
  </si>
  <si>
    <t>Timm, Werner.</t>
  </si>
  <si>
    <t>[Greenwich, Conn.] : New York Graphic Society, [1969]</t>
  </si>
  <si>
    <t>2005-03-14</t>
  </si>
  <si>
    <t>1994-08-30</t>
  </si>
  <si>
    <t>10792711494:eng</t>
  </si>
  <si>
    <t>46068</t>
  </si>
  <si>
    <t>991000105159702656</t>
  </si>
  <si>
    <t>2264212110002656</t>
  </si>
  <si>
    <t>9780821203330</t>
  </si>
  <si>
    <t>32285001777969</t>
  </si>
  <si>
    <t>893613895</t>
  </si>
  <si>
    <t>NE731 .K7</t>
  </si>
  <si>
    <t>0                      NE 0731000K  7</t>
  </si>
  <si>
    <t>Contemporary Yugoslav graphic art. Text by Zoran Krz̈iǎnik. [Editors: Oto Bihalji-Merin and Jara Ribnikar]</t>
  </si>
  <si>
    <t>Krz̈iǎnik, Zoran.</t>
  </si>
  <si>
    <t>New York, Shorewood Publishers, 1964.</t>
  </si>
  <si>
    <t>28465630:eng</t>
  </si>
  <si>
    <t>1684614</t>
  </si>
  <si>
    <t>991003868339702656</t>
  </si>
  <si>
    <t>2272730740002656</t>
  </si>
  <si>
    <t>32285003046405</t>
  </si>
  <si>
    <t>893349298</t>
  </si>
  <si>
    <t>NE850 .B52 1976</t>
  </si>
  <si>
    <t>0                      NE 0850000B  52          1976</t>
  </si>
  <si>
    <t>New media in printmaking / by John Bickford.</t>
  </si>
  <si>
    <t>Bickford, John H., 1926-</t>
  </si>
  <si>
    <t>New York : Watson-Guptill Publications, 1976.</t>
  </si>
  <si>
    <t>4839672:eng</t>
  </si>
  <si>
    <t>2332287</t>
  </si>
  <si>
    <t>991004086919702656</t>
  </si>
  <si>
    <t>2264028830002656</t>
  </si>
  <si>
    <t>9780823031658</t>
  </si>
  <si>
    <t>32285000977651</t>
  </si>
  <si>
    <t>893794453</t>
  </si>
  <si>
    <t>NE850 .D3 1971</t>
  </si>
  <si>
    <t>0                      NE 0850000D  3           1971</t>
  </si>
  <si>
    <t>Printmaking.</t>
  </si>
  <si>
    <t>Daniels, Harvey, 1936-2013.</t>
  </si>
  <si>
    <t>New York, Viking Press [1971]</t>
  </si>
  <si>
    <t>A Studio book</t>
  </si>
  <si>
    <t>2007-03-22</t>
  </si>
  <si>
    <t>1339796:eng</t>
  </si>
  <si>
    <t>238796</t>
  </si>
  <si>
    <t>991001892119702656</t>
  </si>
  <si>
    <t>2255448490002656</t>
  </si>
  <si>
    <t>9780670577576</t>
  </si>
  <si>
    <t>32285003046413</t>
  </si>
  <si>
    <t>893516643</t>
  </si>
  <si>
    <t>NE850 .D54 2000</t>
  </si>
  <si>
    <t>0                      NE 0850000D  54          2000</t>
  </si>
  <si>
    <t>Simple printmaking : a beginner's guide to making relief prints with linoleum blocks, wood blocks, rubber stamps, found objects &amp; more / Gwen Diehn.</t>
  </si>
  <si>
    <t>Diehn, Gwen, 1943-</t>
  </si>
  <si>
    <t>New York : Lark Books, c2000.</t>
  </si>
  <si>
    <t>2002-05-08</t>
  </si>
  <si>
    <t>508764173:eng</t>
  </si>
  <si>
    <t>44267776</t>
  </si>
  <si>
    <t>991003797379702656</t>
  </si>
  <si>
    <t>2264917350002656</t>
  </si>
  <si>
    <t>9781579901585</t>
  </si>
  <si>
    <t>32285004486691</t>
  </si>
  <si>
    <t>893781422</t>
  </si>
  <si>
    <t>NE850 .D6</t>
  </si>
  <si>
    <t>0                      NE 0850000D  6</t>
  </si>
  <si>
    <t>Block-cutting and print-making by hand: from wood, linoleum and other media: by Margaret Dobson, A.R.E.</t>
  </si>
  <si>
    <t>Dobson, Margaret Stirling, 1882-</t>
  </si>
  <si>
    <t>London, New York [etc.] Sir I. Pitman &amp; Sons, ltd. [1928]</t>
  </si>
  <si>
    <t>1928</t>
  </si>
  <si>
    <t>2007-03-13</t>
  </si>
  <si>
    <t>10417025:eng</t>
  </si>
  <si>
    <t>3505599</t>
  </si>
  <si>
    <t>991004450029702656</t>
  </si>
  <si>
    <t>2254910530002656</t>
  </si>
  <si>
    <t>32285003046421</t>
  </si>
  <si>
    <t>893700262</t>
  </si>
  <si>
    <t>NE850 .R59 1990</t>
  </si>
  <si>
    <t>0                      NE 0850000R  59          1990</t>
  </si>
  <si>
    <t>The complete printmaker : techniques, traditions, innovations / John Ross, Clare Romano, Tim Ross ; edited and produced by Roundtable Press.</t>
  </si>
  <si>
    <t>Ross, John, 1921-2017.</t>
  </si>
  <si>
    <t>New York : Free Press ; London : Collier Macmillan Publishers, c1990.</t>
  </si>
  <si>
    <t>Rev. and expanded ed.</t>
  </si>
  <si>
    <t>1996-02-20</t>
  </si>
  <si>
    <t>1991-05-17</t>
  </si>
  <si>
    <t>4575169682:eng</t>
  </si>
  <si>
    <t>19920115</t>
  </si>
  <si>
    <t>991001512519702656</t>
  </si>
  <si>
    <t>2268954940002656</t>
  </si>
  <si>
    <t>9780029273722</t>
  </si>
  <si>
    <t>32285000574177</t>
  </si>
  <si>
    <t>893420377</t>
  </si>
  <si>
    <t>NE850 .S23</t>
  </si>
  <si>
    <t>0                      NE 0850000S  23</t>
  </si>
  <si>
    <t>Printmaking : history and process / Donald Saff, Deli Sacilotto.</t>
  </si>
  <si>
    <t>Saff, Donald, 1937-</t>
  </si>
  <si>
    <t>New York : Holt, Rinehart and Winston, c1978.</t>
  </si>
  <si>
    <t>2007-02-19</t>
  </si>
  <si>
    <t>569914:eng</t>
  </si>
  <si>
    <t>2632818</t>
  </si>
  <si>
    <t>991004190959702656</t>
  </si>
  <si>
    <t>2269904910002656</t>
  </si>
  <si>
    <t>9780030421068</t>
  </si>
  <si>
    <t>32285001109502</t>
  </si>
  <si>
    <t>893325048</t>
  </si>
  <si>
    <t>NE850 .W53 2003</t>
  </si>
  <si>
    <t>0                      NE 0850000W  53          2003</t>
  </si>
  <si>
    <t>Digital printmaking / George Whale &amp; Naren Barfield.</t>
  </si>
  <si>
    <t>Whale, George.</t>
  </si>
  <si>
    <t>New York : Watson-Guptill, 2003.</t>
  </si>
  <si>
    <t>2003</t>
  </si>
  <si>
    <t>Printmaking handbooks</t>
  </si>
  <si>
    <t>2006-01-04</t>
  </si>
  <si>
    <t>2003-09-30</t>
  </si>
  <si>
    <t>965405:eng</t>
  </si>
  <si>
    <t>52426409</t>
  </si>
  <si>
    <t>991004141599702656</t>
  </si>
  <si>
    <t>2268298620002656</t>
  </si>
  <si>
    <t>9780823013982</t>
  </si>
  <si>
    <t>32285004792353</t>
  </si>
  <si>
    <t>893235100</t>
  </si>
  <si>
    <t>NE962.G7 Q3713 1975</t>
  </si>
  <si>
    <t>0                      NE 0962000G  7                  Q  3713        1975</t>
  </si>
  <si>
    <t>The Waking dream : fantasy and the surreal in graphic art, 1450-1900 / introd. and commentaries by Edward Lucie-Smith ; notes on the plates by Aline Jacquiot ; [translated from the French by Nicholas Fry].</t>
  </si>
  <si>
    <t>Quatre siècles de surréalisme. English.</t>
  </si>
  <si>
    <t>New York : Knopf, 1975.</t>
  </si>
  <si>
    <t>1st American ed.</t>
  </si>
  <si>
    <t>1993-10-28</t>
  </si>
  <si>
    <t>8868002636:eng</t>
  </si>
  <si>
    <t>1359633</t>
  </si>
  <si>
    <t>991003715389702656</t>
  </si>
  <si>
    <t>2268830990002656</t>
  </si>
  <si>
    <t>9780394497587</t>
  </si>
  <si>
    <t>32285001795383</t>
  </si>
  <si>
    <t>893246664</t>
  </si>
  <si>
    <t>NK1068 .J593 2008</t>
  </si>
  <si>
    <t>0                      NK 1068000J  593         2008</t>
  </si>
  <si>
    <t>Elegance of the Qing court : reflections of a dynasty through its art / Fang Jing Pei, Wang Peihuan, and Judith Rutherford.</t>
  </si>
  <si>
    <t>Joslyn Art Museum.</t>
  </si>
  <si>
    <t>Omaha, Neb. : Joslyn Art Museum, 2008.</t>
  </si>
  <si>
    <t>2008</t>
  </si>
  <si>
    <t>nbu</t>
  </si>
  <si>
    <t xml:space="preserve">NK </t>
  </si>
  <si>
    <t>2008-06-16</t>
  </si>
  <si>
    <t>941232610:eng</t>
  </si>
  <si>
    <t>191847038</t>
  </si>
  <si>
    <t>991005232489702656</t>
  </si>
  <si>
    <t>2271040590002656</t>
  </si>
  <si>
    <t>9780936364353</t>
  </si>
  <si>
    <t>32285005445944</t>
  </si>
  <si>
    <t>893254690</t>
  </si>
  <si>
    <t>NK1071 .J375 2001</t>
  </si>
  <si>
    <t>0                      NK 1071000J  375         2001</t>
  </si>
  <si>
    <t>Japanese crafts : a complete guide to today's traditional handmade objects / the Japan Craft Forum ; introduction by Diane Durston.</t>
  </si>
  <si>
    <t>Tōkyō : Kōdansha Intānashonaru, 2001.</t>
  </si>
  <si>
    <t>1st pbk. ed.</t>
  </si>
  <si>
    <t>2002-11-19</t>
  </si>
  <si>
    <t>3858898034:eng</t>
  </si>
  <si>
    <t>47982908</t>
  </si>
  <si>
    <t>991003947129702656</t>
  </si>
  <si>
    <t>2270791060002656</t>
  </si>
  <si>
    <t>9784770027344</t>
  </si>
  <si>
    <t>32285004664677</t>
  </si>
  <si>
    <t>893435697</t>
  </si>
  <si>
    <t>NK1071 .M66 1985</t>
  </si>
  <si>
    <t>0                      NK 1071000M  66          1985</t>
  </si>
  <si>
    <t>Mingei : Japanese folk art from the Brooklyn Museum collection / Robert Moes ; Ainu section by Anne Pike Tay.</t>
  </si>
  <si>
    <t>Moes, Robert.</t>
  </si>
  <si>
    <t>New York : Universe Books, 1985.</t>
  </si>
  <si>
    <t>1985</t>
  </si>
  <si>
    <t>500483165:eng</t>
  </si>
  <si>
    <t>11972403</t>
  </si>
  <si>
    <t>991005008459702656</t>
  </si>
  <si>
    <t>2255756260002656</t>
  </si>
  <si>
    <t>9780876634813</t>
  </si>
  <si>
    <t>32285005274484</t>
  </si>
  <si>
    <t>893536306</t>
  </si>
  <si>
    <t>NK1071 .Y34 1972</t>
  </si>
  <si>
    <t>0                      NK 1071000Y  34          1972</t>
  </si>
  <si>
    <t>The unknown craftsman : a Japanese insight into beauty / [by] Sōetsu Yanagi. Adapted by Bernard Leach. Foreword by Shōji Hamada.</t>
  </si>
  <si>
    <t>Yanagi, Muneyoshi, 1889-1961.</t>
  </si>
  <si>
    <t>Tokyo ; Palo Alto, Calif.] : Kodansha International, [1972]</t>
  </si>
  <si>
    <t>[1st ed.</t>
  </si>
  <si>
    <t>2007-04-27</t>
  </si>
  <si>
    <t>1993-07-01</t>
  </si>
  <si>
    <t>4915169147:eng</t>
  </si>
  <si>
    <t>520946</t>
  </si>
  <si>
    <t>991002909379702656</t>
  </si>
  <si>
    <t>2268140140002656</t>
  </si>
  <si>
    <t>9780870111846</t>
  </si>
  <si>
    <t>32285001699478</t>
  </si>
  <si>
    <t>893233589</t>
  </si>
  <si>
    <t>NK1081.7.A1 I73 2005</t>
  </si>
  <si>
    <t>0                      NK 1081700A  1                  I  73          2005</t>
  </si>
  <si>
    <t>Art in the service of colonialism : French art education in Morocco, 1912-1956 / Hamid Irbouh.</t>
  </si>
  <si>
    <t>Irbouh, Hamid.</t>
  </si>
  <si>
    <t>London ; New York : Tauris Academic Studies ; New York : Distributed in the U.S. by St. Martin's Press, 2005.</t>
  </si>
  <si>
    <t>2005</t>
  </si>
  <si>
    <t>International library of colonial history ; 2</t>
  </si>
  <si>
    <t>2006-04-20</t>
  </si>
  <si>
    <t>14538647:eng</t>
  </si>
  <si>
    <t>57167650</t>
  </si>
  <si>
    <t>991004792699702656</t>
  </si>
  <si>
    <t>2272403920002656</t>
  </si>
  <si>
    <t>9781850438519</t>
  </si>
  <si>
    <t>32285005064307</t>
  </si>
  <si>
    <t>893776455</t>
  </si>
  <si>
    <t>NK1125 .D43</t>
  </si>
  <si>
    <t>0                      NK 1125000D  43</t>
  </si>
  <si>
    <t>Soda pop; the history, advertising, art, and memorabilia of soft drinks in America.</t>
  </si>
  <si>
    <t>Dietz, Lawrence.</t>
  </si>
  <si>
    <t>[New York] Simon and Schuster [1973]</t>
  </si>
  <si>
    <t>2009-03-30</t>
  </si>
  <si>
    <t>1955606:eng</t>
  </si>
  <si>
    <t>985115</t>
  </si>
  <si>
    <t>991005357469702656</t>
  </si>
  <si>
    <t>2271697130002656</t>
  </si>
  <si>
    <t>9780671214425</t>
  </si>
  <si>
    <t>32285003047072</t>
  </si>
  <si>
    <t>893425016</t>
  </si>
  <si>
    <t>NK1142 .S7 1985</t>
  </si>
  <si>
    <t>0                      NK 1142000S  7           1985</t>
  </si>
  <si>
    <t>Redesigning the world : William Morris, the 1880s, and the Arts and Crafts / Peter Stansky.</t>
  </si>
  <si>
    <t>Štanský, Peter.</t>
  </si>
  <si>
    <t>Princeton, N.J. : Princeton University Press, c1985.</t>
  </si>
  <si>
    <t>2003-03-17</t>
  </si>
  <si>
    <t>1993-10-25</t>
  </si>
  <si>
    <t>863907850:eng</t>
  </si>
  <si>
    <t>11029288</t>
  </si>
  <si>
    <t>991005404309702656</t>
  </si>
  <si>
    <t>2266042780002656</t>
  </si>
  <si>
    <t>9780691066165</t>
  </si>
  <si>
    <t>32285001794402</t>
  </si>
  <si>
    <t>893802249</t>
  </si>
  <si>
    <t>NK1175 .A8</t>
  </si>
  <si>
    <t>0                      NK 1175000A  8</t>
  </si>
  <si>
    <t>The aesthetic movement : prelude to Art nouveau.</t>
  </si>
  <si>
    <t>Aslin, Elizabeth.</t>
  </si>
  <si>
    <t>New York : Praeger, [1969]</t>
  </si>
  <si>
    <t>1996-08-13</t>
  </si>
  <si>
    <t>1992-03-03</t>
  </si>
  <si>
    <t>1182698:eng</t>
  </si>
  <si>
    <t>31455</t>
  </si>
  <si>
    <t>991000080759702656</t>
  </si>
  <si>
    <t>2261002350002656</t>
  </si>
  <si>
    <t>32285000979228</t>
  </si>
  <si>
    <t>893613870</t>
  </si>
  <si>
    <t>NK1370 .F47</t>
  </si>
  <si>
    <t>0                      NK 1370000F  47</t>
  </si>
  <si>
    <t>A history of design from the Victorian era to the present; a survey of the modern style in architecture, interior design, industrial design, graphic design, and photography.</t>
  </si>
  <si>
    <t>Ferebee, Ann.</t>
  </si>
  <si>
    <t>New York, Van Nostrand Reinhold [c1970]</t>
  </si>
  <si>
    <t>2004-10-25</t>
  </si>
  <si>
    <t>1236953:eng</t>
  </si>
  <si>
    <t>118016</t>
  </si>
  <si>
    <t>991000663659702656</t>
  </si>
  <si>
    <t>2261703460002656</t>
  </si>
  <si>
    <t>32285003047122</t>
  </si>
  <si>
    <t>893865566</t>
  </si>
  <si>
    <t>NK1380 .L5 1950a</t>
  </si>
  <si>
    <t>0                      NK 1380000L  5           1950a</t>
  </si>
  <si>
    <t>Decorative art of Victoria's era.</t>
  </si>
  <si>
    <t>Lichten, Frances.</t>
  </si>
  <si>
    <t>New York, Bonanza Books [1950]</t>
  </si>
  <si>
    <t>1950</t>
  </si>
  <si>
    <t>2003-04-01</t>
  </si>
  <si>
    <t>1828939:eng</t>
  </si>
  <si>
    <t>862675</t>
  </si>
  <si>
    <t>991003331469702656</t>
  </si>
  <si>
    <t>2264025550002656</t>
  </si>
  <si>
    <t>32285003047130</t>
  </si>
  <si>
    <t>893252271</t>
  </si>
  <si>
    <t>NK1404 .J65 2000</t>
  </si>
  <si>
    <t>0                      NK 1404000J  65          2000</t>
  </si>
  <si>
    <t>American modern, 1925-1940 : design for a new age / by J. Stewart Johnson.</t>
  </si>
  <si>
    <t>Johnson, J. Stewart.</t>
  </si>
  <si>
    <t>New York : Harry N. Abrams, Inc. in association with the American Federation of Arts, 2000.</t>
  </si>
  <si>
    <t>2005-04-21</t>
  </si>
  <si>
    <t>962456358:eng</t>
  </si>
  <si>
    <t>42690134</t>
  </si>
  <si>
    <t>991004525229702656</t>
  </si>
  <si>
    <t>2259033950002656</t>
  </si>
  <si>
    <t>9780810942080</t>
  </si>
  <si>
    <t>32285005031850</t>
  </si>
  <si>
    <t>893612456</t>
  </si>
  <si>
    <t>NK1412.K34 B55 2004</t>
  </si>
  <si>
    <t>0                      NK 1412000K  34                 B  55          2004</t>
  </si>
  <si>
    <t>Objects of the spirit : ritual and the art of Tobi Kahn / Emily D. Bilski ; meditations by Nessa Rapoport ; with essays by Leora Auslander ... [et al.].</t>
  </si>
  <si>
    <t>Bilski, Emily D., 1956-</t>
  </si>
  <si>
    <t>New York : Avoda Arts : Hudson Hills Press ; [Lanham, Md.?] : Distributed in the U.S. through National Book Network, c2004.</t>
  </si>
  <si>
    <t>2005-06-02</t>
  </si>
  <si>
    <t>138927214:eng</t>
  </si>
  <si>
    <t>54046180</t>
  </si>
  <si>
    <t>991004539169702656</t>
  </si>
  <si>
    <t>2259529190002656</t>
  </si>
  <si>
    <t>9781555952471</t>
  </si>
  <si>
    <t>32285005092290</t>
  </si>
  <si>
    <t>893343960</t>
  </si>
  <si>
    <t>NK1443 .J33 2002</t>
  </si>
  <si>
    <t>0                      NK 1443000J  33          2002</t>
  </si>
  <si>
    <t>The V &amp; A guide to period styles : 400 years of British art and design / Anna Jackson with Morna Hinton.</t>
  </si>
  <si>
    <t>Jackson, Anna (Anna M. F.)</t>
  </si>
  <si>
    <t>London : V &amp; A Publications ; New York : Distributed by Harry N. Abrams, 2002.</t>
  </si>
  <si>
    <t>2002</t>
  </si>
  <si>
    <t>2006-01-23</t>
  </si>
  <si>
    <t>2004-02-11</t>
  </si>
  <si>
    <t>20560236:eng</t>
  </si>
  <si>
    <t>48415910</t>
  </si>
  <si>
    <t>991004223149702656</t>
  </si>
  <si>
    <t>2271982920002656</t>
  </si>
  <si>
    <t>9780810965904</t>
  </si>
  <si>
    <t>32285004637772</t>
  </si>
  <si>
    <t>893500285</t>
  </si>
  <si>
    <t>NK1443 .S65 1980</t>
  </si>
  <si>
    <t>0                      NK 1443000S  65          1980</t>
  </si>
  <si>
    <t>Anglo-Saxon animal art and its Germanic background / by George Speake.</t>
  </si>
  <si>
    <t>Speake, George.</t>
  </si>
  <si>
    <t>Oxford : Clarendon Press ; New York : Oxford University Press, 1980.</t>
  </si>
  <si>
    <t>2008-04-01</t>
  </si>
  <si>
    <t>415808:eng</t>
  </si>
  <si>
    <t>5264194</t>
  </si>
  <si>
    <t>991004807899702656</t>
  </si>
  <si>
    <t>2258552170002656</t>
  </si>
  <si>
    <t>9780198131946</t>
  </si>
  <si>
    <t>32285001715902</t>
  </si>
  <si>
    <t>893719403</t>
  </si>
  <si>
    <t>NK1484.A1 L43</t>
  </si>
  <si>
    <t>0                      NK 1484000A  1                  L  43</t>
  </si>
  <si>
    <t>The genius of Japanese design / text by Sherman E. Lee.</t>
  </si>
  <si>
    <t>Lee, Sherman E.</t>
  </si>
  <si>
    <t>Tokyo ; New York : Kodansha International ; New York, N.Y. : Distributed in the U.S. by Kodansha International/USA, Ltd., through Harper &amp; Row, 1981.</t>
  </si>
  <si>
    <t>2005-04-09</t>
  </si>
  <si>
    <t>1992-05-04</t>
  </si>
  <si>
    <t>514077:eng</t>
  </si>
  <si>
    <t>7273039</t>
  </si>
  <si>
    <t>991005095769702656</t>
  </si>
  <si>
    <t>2258439570002656</t>
  </si>
  <si>
    <t>9780870113956</t>
  </si>
  <si>
    <t>32285001091585</t>
  </si>
  <si>
    <t>893688585</t>
  </si>
  <si>
    <t>NK1498.M6 W3 1967</t>
  </si>
  <si>
    <t>0                      NK 1498000M  6                  W  3           1967</t>
  </si>
  <si>
    <t>William Morris as designer.</t>
  </si>
  <si>
    <t>Watkinson, Raymond, 1913-2003.</t>
  </si>
  <si>
    <t>New York, Reinhold Pub. Co. [1967]</t>
  </si>
  <si>
    <t>2006-02-08</t>
  </si>
  <si>
    <t>198199523:eng</t>
  </si>
  <si>
    <t>519184</t>
  </si>
  <si>
    <t>991002905259702656</t>
  </si>
  <si>
    <t>2257024550002656</t>
  </si>
  <si>
    <t>32285003047171</t>
  </si>
  <si>
    <t>893598047</t>
  </si>
  <si>
    <t>NK1510 .B46 1970</t>
  </si>
  <si>
    <t>0                      NK 1510000B  46          1970</t>
  </si>
  <si>
    <t>Basic design : principles and practice / Kenneth F. Bates. Foreword by William M. Milliken.</t>
  </si>
  <si>
    <t>Bates, Kenneth F. (Kenneth Francis), 1904-1994.</t>
  </si>
  <si>
    <t>Cleveland : World Pub. Co., 1970, c1960.</t>
  </si>
  <si>
    <t>1999-01-18</t>
  </si>
  <si>
    <t>1990-02-08</t>
  </si>
  <si>
    <t>1414381:eng</t>
  </si>
  <si>
    <t>325663</t>
  </si>
  <si>
    <t>991002359079702656</t>
  </si>
  <si>
    <t>2269799460002656</t>
  </si>
  <si>
    <t>32285000034016</t>
  </si>
  <si>
    <t>893710185</t>
  </si>
  <si>
    <t>NK1510 .B475 1984</t>
  </si>
  <si>
    <t>0                      NK 1510000B  475         1984</t>
  </si>
  <si>
    <t>Design in the visual arts / Roy R. Behrens.</t>
  </si>
  <si>
    <t>Behrens, Roy R., 1946-</t>
  </si>
  <si>
    <t>Englewood Cliffs, N.J. : Prentice-Hall, c1984.</t>
  </si>
  <si>
    <t>2002-10-03</t>
  </si>
  <si>
    <t>1992-02-25</t>
  </si>
  <si>
    <t>43132903:eng</t>
  </si>
  <si>
    <t>9282869</t>
  </si>
  <si>
    <t>991000165269702656</t>
  </si>
  <si>
    <t>2259911410002656</t>
  </si>
  <si>
    <t>9780132019477</t>
  </si>
  <si>
    <t>32285000975952</t>
  </si>
  <si>
    <t>893777756</t>
  </si>
  <si>
    <t>NK1510 .B53 1970</t>
  </si>
  <si>
    <t>0                      NK 1510000B  53          1970</t>
  </si>
  <si>
    <t>Design through discovery.</t>
  </si>
  <si>
    <t>Bevlin, Marjorie Elliott.</t>
  </si>
  <si>
    <t>New York : Holt, Rinehart and Winston, [1970]</t>
  </si>
  <si>
    <t>2d ed.</t>
  </si>
  <si>
    <t>1994-04-19</t>
  </si>
  <si>
    <t>401393:eng</t>
  </si>
  <si>
    <t>76111</t>
  </si>
  <si>
    <t>991000436419702656</t>
  </si>
  <si>
    <t>2255497460002656</t>
  </si>
  <si>
    <t>9780030721953</t>
  </si>
  <si>
    <t>32285001890143</t>
  </si>
  <si>
    <t>893689686</t>
  </si>
  <si>
    <t>NK1510 .C457 1983</t>
  </si>
  <si>
    <t>0                      NK 1510000C  457         1983</t>
  </si>
  <si>
    <t>Design concepts and applications / Frank R. Cheatham, Jane Hart Cheatham, Sheryl A. Haler.</t>
  </si>
  <si>
    <t>Cheatham, Frank R.</t>
  </si>
  <si>
    <t>Englewood Cliffs, N.J. : Prentice-Hall, c1983.</t>
  </si>
  <si>
    <t>2003-09-17</t>
  </si>
  <si>
    <t>8566224:eng</t>
  </si>
  <si>
    <t>8627501</t>
  </si>
  <si>
    <t>991000035519702656</t>
  </si>
  <si>
    <t>2261705570002656</t>
  </si>
  <si>
    <t>9780132018975</t>
  </si>
  <si>
    <t>32285001715928</t>
  </si>
  <si>
    <t>893242916</t>
  </si>
  <si>
    <t>NK1510 .J7 1987</t>
  </si>
  <si>
    <t>0                      NK 1510000J  7           1987</t>
  </si>
  <si>
    <t>The grammar of ornament : all 100 color plates from the folio edition of the great Victorian sourcebook of historic design / Owen Jones.</t>
  </si>
  <si>
    <t>Jones, Owen, 1809-1874.</t>
  </si>
  <si>
    <t>New York : Dover Publications, 1987.</t>
  </si>
  <si>
    <t>1987</t>
  </si>
  <si>
    <t>Dover pictorial archive series</t>
  </si>
  <si>
    <t>1998-04-03</t>
  </si>
  <si>
    <t>1997-02-27</t>
  </si>
  <si>
    <t>3782121856:eng</t>
  </si>
  <si>
    <t>15856525</t>
  </si>
  <si>
    <t>991001069029702656</t>
  </si>
  <si>
    <t>2272459030002656</t>
  </si>
  <si>
    <t>9780486254630</t>
  </si>
  <si>
    <t>32285002434016</t>
  </si>
  <si>
    <t>893903273</t>
  </si>
  <si>
    <t>NK1510 .S76 1983</t>
  </si>
  <si>
    <t>0                      NK 1510000S  76          1983</t>
  </si>
  <si>
    <t>Design dialogue / Jack Stoops, Jerry Samuelson.</t>
  </si>
  <si>
    <t>Stoops, Jack D.</t>
  </si>
  <si>
    <t>Worcester, Mass. : Davis Publications, 1983.</t>
  </si>
  <si>
    <t>1995-01-03</t>
  </si>
  <si>
    <t>1080572:eng</t>
  </si>
  <si>
    <t>9656650</t>
  </si>
  <si>
    <t>991000236679702656</t>
  </si>
  <si>
    <t>2269973690002656</t>
  </si>
  <si>
    <t>9780871921390</t>
  </si>
  <si>
    <t>32285001715944</t>
  </si>
  <si>
    <t>893708236</t>
  </si>
  <si>
    <t>NK1535 .W4</t>
  </si>
  <si>
    <t>0                      NK 1535000W  4</t>
  </si>
  <si>
    <t>Harry Wearne : a short account of his life and work / with 63 reproductions of his designs in full color.</t>
  </si>
  <si>
    <t>Wearne, Harry, 1852-1929.</t>
  </si>
  <si>
    <t>[Baltimore ; New York : Thomsen-Ellis Company, c1933]</t>
  </si>
  <si>
    <t>1933</t>
  </si>
  <si>
    <t>mdu</t>
  </si>
  <si>
    <t>1993-11-11</t>
  </si>
  <si>
    <t>1993-11-10</t>
  </si>
  <si>
    <t>504331650:eng</t>
  </si>
  <si>
    <t>1066153</t>
  </si>
  <si>
    <t>991003511379702656</t>
  </si>
  <si>
    <t>2269209620002656</t>
  </si>
  <si>
    <t>32285001797876</t>
  </si>
  <si>
    <t>893904396</t>
  </si>
  <si>
    <t>NK1535.M67 A4 1996</t>
  </si>
  <si>
    <t>0                      NK 1535000M  67                 A  4           1996</t>
  </si>
  <si>
    <t>William Morris / edited by Linda Parry.</t>
  </si>
  <si>
    <t>New York : Abrams, 1996.</t>
  </si>
  <si>
    <t>1996</t>
  </si>
  <si>
    <t>2000-11-22</t>
  </si>
  <si>
    <t>1996-10-03</t>
  </si>
  <si>
    <t>1566527:eng</t>
  </si>
  <si>
    <t>33899041</t>
  </si>
  <si>
    <t>991002587279702656</t>
  </si>
  <si>
    <t>2269738270002656</t>
  </si>
  <si>
    <t>9780810942820</t>
  </si>
  <si>
    <t>32285002322617</t>
  </si>
  <si>
    <t>893341605</t>
  </si>
  <si>
    <t>NK1653.G4 H36 1998</t>
  </si>
  <si>
    <t>0                      NK 1653000G  4                  H  36          1998</t>
  </si>
  <si>
    <t>The visual and the visionary : art and female spirituality in late medieval Germany / Jeffrey F. Hamburger.</t>
  </si>
  <si>
    <t>Hamburger, Jeffrey F., 1957-</t>
  </si>
  <si>
    <t>New York : Zone Books ; Cambridge, Mass. : MIT Press, 1998.</t>
  </si>
  <si>
    <t>1998</t>
  </si>
  <si>
    <t>2006-12-20</t>
  </si>
  <si>
    <t>2000-09-05</t>
  </si>
  <si>
    <t>659170:eng</t>
  </si>
  <si>
    <t>36900882</t>
  </si>
  <si>
    <t>991003230489702656</t>
  </si>
  <si>
    <t>2272019670002656</t>
  </si>
  <si>
    <t>9780942299458</t>
  </si>
  <si>
    <t>32285003749784</t>
  </si>
  <si>
    <t>893868212</t>
  </si>
  <si>
    <t>NK1672 .O93 2000</t>
  </si>
  <si>
    <t>0                      NK 1672000O  93          2000</t>
  </si>
  <si>
    <t>Symbols of Judaism / by Marc-Alain Ouaknin ; photographs by Laziz Hamani ; [translated by Mimi Tompkins in collaboration with Liz Ayres].</t>
  </si>
  <si>
    <t>Ouaknin, Marc-Alain.</t>
  </si>
  <si>
    <t>New York, NY : Editions Assouline, c2000.</t>
  </si>
  <si>
    <t>2008-04-18</t>
  </si>
  <si>
    <t>2002-05-01</t>
  </si>
  <si>
    <t>506050907:eng</t>
  </si>
  <si>
    <t>47051391</t>
  </si>
  <si>
    <t>991003797829702656</t>
  </si>
  <si>
    <t>2270497080002656</t>
  </si>
  <si>
    <t>9782843231988</t>
  </si>
  <si>
    <t>32285004485487</t>
  </si>
  <si>
    <t>893711813</t>
  </si>
  <si>
    <t>NK1860 .P713</t>
  </si>
  <si>
    <t>0                      NK 1860000P  713</t>
  </si>
  <si>
    <t>An illustrated history of furnishing : from the Renaissance to the 20th century / [translated from the Italian by William Weaver]</t>
  </si>
  <si>
    <t>Praz, Mario, 1896-1982.</t>
  </si>
  <si>
    <t>New York : G. Braziller, [1964]</t>
  </si>
  <si>
    <t>2004-04-13</t>
  </si>
  <si>
    <t>1992-12-22</t>
  </si>
  <si>
    <t>4160274621:eng</t>
  </si>
  <si>
    <t>218123</t>
  </si>
  <si>
    <t>991001291889702656</t>
  </si>
  <si>
    <t>2258767950002656</t>
  </si>
  <si>
    <t>32285001471456</t>
  </si>
  <si>
    <t>893785009</t>
  </si>
  <si>
    <t>NK1860 .P713 1964b</t>
  </si>
  <si>
    <t>0                      NK 1860000P  713         1964b</t>
  </si>
  <si>
    <t>An illustrated history of interior decoration : from Pompeii to Art Nouveau / Mario Praz.</t>
  </si>
  <si>
    <t>London : Thames and Hudson, 1964.</t>
  </si>
  <si>
    <t>2001-02-25</t>
  </si>
  <si>
    <t>1999-05-10</t>
  </si>
  <si>
    <t>41038506:eng</t>
  </si>
  <si>
    <t>5159207</t>
  </si>
  <si>
    <t>991004788119702656</t>
  </si>
  <si>
    <t>2271699950002656</t>
  </si>
  <si>
    <t>32285003570032</t>
  </si>
  <si>
    <t>893536208</t>
  </si>
  <si>
    <t>NK2003 .R6</t>
  </si>
  <si>
    <t>0                      NK 2003000R  6</t>
  </si>
  <si>
    <t>American interior design : the traditions and development of domestic design from colonial times to the present.</t>
  </si>
  <si>
    <t>Rogers, Meyric R. (Meyric Reynold), 1893-1972.</t>
  </si>
  <si>
    <t>New York : W. W. Norton, [1947]</t>
  </si>
  <si>
    <t>1947</t>
  </si>
  <si>
    <t>[1st ed.]</t>
  </si>
  <si>
    <t>1813853:eng</t>
  </si>
  <si>
    <t>743046</t>
  </si>
  <si>
    <t>991003216869702656</t>
  </si>
  <si>
    <t>2267136000002656</t>
  </si>
  <si>
    <t>32285001471449</t>
  </si>
  <si>
    <t>893717428</t>
  </si>
  <si>
    <t>NK2004 .A45 1978a</t>
  </si>
  <si>
    <t>0                      NK 2004000A  45          1978a</t>
  </si>
  <si>
    <t>American interiors : Architectural digest presents a decade of imaginative residential design / edited by Paige Rense.</t>
  </si>
  <si>
    <t>New York : Viking Press, 1978.</t>
  </si>
  <si>
    <t>1992-03-17</t>
  </si>
  <si>
    <t>909302129:eng</t>
  </si>
  <si>
    <t>3294520</t>
  </si>
  <si>
    <t>991004399959702656</t>
  </si>
  <si>
    <t>2257208320002656</t>
  </si>
  <si>
    <t>9780895350220</t>
  </si>
  <si>
    <t>32285001023570</t>
  </si>
  <si>
    <t>893343792</t>
  </si>
  <si>
    <t>NK2043 .T45 1978</t>
  </si>
  <si>
    <t>0                      NK 2043000T  45          1978</t>
  </si>
  <si>
    <t>Seventeenth-century interior decoration in England, France, and Holland / Peter Thornton.</t>
  </si>
  <si>
    <t>Thornton, Peter, 1925-2007.</t>
  </si>
  <si>
    <t>New Haven : Published for the Paul Mellon Centre for Studies in British Art by Yale University Press, 1978.</t>
  </si>
  <si>
    <t>Studies in British art</t>
  </si>
  <si>
    <t>1999-06-28</t>
  </si>
  <si>
    <t>10283815:eng</t>
  </si>
  <si>
    <t>4210710</t>
  </si>
  <si>
    <t>991004609809702656</t>
  </si>
  <si>
    <t>2255428880002656</t>
  </si>
  <si>
    <t>9780300021936</t>
  </si>
  <si>
    <t>32285003576765</t>
  </si>
  <si>
    <t>893235705</t>
  </si>
  <si>
    <t>NK2084.A1 S64 1987</t>
  </si>
  <si>
    <t>0                      NK 2084000A  1                  S  64          1987</t>
  </si>
  <si>
    <t>Japanese style / Suzanne Slesin, Stafford Cliff, &amp; Daniel Rozensztroch ; photographs by Gilles de Chabaneix.</t>
  </si>
  <si>
    <t>Slesin, Suzanne.</t>
  </si>
  <si>
    <t>New York : C.N. Potter, Inc. : Distributed by Crown Publishers, c1987.</t>
  </si>
  <si>
    <t>2005-05-26</t>
  </si>
  <si>
    <t>1990-03-19</t>
  </si>
  <si>
    <t>8507208:eng</t>
  </si>
  <si>
    <t>15163055</t>
  </si>
  <si>
    <t>991000997039702656</t>
  </si>
  <si>
    <t>2261347140002656</t>
  </si>
  <si>
    <t>9780517560808</t>
  </si>
  <si>
    <t>32285000086735</t>
  </si>
  <si>
    <t>893346157</t>
  </si>
  <si>
    <t>NK2115.5.V53 K45 1985</t>
  </si>
  <si>
    <t>0                      NK 2115500V  53                 K  45          1985</t>
  </si>
  <si>
    <t>Victorian revival in interior design / by Jim Kemp.</t>
  </si>
  <si>
    <t>Kemp, Jim.</t>
  </si>
  <si>
    <t>New York : Simon &amp; Schuster, 1985.</t>
  </si>
  <si>
    <t>1996-03-19</t>
  </si>
  <si>
    <t>4719855:eng</t>
  </si>
  <si>
    <t>11842211</t>
  </si>
  <si>
    <t>991000601969702656</t>
  </si>
  <si>
    <t>2265163590002656</t>
  </si>
  <si>
    <t>9780671530617</t>
  </si>
  <si>
    <t>32285001716330</t>
  </si>
  <si>
    <t>893419610</t>
  </si>
  <si>
    <t>NK2195.O4 P74</t>
  </si>
  <si>
    <t>0                      NK 2195000O  4                  P  74</t>
  </si>
  <si>
    <t>Executive style / by Judith Price ; designed by Bob Ciano.</t>
  </si>
  <si>
    <t>Price, Judith, 1942-</t>
  </si>
  <si>
    <t>New York : Linden Press, 1980.</t>
  </si>
  <si>
    <t>23688248:eng</t>
  </si>
  <si>
    <t>6708078</t>
  </si>
  <si>
    <t>991005028299702656</t>
  </si>
  <si>
    <t>2255072070002656</t>
  </si>
  <si>
    <t>9780671253547</t>
  </si>
  <si>
    <t>32285000885516</t>
  </si>
  <si>
    <t>893619339</t>
  </si>
  <si>
    <t>NK2260 .S3 1953</t>
  </si>
  <si>
    <t>0                      NK 2260000S  3           1953</t>
  </si>
  <si>
    <t>Masterpieces of furniture in photographs and measured drawings / Verna Cook Salomonsky.</t>
  </si>
  <si>
    <t>Shipway, Verna Cook, 1890-1978.</t>
  </si>
  <si>
    <t>New York : Dover, 1953.</t>
  </si>
  <si>
    <t>1953</t>
  </si>
  <si>
    <t>2005-05-25</t>
  </si>
  <si>
    <t>3132439840:eng</t>
  </si>
  <si>
    <t>8832933</t>
  </si>
  <si>
    <t>991000081199702656</t>
  </si>
  <si>
    <t>2260858410002656</t>
  </si>
  <si>
    <t>32285003047270</t>
  </si>
  <si>
    <t>893613874</t>
  </si>
  <si>
    <t>NK2270 .B63</t>
  </si>
  <si>
    <t>0                      NK 2270000B  63</t>
  </si>
  <si>
    <t>The complete guide to furniture styles.</t>
  </si>
  <si>
    <t>Boger, Louise Ade.</t>
  </si>
  <si>
    <t>New York, Scribner [1959]</t>
  </si>
  <si>
    <t>646053:eng</t>
  </si>
  <si>
    <t>416575</t>
  </si>
  <si>
    <t>991002731239702656</t>
  </si>
  <si>
    <t>2266446940002656</t>
  </si>
  <si>
    <t>32285003047296</t>
  </si>
  <si>
    <t>893603940</t>
  </si>
  <si>
    <t>NK2270 .S363 1957</t>
  </si>
  <si>
    <t>0                      NK 2270000S  363         1957</t>
  </si>
  <si>
    <t>The encyclopedia of furniture; an outline history of furniture design in Egypt, Assyria, Persia, Greece, Rome, Italy, France, the Netherlands, Germany, England, Scandinavia, Spain, Russia, and in the Near and Far East up to the middle of the nineteenth century. Compiled by authorities in various countries under the general direction of Herman Schmitz, and with an introd. by H. P. Shapland.</t>
  </si>
  <si>
    <t>Schmitz, Hermann, 1882-1946.</t>
  </si>
  <si>
    <t>New York, F. A. Praeger [1957]</t>
  </si>
  <si>
    <t>1957</t>
  </si>
  <si>
    <t>2287102447:eng</t>
  </si>
  <si>
    <t>521953</t>
  </si>
  <si>
    <t>991002910729702656</t>
  </si>
  <si>
    <t>2260447300002656</t>
  </si>
  <si>
    <t>32285003047304</t>
  </si>
  <si>
    <t>893498701</t>
  </si>
  <si>
    <t>NK2280 .R52</t>
  </si>
  <si>
    <t>0                      NK 2280000R  52</t>
  </si>
  <si>
    <t>The furniture of the Greeks, Etruscans and Romans, by G.M.A. Richter.</t>
  </si>
  <si>
    <t>Richter, Gisela M. A. (Gisela Marie Augusta), 1882-1972.</t>
  </si>
  <si>
    <t>London, Phaidon P. [1966]</t>
  </si>
  <si>
    <t>1966</t>
  </si>
  <si>
    <t>1431625:eng</t>
  </si>
  <si>
    <t>330988</t>
  </si>
  <si>
    <t>991002387799702656</t>
  </si>
  <si>
    <t>2258851020002656</t>
  </si>
  <si>
    <t>32285003047312</t>
  </si>
  <si>
    <t>893716389</t>
  </si>
  <si>
    <t>NK2406 .C58 1962b</t>
  </si>
  <si>
    <t>0                      NK 2406000C  58          1962b</t>
  </si>
  <si>
    <t>American furniture : seventeenth, eighteenth, and nineteenth century styles / by Helen Comstock.</t>
  </si>
  <si>
    <t>Comstock, Helen.</t>
  </si>
  <si>
    <t>New York : Bonanza Books, c1962.</t>
  </si>
  <si>
    <t>1962</t>
  </si>
  <si>
    <t>1991-09-06</t>
  </si>
  <si>
    <t>43076528:eng</t>
  </si>
  <si>
    <t>520155</t>
  </si>
  <si>
    <t>991003412859702656</t>
  </si>
  <si>
    <t>2263984280002656</t>
  </si>
  <si>
    <t>32285000733963</t>
  </si>
  <si>
    <t>893336472</t>
  </si>
  <si>
    <t>NK2406 .K6</t>
  </si>
  <si>
    <t>0                      NK 2406000K  6</t>
  </si>
  <si>
    <t>American country furniture, 1780-1875 [by] Ralph and Terry Kovel.</t>
  </si>
  <si>
    <t>Kovel, Ralph M.</t>
  </si>
  <si>
    <t>New York, Crown [1965]</t>
  </si>
  <si>
    <t>1770234:eng</t>
  </si>
  <si>
    <t>733509</t>
  </si>
  <si>
    <t>991003208089702656</t>
  </si>
  <si>
    <t>2258786620002656</t>
  </si>
  <si>
    <t>32285003047338</t>
  </si>
  <si>
    <t>893610819</t>
  </si>
  <si>
    <t>NK2406 .O65 1961</t>
  </si>
  <si>
    <t>0                      NK 2406000O  65          1961</t>
  </si>
  <si>
    <t>Field guide to early American furniture / drawings by Norman B. Palmstrom.</t>
  </si>
  <si>
    <t>Ormsbee, Thomas H. (Thomas Hamilton), 1890-1969.</t>
  </si>
  <si>
    <t>New York : Bonanza Books, 1961, c1951.</t>
  </si>
  <si>
    <t>1961</t>
  </si>
  <si>
    <t>1993-03-04</t>
  </si>
  <si>
    <t>370086599:eng</t>
  </si>
  <si>
    <t>11984244</t>
  </si>
  <si>
    <t>991000623489702656</t>
  </si>
  <si>
    <t>2264259410002656</t>
  </si>
  <si>
    <t>32285001543676</t>
  </si>
  <si>
    <t>893796832</t>
  </si>
  <si>
    <t>NK2406 .W5</t>
  </si>
  <si>
    <t>0                      NK 2406000W  5</t>
  </si>
  <si>
    <t>Country furniture of early America.</t>
  </si>
  <si>
    <t>Williams, Henry Lionel, 1894-1974.</t>
  </si>
  <si>
    <t>New York, Barnes [c1963]</t>
  </si>
  <si>
    <t>1997-09-10</t>
  </si>
  <si>
    <t>1514039:eng</t>
  </si>
  <si>
    <t>520177</t>
  </si>
  <si>
    <t>991002907439702656</t>
  </si>
  <si>
    <t>2267986530002656</t>
  </si>
  <si>
    <t>32285003170346</t>
  </si>
  <si>
    <t>893262535</t>
  </si>
  <si>
    <t>NK2407 .O8</t>
  </si>
  <si>
    <t>0                      NK 2407000O  8</t>
  </si>
  <si>
    <t>American furniture of the nineteenth century.</t>
  </si>
  <si>
    <t>Otto, Celia Jackson.</t>
  </si>
  <si>
    <t>New York : Viking Press, [1965]</t>
  </si>
  <si>
    <t>A studio book</t>
  </si>
  <si>
    <t>1992-01-14</t>
  </si>
  <si>
    <t>1609070:eng</t>
  </si>
  <si>
    <t>702619</t>
  </si>
  <si>
    <t>991003164149702656</t>
  </si>
  <si>
    <t>2258233720002656</t>
  </si>
  <si>
    <t>32285000911940</t>
  </si>
  <si>
    <t>893604506</t>
  </si>
  <si>
    <t>NK2408 .C66 2003</t>
  </si>
  <si>
    <t>0                      NK 2408000C  66          2003</t>
  </si>
  <si>
    <t>The maker's hand : American studio furniture, 1940-1990 / Edward S. Cooke, Jr., Gerald W.R. Ward, and Kelly H. L'Ecuyer ; with the assistance of Pat Warner.</t>
  </si>
  <si>
    <t>Cooke, Edward S., Jr. (Edward Strong), 1954-</t>
  </si>
  <si>
    <t>Boston : MFA Publications, a division of the Museum of Fine Arts, c2003.</t>
  </si>
  <si>
    <t>2005-08-29</t>
  </si>
  <si>
    <t>307697645:eng</t>
  </si>
  <si>
    <t>53883909</t>
  </si>
  <si>
    <t>991004539359702656</t>
  </si>
  <si>
    <t>2271909120002656</t>
  </si>
  <si>
    <t>9780878466627</t>
  </si>
  <si>
    <t>32285005082143</t>
  </si>
  <si>
    <t>893788817</t>
  </si>
  <si>
    <t>NK2439.S45 M8 2003</t>
  </si>
  <si>
    <t>0                      NK 2439000S  45                 M  8           2003</t>
  </si>
  <si>
    <t>The furniture masterworks of John &amp; Thomas Seymour / Robert D. Mussey, Jr.</t>
  </si>
  <si>
    <t>Mussey, Robert D.</t>
  </si>
  <si>
    <t>Salem, Mass. : Peabody Essex Museum, 2003.</t>
  </si>
  <si>
    <t>Peabody Essex Museum collections for 2002 ; 137.</t>
  </si>
  <si>
    <t>2010-01-26</t>
  </si>
  <si>
    <t>2004-01-20</t>
  </si>
  <si>
    <t>8909479124:eng</t>
  </si>
  <si>
    <t>53994338</t>
  </si>
  <si>
    <t>991004218409702656</t>
  </si>
  <si>
    <t>2268211610002656</t>
  </si>
  <si>
    <t>9780883891261</t>
  </si>
  <si>
    <t>32285004635271</t>
  </si>
  <si>
    <t>893718643</t>
  </si>
  <si>
    <t>NK2528 .G48 1965</t>
  </si>
  <si>
    <t>0                      NK 2528000G  48          1965</t>
  </si>
  <si>
    <t>English furniture.</t>
  </si>
  <si>
    <t>Gloag, John, 1896-1981.</t>
  </si>
  <si>
    <t>London : A. &amp; C. Black, [1965]</t>
  </si>
  <si>
    <t>5th ed., rev. and enl.</t>
  </si>
  <si>
    <t>The Library of English art</t>
  </si>
  <si>
    <t>1992-12-10</t>
  </si>
  <si>
    <t>149578342:eng</t>
  </si>
  <si>
    <t>1949784</t>
  </si>
  <si>
    <t>991003948129702656</t>
  </si>
  <si>
    <t>2260884750002656</t>
  </si>
  <si>
    <t>32285001440113</t>
  </si>
  <si>
    <t>893506185</t>
  </si>
  <si>
    <t>NK2809.I8 I84 1972</t>
  </si>
  <si>
    <t>0                      NK 2809000I  8                  I  84          1972</t>
  </si>
  <si>
    <t>Islamic carpets from the Joseph V. McMullan collection: [catalogue of an exhibition held at the] Hayward Gallery, London, 19 October - 10 December 1972.</t>
  </si>
  <si>
    <t>London, Arts Council of Great Britain, 1972.</t>
  </si>
  <si>
    <t>2002-09-16</t>
  </si>
  <si>
    <t>1996-05-31</t>
  </si>
  <si>
    <t>1855508:eng</t>
  </si>
  <si>
    <t>672770</t>
  </si>
  <si>
    <t>991005356229702656</t>
  </si>
  <si>
    <t>2267807070002656</t>
  </si>
  <si>
    <t>9780900085826</t>
  </si>
  <si>
    <t>32285002186343</t>
  </si>
  <si>
    <t>893613566</t>
  </si>
  <si>
    <t>NK2995 .H8</t>
  </si>
  <si>
    <t>0                      NK 2995000H  8</t>
  </si>
  <si>
    <t>Tapestries, their origin, history and renaissance / by George Leland Hunter; with four illustrations in color and 147 halftone engravings.</t>
  </si>
  <si>
    <t>Hunter, George Leland, 1867-1927.</t>
  </si>
  <si>
    <t>New York : John Lane Company, 1912.</t>
  </si>
  <si>
    <t>1912</t>
  </si>
  <si>
    <t>2008-11-04</t>
  </si>
  <si>
    <t>1992-01-30</t>
  </si>
  <si>
    <t>11498011:eng</t>
  </si>
  <si>
    <t>50387853</t>
  </si>
  <si>
    <t>991003831679702656</t>
  </si>
  <si>
    <t>2267673170002656</t>
  </si>
  <si>
    <t>32285000931104</t>
  </si>
  <si>
    <t>893806267</t>
  </si>
  <si>
    <t>NK3049.B3 S73 1965</t>
  </si>
  <si>
    <t>0                      NK 3049000B  3                  S  73          1965</t>
  </si>
  <si>
    <t>The Bayeux tapestry : a comprehensive survey / by Sir Frank Stenton, general editor, Simone Bertrand [and others.</t>
  </si>
  <si>
    <t>Stenton, F. M. (Frank Merry), 1880-1967, editor.</t>
  </si>
  <si>
    <t>London] : Phaidon Press, [1965]</t>
  </si>
  <si>
    <t>2d ed., rev. and enl.</t>
  </si>
  <si>
    <t>2007-11-19</t>
  </si>
  <si>
    <t>1991-12-16</t>
  </si>
  <si>
    <t>910762705:eng</t>
  </si>
  <si>
    <t>520138</t>
  </si>
  <si>
    <t>991002907369702656</t>
  </si>
  <si>
    <t>2268022520002656</t>
  </si>
  <si>
    <t>32285000877406</t>
  </si>
  <si>
    <t>893867858</t>
  </si>
  <si>
    <t>NK3049.U5 N43 1976</t>
  </si>
  <si>
    <t>0                      NK 3049000U  5                  N  43          1976</t>
  </si>
  <si>
    <t>The unicorn tapestries / Margaret B. Freeman, Curator Emeritus, The Cloisters.</t>
  </si>
  <si>
    <t>Cloisters (Museum)</t>
  </si>
  <si>
    <t>New York : Metropolitan Museum of Art : distributed by Dutton, 1976.</t>
  </si>
  <si>
    <t>2007-09-11</t>
  </si>
  <si>
    <t>1992-04-08</t>
  </si>
  <si>
    <t>2946016549:eng</t>
  </si>
  <si>
    <t>2020670</t>
  </si>
  <si>
    <t>991003982389702656</t>
  </si>
  <si>
    <t>2271447610002656</t>
  </si>
  <si>
    <t>9780870991479</t>
  </si>
  <si>
    <t>32285001051787</t>
  </si>
  <si>
    <t>893718310</t>
  </si>
  <si>
    <t>NK3055.A3 R82 1982</t>
  </si>
  <si>
    <t>0                      NK 3055000A  3                  R  82          1982</t>
  </si>
  <si>
    <t>The Triumph of the Eucharist : tapestries designed by Rubens / by Charles Scribner, III.</t>
  </si>
  <si>
    <t>Scribner, Charles, 1951-</t>
  </si>
  <si>
    <t>Ann Arbor, Mich. : UMI Research Press, c1982.</t>
  </si>
  <si>
    <t>miu</t>
  </si>
  <si>
    <t>Studies in baroque art history ; no. 1</t>
  </si>
  <si>
    <t>2004-11-05</t>
  </si>
  <si>
    <t>815093041:eng</t>
  </si>
  <si>
    <t>8051734</t>
  </si>
  <si>
    <t>991005197379702656</t>
  </si>
  <si>
    <t>2258855510002656</t>
  </si>
  <si>
    <t>9780835712880</t>
  </si>
  <si>
    <t>32285001716041</t>
  </si>
  <si>
    <t>893877106</t>
  </si>
  <si>
    <t>NK3600 .H28 1995</t>
  </si>
  <si>
    <t>0                      NK 3600000H  28          1995</t>
  </si>
  <si>
    <t>The art of calligraphy / David Harris.</t>
  </si>
  <si>
    <t>Harris, David, 1929 December 8-</t>
  </si>
  <si>
    <t>London ; New York : Dorling Kindersley, 1995.</t>
  </si>
  <si>
    <t>1995</t>
  </si>
  <si>
    <t>2009-05-27</t>
  </si>
  <si>
    <t>1995-11-06</t>
  </si>
  <si>
    <t>475246168:eng</t>
  </si>
  <si>
    <t>30777771</t>
  </si>
  <si>
    <t>991002367299702656</t>
  </si>
  <si>
    <t>2272489150002656</t>
  </si>
  <si>
    <t>9780751301496</t>
  </si>
  <si>
    <t>32285002101011</t>
  </si>
  <si>
    <t>893409022</t>
  </si>
  <si>
    <t>NK3600 .H84 1995</t>
  </si>
  <si>
    <t>0                      NK 3600000H  84          1995</t>
  </si>
  <si>
    <t>Calligraphy project book : a complete step-by-step guide / Susan Hufton.</t>
  </si>
  <si>
    <t>Hufton, Susan.</t>
  </si>
  <si>
    <t>New York : Sterling Pub. Co. , 1995.</t>
  </si>
  <si>
    <t>2909593774:eng</t>
  </si>
  <si>
    <t>32942890</t>
  </si>
  <si>
    <t>991002535069702656</t>
  </si>
  <si>
    <t>2256979590002656</t>
  </si>
  <si>
    <t>9780806939865</t>
  </si>
  <si>
    <t>32285002101326</t>
  </si>
  <si>
    <t>893786264</t>
  </si>
  <si>
    <t>NK3600 .N39</t>
  </si>
  <si>
    <t>0                      NK 3600000N  39</t>
  </si>
  <si>
    <t>Decorative alphabets and initials.</t>
  </si>
  <si>
    <t>Nesbitt, Alexander, 1901-1995, editor.</t>
  </si>
  <si>
    <t>New York : Dover Publications, [1959]</t>
  </si>
  <si>
    <t>2006-03-01</t>
  </si>
  <si>
    <t>1994-03-23</t>
  </si>
  <si>
    <t>491484:eng</t>
  </si>
  <si>
    <t>1068724</t>
  </si>
  <si>
    <t>991003513079702656</t>
  </si>
  <si>
    <t>2270442250002656</t>
  </si>
  <si>
    <t>32285001871358</t>
  </si>
  <si>
    <t>893717739</t>
  </si>
  <si>
    <t>NK3600 .N63 2001</t>
  </si>
  <si>
    <t>0                      NK 3600000N  63          2001</t>
  </si>
  <si>
    <t>The illuminated alphabet : creating decorative calligraphy / calligraphy by Timothy Noad ; text by Patricia Seligman.</t>
  </si>
  <si>
    <t>Noad, Timothy.</t>
  </si>
  <si>
    <t>New York : Sterling Publishing, c2001.</t>
  </si>
  <si>
    <t>2002-04-18</t>
  </si>
  <si>
    <t>20475117:eng</t>
  </si>
  <si>
    <t>48547184</t>
  </si>
  <si>
    <t>991003794729702656</t>
  </si>
  <si>
    <t>2269990660002656</t>
  </si>
  <si>
    <t>9780806990743</t>
  </si>
  <si>
    <t>32285004481452</t>
  </si>
  <si>
    <t>893429235</t>
  </si>
  <si>
    <t>NK3633.A2 S3</t>
  </si>
  <si>
    <t>0                      NK 3633000A  2                  S  3</t>
  </si>
  <si>
    <t>Islamic calligraphy. [Institute of Religious Iconography, State University Groningen]</t>
  </si>
  <si>
    <t>Schimmel, Annemarie, 1922-2003.</t>
  </si>
  <si>
    <t>Leiden, Brill, 1970.</t>
  </si>
  <si>
    <t xml:space="preserve">ne </t>
  </si>
  <si>
    <t>Iconography of religions ; Section 22: Islam. Fasc. 1</t>
  </si>
  <si>
    <t>2000-05-12</t>
  </si>
  <si>
    <t>15799613:eng</t>
  </si>
  <si>
    <t>160140</t>
  </si>
  <si>
    <t>991000913659702656</t>
  </si>
  <si>
    <t>2267356970002656</t>
  </si>
  <si>
    <t>32285003047403</t>
  </si>
  <si>
    <t>893407653</t>
  </si>
  <si>
    <t>NK3634.A2 C44 1990</t>
  </si>
  <si>
    <t>0                      NK 3634000A  2                  C  44          1990</t>
  </si>
  <si>
    <t>Four thousand years of Chinese calligraphy / Léon Long-yien Chang and Peter Miller.</t>
  </si>
  <si>
    <t>Chang, Léon Long-yien.</t>
  </si>
  <si>
    <t>Chicago : University of Chicago Press, c1990.</t>
  </si>
  <si>
    <t>ilu</t>
  </si>
  <si>
    <t>2010-09-16</t>
  </si>
  <si>
    <t>1990-11-02</t>
  </si>
  <si>
    <t>21164003:eng</t>
  </si>
  <si>
    <t>19554469</t>
  </si>
  <si>
    <t>991001472889702656</t>
  </si>
  <si>
    <t>2271035910002656</t>
  </si>
  <si>
    <t>9780226101118</t>
  </si>
  <si>
    <t>32285000312651</t>
  </si>
  <si>
    <t>893516217</t>
  </si>
  <si>
    <t>NK3780 .C7</t>
  </si>
  <si>
    <t>0                      NK 3780000C  7</t>
  </si>
  <si>
    <t>The book of pottery and porcelain / by Warren E. Cox. 3000 illustrations. Pictures selected by the author. Layouts by A. M. Lounsbery.</t>
  </si>
  <si>
    <t>Cox, Warren E. (Warren Earle), 1895-1977.</t>
  </si>
  <si>
    <t>New York, L. Lee and Shepard co., inc.; distributed by Crown publishers [1944]</t>
  </si>
  <si>
    <t>1944</t>
  </si>
  <si>
    <t>2004-09-27</t>
  </si>
  <si>
    <t>1997-08-08</t>
  </si>
  <si>
    <t>1445015:eng</t>
  </si>
  <si>
    <t>284481</t>
  </si>
  <si>
    <t>991002201589702656</t>
  </si>
  <si>
    <t>2262624400002656</t>
  </si>
  <si>
    <t>32285003032173</t>
  </si>
  <si>
    <t>893439881</t>
  </si>
  <si>
    <t>32285003032165</t>
  </si>
  <si>
    <t>893439880</t>
  </si>
  <si>
    <t>NK3855.P2 A713 1970</t>
  </si>
  <si>
    <t>0                      NK 3855000P  2                  A  713         1970</t>
  </si>
  <si>
    <t>Ancient pottery of the Holy Land : from its beginnings in the neolithic period to the end of the iron age / with the assistance of Pirhiya Beck and Uzza Zevulun.</t>
  </si>
  <si>
    <t>Amiran, Ruth.</t>
  </si>
  <si>
    <t>[New Brunswick, N.J.] : Rutgers University Press, 1970 [c1969]</t>
  </si>
  <si>
    <t>2009-12-15</t>
  </si>
  <si>
    <t>1992-10-13</t>
  </si>
  <si>
    <t>474470:eng</t>
  </si>
  <si>
    <t>245846</t>
  </si>
  <si>
    <t>991001923359702656</t>
  </si>
  <si>
    <t>2267020940002656</t>
  </si>
  <si>
    <t>9780813506340</t>
  </si>
  <si>
    <t>32285001346443</t>
  </si>
  <si>
    <t>893879306</t>
  </si>
  <si>
    <t>NK3930 .D67 1986</t>
  </si>
  <si>
    <t>0                      NK 3930000D  67          1986</t>
  </si>
  <si>
    <t>The new ceramics : trends + traditions / Peter Dormer.</t>
  </si>
  <si>
    <t>Dormer, Peter.</t>
  </si>
  <si>
    <t>New York, N.Y. : Thames and Hudson, 1986.</t>
  </si>
  <si>
    <t>1986</t>
  </si>
  <si>
    <t>2003-09-11</t>
  </si>
  <si>
    <t>1991-08-01</t>
  </si>
  <si>
    <t>8483894:eng</t>
  </si>
  <si>
    <t>14816905</t>
  </si>
  <si>
    <t>991000959949702656</t>
  </si>
  <si>
    <t>2260742000002656</t>
  </si>
  <si>
    <t>9780500234686</t>
  </si>
  <si>
    <t>32285000663681</t>
  </si>
  <si>
    <t>893702599</t>
  </si>
  <si>
    <t>NK3930 .L35 1988</t>
  </si>
  <si>
    <t>0                      NK 3930000L  35          1988</t>
  </si>
  <si>
    <t>Ceramic form : design and decoration / by Peter Lane.</t>
  </si>
  <si>
    <t>Lane, Peter.</t>
  </si>
  <si>
    <t>New York : Rizzoli, 1988.</t>
  </si>
  <si>
    <t>2006-09-06</t>
  </si>
  <si>
    <t>1992-08-14</t>
  </si>
  <si>
    <t>837050996:eng</t>
  </si>
  <si>
    <t>16755456</t>
  </si>
  <si>
    <t>991001143329702656</t>
  </si>
  <si>
    <t>2263259580002656</t>
  </si>
  <si>
    <t>9780847808892</t>
  </si>
  <si>
    <t>32285001245892</t>
  </si>
  <si>
    <t>893346285</t>
  </si>
  <si>
    <t>NK3930.3.A77 M35 1995</t>
  </si>
  <si>
    <t>0                      NK 3930300A  77                 M  35          1995</t>
  </si>
  <si>
    <t>Art deco and modernist ceramics / Karen McCready ; introduction by Garth Clark.</t>
  </si>
  <si>
    <t>McCready, Karen.</t>
  </si>
  <si>
    <t>London ; New York : Thames and Hudson, c1995.</t>
  </si>
  <si>
    <t>1st paperback ed.</t>
  </si>
  <si>
    <t>2006-09-16</t>
  </si>
  <si>
    <t>1997-09-30</t>
  </si>
  <si>
    <t>3197597:eng</t>
  </si>
  <si>
    <t>33927146</t>
  </si>
  <si>
    <t>991002736489702656</t>
  </si>
  <si>
    <t>2260388930002656</t>
  </si>
  <si>
    <t>9780500278253</t>
  </si>
  <si>
    <t>32285003251401</t>
  </si>
  <si>
    <t>893610222</t>
  </si>
  <si>
    <t>NK4005 .D66</t>
  </si>
  <si>
    <t>0                      NK 4005000D  66</t>
  </si>
  <si>
    <t>History of American ceramics : the studio potter / Paul S. Donhauser.</t>
  </si>
  <si>
    <t>Donhauser, Paul S.</t>
  </si>
  <si>
    <t>Dubuque, Iowa : Kendall/Hunt Pub. Co., c1978.</t>
  </si>
  <si>
    <t>1998-12-30</t>
  </si>
  <si>
    <t>1992-08-31</t>
  </si>
  <si>
    <t>504738:eng</t>
  </si>
  <si>
    <t>4309900</t>
  </si>
  <si>
    <t>991004622599702656</t>
  </si>
  <si>
    <t>2269453700002656</t>
  </si>
  <si>
    <t>9780840318640</t>
  </si>
  <si>
    <t>32285001275337</t>
  </si>
  <si>
    <t>893618877</t>
  </si>
  <si>
    <t>NK4006 .G8 1971</t>
  </si>
  <si>
    <t>0                      NK 4006000G  8           1971</t>
  </si>
  <si>
    <t>Early American folk pottery [by] Harold F. Guilland.</t>
  </si>
  <si>
    <t>Guilland, Harold F.</t>
  </si>
  <si>
    <t>Philadelphia, Chilton Book Co. [1971]</t>
  </si>
  <si>
    <t>1994-07-05</t>
  </si>
  <si>
    <t>1991-12-17</t>
  </si>
  <si>
    <t>1376252:eng</t>
  </si>
  <si>
    <t>198510</t>
  </si>
  <si>
    <t>991001224029702656</t>
  </si>
  <si>
    <t>2271386530002656</t>
  </si>
  <si>
    <t>9780801954368</t>
  </si>
  <si>
    <t>32285000901750</t>
  </si>
  <si>
    <t>893509485</t>
  </si>
  <si>
    <t>NK4007 .C56 1987</t>
  </si>
  <si>
    <t>0                      NK 4007000C  56          1987</t>
  </si>
  <si>
    <t>American ceramics, 1876 to the present / by Garth Clark.</t>
  </si>
  <si>
    <t>Clark, Garth, 1947-</t>
  </si>
  <si>
    <t>New York : Abbeville Press, c1987.</t>
  </si>
  <si>
    <t>1994-03-31</t>
  </si>
  <si>
    <t>1992-11-03</t>
  </si>
  <si>
    <t>10554923:eng</t>
  </si>
  <si>
    <t>15489419</t>
  </si>
  <si>
    <t>991001028919702656</t>
  </si>
  <si>
    <t>2272475510002656</t>
  </si>
  <si>
    <t>9780896597433</t>
  </si>
  <si>
    <t>32285001381309</t>
  </si>
  <si>
    <t>893589961</t>
  </si>
  <si>
    <t>NK4008 .L67 1990</t>
  </si>
  <si>
    <t>0                      NK 4008000L  67          1990</t>
  </si>
  <si>
    <t>Clay today : contemporary ceramists and their work : a catalogue of the Howard and Gwen Laurie Smits Collection at the Los Angeles County Museum of Art / Martha Drexler Lynn.</t>
  </si>
  <si>
    <t>Los Angeles County Museum of Art.</t>
  </si>
  <si>
    <t>Los Angeles, Calif. : The Museum ; San Francisco : Chronicle Books, c1990.</t>
  </si>
  <si>
    <t>2010-07-19</t>
  </si>
  <si>
    <t>1991-06-13</t>
  </si>
  <si>
    <t>22382845:eng</t>
  </si>
  <si>
    <t>20823481</t>
  </si>
  <si>
    <t>991001620449702656</t>
  </si>
  <si>
    <t>2263898340002656</t>
  </si>
  <si>
    <t>9780877017561</t>
  </si>
  <si>
    <t>32285000656057</t>
  </si>
  <si>
    <t>893621495</t>
  </si>
  <si>
    <t>NK4083 .H55 1999</t>
  </si>
  <si>
    <t>0                      NK 4083000H  55          1999</t>
  </si>
  <si>
    <t>European ceramics / Robin Hildyard.</t>
  </si>
  <si>
    <t>Hildyard, R. J. C.</t>
  </si>
  <si>
    <t>Philadelphia : University of Pennsylvania Press, 1999.</t>
  </si>
  <si>
    <t>1999</t>
  </si>
  <si>
    <t>1999-10-05</t>
  </si>
  <si>
    <t>26269362:eng</t>
  </si>
  <si>
    <t>41146518</t>
  </si>
  <si>
    <t>991003020439702656</t>
  </si>
  <si>
    <t>2262260610002656</t>
  </si>
  <si>
    <t>32285003592754</t>
  </si>
  <si>
    <t>893329862</t>
  </si>
  <si>
    <t>NK4167 .W56 1995</t>
  </si>
  <si>
    <t>0                      NK 4167000W  56          1995</t>
  </si>
  <si>
    <t>Inside Japanese ceramics : a primer of materials, techniques, and traditions / Richard L. Wilson.</t>
  </si>
  <si>
    <t>Wilson, Richard L., 1949-</t>
  </si>
  <si>
    <t>New York : Weatherhill, 1995.</t>
  </si>
  <si>
    <t>2005-10-25</t>
  </si>
  <si>
    <t>1999-01-06</t>
  </si>
  <si>
    <t>34584670:eng</t>
  </si>
  <si>
    <t>32589793</t>
  </si>
  <si>
    <t>991002505519702656</t>
  </si>
  <si>
    <t>2261234270002656</t>
  </si>
  <si>
    <t>9780834803466</t>
  </si>
  <si>
    <t>32285003509634</t>
  </si>
  <si>
    <t>893523695</t>
  </si>
  <si>
    <t>NK4176.75 .B37 1994</t>
  </si>
  <si>
    <t>0                      NK 4176750B  37          1994</t>
  </si>
  <si>
    <t>Smashing pots : works of clay from Africa / Nigel Barley.</t>
  </si>
  <si>
    <t>Barley, Nigel.</t>
  </si>
  <si>
    <t>Washington, D.C. : Smithsonian Institution Press, c1994.</t>
  </si>
  <si>
    <t>1996-05-04</t>
  </si>
  <si>
    <t>890439218:eng</t>
  </si>
  <si>
    <t>31122447</t>
  </si>
  <si>
    <t>991002395139702656</t>
  </si>
  <si>
    <t>2268883990002656</t>
  </si>
  <si>
    <t>9781560984191</t>
  </si>
  <si>
    <t>32285002158425</t>
  </si>
  <si>
    <t>893352306</t>
  </si>
  <si>
    <t>NK4210.B4 A4 1978</t>
  </si>
  <si>
    <t>0                      NK 4210000B  4                  A  4           1978</t>
  </si>
  <si>
    <t>Belleek : the complete collector's guide and illustrated reference / Richard K. Degenhardt.</t>
  </si>
  <si>
    <t>Degenhardt, Richard K.</t>
  </si>
  <si>
    <t>Huntington, N.Y. : Portfolio Press, c1978.</t>
  </si>
  <si>
    <t>1993-11-29</t>
  </si>
  <si>
    <t>1992-01-10</t>
  </si>
  <si>
    <t>968754511:eng</t>
  </si>
  <si>
    <t>4572836</t>
  </si>
  <si>
    <t>991004682279702656</t>
  </si>
  <si>
    <t>2259805980002656</t>
  </si>
  <si>
    <t>32285000912468</t>
  </si>
  <si>
    <t>893624964</t>
  </si>
  <si>
    <t>NK4210.H32 L4 1990</t>
  </si>
  <si>
    <t>0                      NK 4210000H  32                 L  4           1990</t>
  </si>
  <si>
    <t>Hamada, potter / by Bernard Leach ; with a new preface by Warren MacKenzie ; foreword by Janet Darnell Leach.</t>
  </si>
  <si>
    <t>Leach, Bernard, 1887-1979.</t>
  </si>
  <si>
    <t>New York : Kodansha, 1990.</t>
  </si>
  <si>
    <t>1997-01-23</t>
  </si>
  <si>
    <t>1991-03-14</t>
  </si>
  <si>
    <t>58708323:eng</t>
  </si>
  <si>
    <t>21295168</t>
  </si>
  <si>
    <t>991001671769702656</t>
  </si>
  <si>
    <t>2267965900002656</t>
  </si>
  <si>
    <t>9780870118289</t>
  </si>
  <si>
    <t>32285000512136</t>
  </si>
  <si>
    <t>893903518</t>
  </si>
  <si>
    <t>NK4210.P5 R2813 1985</t>
  </si>
  <si>
    <t>0                      NK 4210000P  5                  R  2813        1985</t>
  </si>
  <si>
    <t>Ceramics of Picasso / Georges Ramié ; translation by Kenneth Lyons.</t>
  </si>
  <si>
    <t>Ramié, Georges.</t>
  </si>
  <si>
    <t>Barcelona : Ediciones Polígrafa, c1985.</t>
  </si>
  <si>
    <t>1999-02-07</t>
  </si>
  <si>
    <t>4241266385:eng</t>
  </si>
  <si>
    <t>12877445</t>
  </si>
  <si>
    <t>991000747319702656</t>
  </si>
  <si>
    <t>2257390170002656</t>
  </si>
  <si>
    <t>9788434304246</t>
  </si>
  <si>
    <t>32285001245884</t>
  </si>
  <si>
    <t>893702401</t>
  </si>
  <si>
    <t>NK4210.R5 B57 1989</t>
  </si>
  <si>
    <t>0                      NK 4210000R  5                  B  57          1989</t>
  </si>
  <si>
    <t>Lucie Rie / Tony Birks.</t>
  </si>
  <si>
    <t>Birks, Tony.</t>
  </si>
  <si>
    <t>Radnor, Pa. : Chilton Trade Book Pub., 1989, c1987.</t>
  </si>
  <si>
    <t>8907500718:eng</t>
  </si>
  <si>
    <t>18441938</t>
  </si>
  <si>
    <t>991001350949702656</t>
  </si>
  <si>
    <t>2269174020002656</t>
  </si>
  <si>
    <t>9780801979620</t>
  </si>
  <si>
    <t>32285001245876</t>
  </si>
  <si>
    <t>893803564</t>
  </si>
  <si>
    <t>NK4210.W4 D65 2004</t>
  </si>
  <si>
    <t>0                      NK 4210000W  4                  D  65          2004</t>
  </si>
  <si>
    <t>Wedgwood : the first tycoon / Brian Dolan.</t>
  </si>
  <si>
    <t>Dolan, Brian, 1970-</t>
  </si>
  <si>
    <t>New York : Viking, 2004.</t>
  </si>
  <si>
    <t>2004-12-07</t>
  </si>
  <si>
    <t>291587569:eng</t>
  </si>
  <si>
    <t>55085826</t>
  </si>
  <si>
    <t>991004419369702656</t>
  </si>
  <si>
    <t>2258940000002656</t>
  </si>
  <si>
    <t>9780670033461</t>
  </si>
  <si>
    <t>32285005015507</t>
  </si>
  <si>
    <t>893513215</t>
  </si>
  <si>
    <t>NK4215.C4 C6</t>
  </si>
  <si>
    <t>0                      NK 4215000C  4                  C  6</t>
  </si>
  <si>
    <t>Collectors handbook of marks &amp; monograms on pottery &amp; porcelain / by Wm. Chaffers ; edited by Frederick Lichfield ; assisted by R. L. Hobson and Justus Brinkman.</t>
  </si>
  <si>
    <t>Chaffers, William, 1811-1892.</t>
  </si>
  <si>
    <t>Alhambra, CA ; [Los Angeles] : Borden Pub. Co., 1947.</t>
  </si>
  <si>
    <t>2001-06-12</t>
  </si>
  <si>
    <t>1995-05-16</t>
  </si>
  <si>
    <t>3855426499:eng</t>
  </si>
  <si>
    <t>1285008</t>
  </si>
  <si>
    <t>991003668909702656</t>
  </si>
  <si>
    <t>2265430680002656</t>
  </si>
  <si>
    <t>32285002034238</t>
  </si>
  <si>
    <t>893525082</t>
  </si>
  <si>
    <t>NK4225 .P83</t>
  </si>
  <si>
    <t>0                      NK 4225000P  83</t>
  </si>
  <si>
    <t>Ceramics, and how to decorate them.</t>
  </si>
  <si>
    <t>Priolo, Joan B.</t>
  </si>
  <si>
    <t>New York : Sterling Pub. Co., [1958]</t>
  </si>
  <si>
    <t>1958</t>
  </si>
  <si>
    <t>1990-02-21</t>
  </si>
  <si>
    <t>1687930:eng</t>
  </si>
  <si>
    <t>716530</t>
  </si>
  <si>
    <t>991003191289702656</t>
  </si>
  <si>
    <t>2259476490002656</t>
  </si>
  <si>
    <t>32285000043975</t>
  </si>
  <si>
    <t>893505298</t>
  </si>
  <si>
    <t>NK4225 .T7 1966</t>
  </si>
  <si>
    <t>0                      NK 4225000T  7           1966</t>
  </si>
  <si>
    <t>Pottery step-by-step / by Henry Trevor.</t>
  </si>
  <si>
    <t>Trevor, Henry.</t>
  </si>
  <si>
    <t>New York : Watson-Guptill Publications, [1966]</t>
  </si>
  <si>
    <t>2001-03-16</t>
  </si>
  <si>
    <t>1992-03-30</t>
  </si>
  <si>
    <t>61117569:eng</t>
  </si>
  <si>
    <t>332891</t>
  </si>
  <si>
    <t>991002392129702656</t>
  </si>
  <si>
    <t>2257884780002656</t>
  </si>
  <si>
    <t>32285001041382</t>
  </si>
  <si>
    <t>893792405</t>
  </si>
  <si>
    <t>NK4235 .F54 2005</t>
  </si>
  <si>
    <t>0                      NK 4235000F  54          2005</t>
  </si>
  <si>
    <t>The figure in clay : contemporary sculpting techniques by master artists, Arleo, Boger, Burns, González, Jeck, Novak, Smith, Takamori, Walsh / [editor, Suzanne J..E. Tourtillott].</t>
  </si>
  <si>
    <t>New York : Lark Books, c2005.</t>
  </si>
  <si>
    <t>A Lark ceramics book</t>
  </si>
  <si>
    <t>2007-08-23</t>
  </si>
  <si>
    <t>905740799:eng</t>
  </si>
  <si>
    <t>57143256</t>
  </si>
  <si>
    <t>991004701399702656</t>
  </si>
  <si>
    <t>2272799380002656</t>
  </si>
  <si>
    <t>9781579906115</t>
  </si>
  <si>
    <t>32285005157598</t>
  </si>
  <si>
    <t>893776333</t>
  </si>
  <si>
    <t>NK4235 .K56 1986</t>
  </si>
  <si>
    <t>0                      NK 4235000K  56          1986</t>
  </si>
  <si>
    <t>Ceramic masterpieces : art, structure, and technology / W. David Kingery, Pamela B. Vandiver.</t>
  </si>
  <si>
    <t>Kingery, W. D.</t>
  </si>
  <si>
    <t>New York : Free Press ; London : Collier Macmillan, c1986.</t>
  </si>
  <si>
    <t>2000-05-30</t>
  </si>
  <si>
    <t>890444653:eng</t>
  </si>
  <si>
    <t>12946691</t>
  </si>
  <si>
    <t>991005406049702656</t>
  </si>
  <si>
    <t>2271084530002656</t>
  </si>
  <si>
    <t>9780029184806</t>
  </si>
  <si>
    <t>32285000008549</t>
  </si>
  <si>
    <t>893613655</t>
  </si>
  <si>
    <t>NK4235 .R3</t>
  </si>
  <si>
    <t>0                      NK 4235000R  3</t>
  </si>
  <si>
    <t>Ceramic sculpture.</t>
  </si>
  <si>
    <t>Randall, Ruth Hunie.</t>
  </si>
  <si>
    <t>New York : Watson-Guptill Publications, [1948]</t>
  </si>
  <si>
    <t>1948</t>
  </si>
  <si>
    <t>Step by step series</t>
  </si>
  <si>
    <t>1994-09-15</t>
  </si>
  <si>
    <t>1990-12-28</t>
  </si>
  <si>
    <t>2211580:eng</t>
  </si>
  <si>
    <t>1327784</t>
  </si>
  <si>
    <t>991003695689702656</t>
  </si>
  <si>
    <t>2258629140002656</t>
  </si>
  <si>
    <t>32285000426303</t>
  </si>
  <si>
    <t>893705524</t>
  </si>
  <si>
    <t>NK4235 .S6 1983</t>
  </si>
  <si>
    <t>0                      NK 4235000S  6           1983</t>
  </si>
  <si>
    <t>Images in clay sculpture : historical and contemporary techniques / Charlotte F. Speight.</t>
  </si>
  <si>
    <t>Speight, Charlotte F., 1919-</t>
  </si>
  <si>
    <t>New York : Harper &amp; Row, c1983.</t>
  </si>
  <si>
    <t>Icon editions</t>
  </si>
  <si>
    <t>1995-02-09</t>
  </si>
  <si>
    <t>1992-10-10</t>
  </si>
  <si>
    <t>836717551:eng</t>
  </si>
  <si>
    <t>9325270</t>
  </si>
  <si>
    <t>991000173859702656</t>
  </si>
  <si>
    <t>2267565150002656</t>
  </si>
  <si>
    <t>9780064301275</t>
  </si>
  <si>
    <t>32285001346435</t>
  </si>
  <si>
    <t>893406998</t>
  </si>
  <si>
    <t>NK4340.S5 F8313</t>
  </si>
  <si>
    <t>0                      NK 4340000S  5                  F  8313</t>
  </si>
  <si>
    <t>Shino and Oribe ceramics / Ryoichi Fujioka ; translated and adapted by Samuel Crowell Morse. --</t>
  </si>
  <si>
    <t>Fujioka, Ryōichi, 1909-</t>
  </si>
  <si>
    <t>Tokyo : Kodansha International ; New York : distributed through Harper &amp; Row, 1977.</t>
  </si>
  <si>
    <t>1st ed. --</t>
  </si>
  <si>
    <t>Japanese arts library ; v. 1</t>
  </si>
  <si>
    <t>181243970:eng</t>
  </si>
  <si>
    <t>3169552</t>
  </si>
  <si>
    <t>991004366009702656</t>
  </si>
  <si>
    <t>2263199350002656</t>
  </si>
  <si>
    <t>9780870112843</t>
  </si>
  <si>
    <t>32285001023562</t>
  </si>
  <si>
    <t>893446165</t>
  </si>
  <si>
    <t>NK4399.K87 N3413</t>
  </si>
  <si>
    <t>0                      NK 4399000K  87                 N  3413</t>
  </si>
  <si>
    <t>Kutani ware / Sensaku Nakagawa ; translated and adapted by John Bester.</t>
  </si>
  <si>
    <t>Nakagawa, Sensaku, 1910-1976 or 1977.</t>
  </si>
  <si>
    <t>Tokyo ; New York : Kodansha International : New York : distributed in the U.S. by Kodansha International/USA through Harper &amp; Row, 1979.</t>
  </si>
  <si>
    <t>Japanese arts library</t>
  </si>
  <si>
    <t>1998-12-02</t>
  </si>
  <si>
    <t>3856196661:eng</t>
  </si>
  <si>
    <t>4499851</t>
  </si>
  <si>
    <t>991004664279702656</t>
  </si>
  <si>
    <t>2266009140002656</t>
  </si>
  <si>
    <t>9780870113222</t>
  </si>
  <si>
    <t>32285001716223</t>
  </si>
  <si>
    <t>893869956</t>
  </si>
  <si>
    <t>NK4405 .F74 1989</t>
  </si>
  <si>
    <t>0                      NK 4405000F  74          1989</t>
  </si>
  <si>
    <t>American porcelain, 1770-1920 / Alice Cooney Frelinghuysen.</t>
  </si>
  <si>
    <t>Frelinghuysen, Alice Cooney.</t>
  </si>
  <si>
    <t>New York : Metropolitan Museum of Art : Distributed by Harry N. Abrams, c1989.</t>
  </si>
  <si>
    <t>1992-06-24</t>
  </si>
  <si>
    <t>1989-11-07</t>
  </si>
  <si>
    <t>18435976:eng</t>
  </si>
  <si>
    <t>18961959</t>
  </si>
  <si>
    <t>991001419499702656</t>
  </si>
  <si>
    <t>2263465060002656</t>
  </si>
  <si>
    <t>9780870995415</t>
  </si>
  <si>
    <t>32285000011808</t>
  </si>
  <si>
    <t>893516190</t>
  </si>
  <si>
    <t>NK4408 .H47 1980</t>
  </si>
  <si>
    <t>0                      NK 4408000H  47          1980</t>
  </si>
  <si>
    <t>American porcelain : new expressions in an ancient art / Lloyd E. Herman.</t>
  </si>
  <si>
    <t>Herman, Lloyd E.</t>
  </si>
  <si>
    <t>Forest Grove, Or. : Timber Press, c1980.</t>
  </si>
  <si>
    <t>1994-09-25</t>
  </si>
  <si>
    <t>1992-03-31</t>
  </si>
  <si>
    <t>25241204:eng</t>
  </si>
  <si>
    <t>7048805</t>
  </si>
  <si>
    <t>991005072309702656</t>
  </si>
  <si>
    <t>2256478990002656</t>
  </si>
  <si>
    <t>32285001031128</t>
  </si>
  <si>
    <t>893801676</t>
  </si>
  <si>
    <t>NK4499 .S28 1958a</t>
  </si>
  <si>
    <t>0                      NK 4499000S  28          1958a</t>
  </si>
  <si>
    <t>18th-century German porcelain / Foreword by H. Weinberg.</t>
  </si>
  <si>
    <t>Savage, George, 1909-1982.</t>
  </si>
  <si>
    <t>New York, Macmillan [1958]</t>
  </si>
  <si>
    <t>131895649:eng</t>
  </si>
  <si>
    <t>1317640</t>
  </si>
  <si>
    <t>991003688549702656</t>
  </si>
  <si>
    <t>2269310670002656</t>
  </si>
  <si>
    <t>32285003032140</t>
  </si>
  <si>
    <t>893627708</t>
  </si>
  <si>
    <t>NK4567 .J4 1965a</t>
  </si>
  <si>
    <t>0                      NK 4567000J  4           1965a</t>
  </si>
  <si>
    <t>Japanese porcelain, by Soame Jenyns.</t>
  </si>
  <si>
    <t>Jenyns, Soame, 1904-1976.</t>
  </si>
  <si>
    <t>London, Faber, 1965.</t>
  </si>
  <si>
    <t>Faber monographs on pottery and porcelain</t>
  </si>
  <si>
    <t>501581105:eng</t>
  </si>
  <si>
    <t>6069945</t>
  </si>
  <si>
    <t>991004923869702656</t>
  </si>
  <si>
    <t>2256545890002656</t>
  </si>
  <si>
    <t>32285003047544</t>
  </si>
  <si>
    <t>893700828</t>
  </si>
  <si>
    <t>NK4605.5.U63 C482 1996a</t>
  </si>
  <si>
    <t>0                      NK 4605500U  63                 C  482         1996a</t>
  </si>
  <si>
    <t>Sexual politics : Judy Chicago's Dinner party in feminist art history / Amelia Jones, editor ; with essays by Laura Cottingham ... [et al.].</t>
  </si>
  <si>
    <t>[Los Angeles, CA] : UCLA at the Armand Hammer Museum of Art and Cultural Center in association with University of California Press, Berkeley, c1996.</t>
  </si>
  <si>
    <t>2009-04-02</t>
  </si>
  <si>
    <t>1997-05-12</t>
  </si>
  <si>
    <t>837027277:eng</t>
  </si>
  <si>
    <t>33862729</t>
  </si>
  <si>
    <t>991002582979702656</t>
  </si>
  <si>
    <t>2266783790002656</t>
  </si>
  <si>
    <t>9780520205659</t>
  </si>
  <si>
    <t>32285002607199</t>
  </si>
  <si>
    <t>893421564</t>
  </si>
  <si>
    <t>NK4623 .M66 1979</t>
  </si>
  <si>
    <t>0                      NK 4623000M  66          1979</t>
  </si>
  <si>
    <t>Greek vase-painting in Midwestern collections / Warren G. Moon, Louise Berge.</t>
  </si>
  <si>
    <t>Moon, Warren G.</t>
  </si>
  <si>
    <t>Chicago : The Art Institute, c1979, 1981 printing.</t>
  </si>
  <si>
    <t>2004-11-29</t>
  </si>
  <si>
    <t>1993-05-24</t>
  </si>
  <si>
    <t>1808580275:eng</t>
  </si>
  <si>
    <t>6433970</t>
  </si>
  <si>
    <t>991004982769702656</t>
  </si>
  <si>
    <t>2258579100002656</t>
  </si>
  <si>
    <t>32285001692168</t>
  </si>
  <si>
    <t>893332240</t>
  </si>
  <si>
    <t>NK4623.5.G7 L668 1985</t>
  </si>
  <si>
    <t>0                      NK 4623500G  7                  L  668         1985</t>
  </si>
  <si>
    <t>Greek vases / Dyfri Williams.</t>
  </si>
  <si>
    <t>Williams, Dyfri.</t>
  </si>
  <si>
    <t>Cambridge, Mass. : Harvard University Press, 1985.</t>
  </si>
  <si>
    <t>2006-04-24</t>
  </si>
  <si>
    <t>5883067:eng</t>
  </si>
  <si>
    <t>12949137</t>
  </si>
  <si>
    <t>991000756439702656</t>
  </si>
  <si>
    <t>2254796350002656</t>
  </si>
  <si>
    <t>9780674363151</t>
  </si>
  <si>
    <t>32285000405612</t>
  </si>
  <si>
    <t>893496528</t>
  </si>
  <si>
    <t>NK4623.M37 G7 1983, v...</t>
  </si>
  <si>
    <t>0                      NK 4623000M  37                 G  7           1983                  v...</t>
  </si>
  <si>
    <t>Greek vases in the J. Paul Getty Museum.</t>
  </si>
  <si>
    <t>Malibu, Calif. : The Museum, 1983-</t>
  </si>
  <si>
    <t>Occasional papers on antiquities ; v. 1, 2, 3</t>
  </si>
  <si>
    <t>1992-09-13</t>
  </si>
  <si>
    <t>2004-10-07</t>
  </si>
  <si>
    <t>1992-09-29</t>
  </si>
  <si>
    <t>3146684277:eng</t>
  </si>
  <si>
    <t>9081189</t>
  </si>
  <si>
    <t>991000123029702656</t>
  </si>
  <si>
    <t>2255720920002656</t>
  </si>
  <si>
    <t>9780892360581</t>
  </si>
  <si>
    <t>32285000917020</t>
  </si>
  <si>
    <t>893327040</t>
  </si>
  <si>
    <t>V.3</t>
  </si>
  <si>
    <t>32285001323202</t>
  </si>
  <si>
    <t>893314702</t>
  </si>
  <si>
    <t>2003-12-01</t>
  </si>
  <si>
    <t>1992-06-10</t>
  </si>
  <si>
    <t>32285001099067</t>
  </si>
  <si>
    <t>893333233</t>
  </si>
  <si>
    <t>NK4645 .B42124 1989</t>
  </si>
  <si>
    <t>0                      NK 4645000B  42124       1989</t>
  </si>
  <si>
    <t>Greek vases : lectures / by J.D. Beazley ; edited by D.C. Kurtz.</t>
  </si>
  <si>
    <t>Beazley, J. D. (John Davidson), 1885-1970.</t>
  </si>
  <si>
    <t>Oxford, England : Clarendon Press ; New York : Oxford University Press, c1989.</t>
  </si>
  <si>
    <t>1990-03-01</t>
  </si>
  <si>
    <t>2800025310:eng</t>
  </si>
  <si>
    <t>19125372</t>
  </si>
  <si>
    <t>991001433549702656</t>
  </si>
  <si>
    <t>2269667260002656</t>
  </si>
  <si>
    <t>9780198134121</t>
  </si>
  <si>
    <t>32285000042951</t>
  </si>
  <si>
    <t>893878882</t>
  </si>
  <si>
    <t>NK4645 .C6 1972</t>
  </si>
  <si>
    <t>0                      NK 4645000C  6           1972</t>
  </si>
  <si>
    <t>Greek painted pottery / [by] R. M. Cook.</t>
  </si>
  <si>
    <t>Cook, Robert Manuel.</t>
  </si>
  <si>
    <t>[London] : Methuen, [1972]</t>
  </si>
  <si>
    <t>2nd ed.</t>
  </si>
  <si>
    <t>[Methuen's handbooks of archaeology series]</t>
  </si>
  <si>
    <t>1990-05-15</t>
  </si>
  <si>
    <t>478760:eng</t>
  </si>
  <si>
    <t>390136</t>
  </si>
  <si>
    <t>991002657539702656</t>
  </si>
  <si>
    <t>2262195540002656</t>
  </si>
  <si>
    <t>9780416761702</t>
  </si>
  <si>
    <t>32285000155274</t>
  </si>
  <si>
    <t>893716738</t>
  </si>
  <si>
    <t>NK4645 .F47 2002</t>
  </si>
  <si>
    <t>0                      NK 4645000F  47          2002</t>
  </si>
  <si>
    <t>Figures of speech : men and maidens in ancient Greece / Gloria Ferrari.</t>
  </si>
  <si>
    <t>Ferrari, Gloria, 1941-</t>
  </si>
  <si>
    <t>Chicago : University of Chicago Press, 2002.</t>
  </si>
  <si>
    <t>2006-03-21</t>
  </si>
  <si>
    <t>2003-09-29</t>
  </si>
  <si>
    <t>839040102:eng</t>
  </si>
  <si>
    <t>49404294</t>
  </si>
  <si>
    <t>991004108149702656</t>
  </si>
  <si>
    <t>2258056160002656</t>
  </si>
  <si>
    <t>9780226244365</t>
  </si>
  <si>
    <t>32285004785928</t>
  </si>
  <si>
    <t>893343466</t>
  </si>
  <si>
    <t>NK4645 .J63 1979</t>
  </si>
  <si>
    <t>0                      NK 4645000J  63          1979</t>
  </si>
  <si>
    <t>Trademarks on Greek vases / A.W. Johnston.</t>
  </si>
  <si>
    <t>Johnston, A. W. (Alan W.)</t>
  </si>
  <si>
    <t>Warminster, Wiltshire, England : Aris &amp; Philips, c1979.</t>
  </si>
  <si>
    <t>292369485:eng</t>
  </si>
  <si>
    <t>6332848</t>
  </si>
  <si>
    <t>991004966079702656</t>
  </si>
  <si>
    <t>2270285440002656</t>
  </si>
  <si>
    <t>9780856681233</t>
  </si>
  <si>
    <t>32285001716231</t>
  </si>
  <si>
    <t>893325990</t>
  </si>
  <si>
    <t>NK4645 .S365 1999</t>
  </si>
  <si>
    <t>0                      NK 4645000S  365         1999</t>
  </si>
  <si>
    <t>Athenian vase construction : a potter's analysis / Toby Schreiber.</t>
  </si>
  <si>
    <t>Schreiber, Toby, 1925-</t>
  </si>
  <si>
    <t>Malibu, Calif. : J. Paul Getty Museum, 1999.</t>
  </si>
  <si>
    <t>2008-06-10</t>
  </si>
  <si>
    <t>2000-02-07</t>
  </si>
  <si>
    <t>42158044:eng</t>
  </si>
  <si>
    <t>38179875</t>
  </si>
  <si>
    <t>991002897149702656</t>
  </si>
  <si>
    <t>2265165710002656</t>
  </si>
  <si>
    <t>9780892364657</t>
  </si>
  <si>
    <t>32285003659256</t>
  </si>
  <si>
    <t>893245789</t>
  </si>
  <si>
    <t>NK4645 .S63 1998</t>
  </si>
  <si>
    <t>0                      NK 4645000S  63          1998</t>
  </si>
  <si>
    <t>Homer and the artists : text and picture in early Greek art / Anthony Snodgrass.</t>
  </si>
  <si>
    <t>Snodgrass, Anthony M.</t>
  </si>
  <si>
    <t>Cambridge ; New York : Cambridge University Press, 1998.</t>
  </si>
  <si>
    <t>1999-12-15</t>
  </si>
  <si>
    <t>795129071:eng</t>
  </si>
  <si>
    <t>38566435</t>
  </si>
  <si>
    <t>991002916899702656</t>
  </si>
  <si>
    <t>2260910710002656</t>
  </si>
  <si>
    <t>9780521620222</t>
  </si>
  <si>
    <t>32285003633939</t>
  </si>
  <si>
    <t>893874175</t>
  </si>
  <si>
    <t>NK4648 .C27 1986</t>
  </si>
  <si>
    <t>0                      NK 4648000C  27          1986</t>
  </si>
  <si>
    <t>Dionysian imagery in archaic Greek art : its development in black-figure vase painting / Thomas H. Carpenter.</t>
  </si>
  <si>
    <t>Carpenter, Thomas H.</t>
  </si>
  <si>
    <t>Oxford [Oxfordshire] ; New York : Clarendon Press, 1986.</t>
  </si>
  <si>
    <t>Oxford monographs on classical archaeology</t>
  </si>
  <si>
    <t>2009-04-17</t>
  </si>
  <si>
    <t>1992-02-07</t>
  </si>
  <si>
    <t>5016820:eng</t>
  </si>
  <si>
    <t>12369952</t>
  </si>
  <si>
    <t>991000677069702656</t>
  </si>
  <si>
    <t>2269151260002656</t>
  </si>
  <si>
    <t>9780198132226</t>
  </si>
  <si>
    <t>32285000950641</t>
  </si>
  <si>
    <t>893237521</t>
  </si>
  <si>
    <t>NK4649 .B625 1989</t>
  </si>
  <si>
    <t>0                      NK 4649000B  625         1989</t>
  </si>
  <si>
    <t>Athenian red figure vases : the classical period : a handbook / John Boardman.</t>
  </si>
  <si>
    <t>Boardman, John, 1927-</t>
  </si>
  <si>
    <t>New York : Thames and Hudson, 1989.</t>
  </si>
  <si>
    <t>World of art</t>
  </si>
  <si>
    <t>2010-03-04</t>
  </si>
  <si>
    <t>1990-11-13</t>
  </si>
  <si>
    <t>5583111607:eng</t>
  </si>
  <si>
    <t>20865937</t>
  </si>
  <si>
    <t>991005411839702656</t>
  </si>
  <si>
    <t>2265626920002656</t>
  </si>
  <si>
    <t>9780500202449</t>
  </si>
  <si>
    <t>32285000314772</t>
  </si>
  <si>
    <t>893607348</t>
  </si>
  <si>
    <t>NK4649 .F64</t>
  </si>
  <si>
    <t>0                      NK 4649000F  64</t>
  </si>
  <si>
    <t>Attic red-figured pottery / by Robert S. Folsom.</t>
  </si>
  <si>
    <t>Folsom, Robert Slade.</t>
  </si>
  <si>
    <t>Park Ridge, N.J. : Noyes Press, c1976.</t>
  </si>
  <si>
    <t>Noyes classical studies</t>
  </si>
  <si>
    <t>1990-05-09</t>
  </si>
  <si>
    <t>5181524:eng</t>
  </si>
  <si>
    <t>2507957</t>
  </si>
  <si>
    <t>991004144879702656</t>
  </si>
  <si>
    <t>2255229430002656</t>
  </si>
  <si>
    <t>9780815550495</t>
  </si>
  <si>
    <t>32285000136886</t>
  </si>
  <si>
    <t>893331245</t>
  </si>
  <si>
    <t>NK4649 .T72</t>
  </si>
  <si>
    <t>0                      NK 4649000T  72</t>
  </si>
  <si>
    <t>The red-figured vases of Lucania, Campania and Sicily / by A.D. Trendall.</t>
  </si>
  <si>
    <t>Trendall, A. D. (Arthur Dale), 1909-1995.</t>
  </si>
  <si>
    <t>Oxford : Clarendon P., 1967.</t>
  </si>
  <si>
    <t>1993-10-19</t>
  </si>
  <si>
    <t>4451980484:eng</t>
  </si>
  <si>
    <t>620034</t>
  </si>
  <si>
    <t>991003063379702656</t>
  </si>
  <si>
    <t>2254724100002656</t>
  </si>
  <si>
    <t>32285001794121</t>
  </si>
  <si>
    <t>893805391</t>
  </si>
  <si>
    <t>32285001794139</t>
  </si>
  <si>
    <t>893774356</t>
  </si>
  <si>
    <t>NK4654 .B36 1976</t>
  </si>
  <si>
    <t>0                      NK 4654000B  36          1976</t>
  </si>
  <si>
    <t>Etruscan vase painting / by J. D. Beazley.</t>
  </si>
  <si>
    <t>New York : Hacker Art Books, 1976.</t>
  </si>
  <si>
    <t>1532779:eng</t>
  </si>
  <si>
    <t>2644152</t>
  </si>
  <si>
    <t>991004195209702656</t>
  </si>
  <si>
    <t>2255553660002656</t>
  </si>
  <si>
    <t>9780878171828</t>
  </si>
  <si>
    <t>32285001716272</t>
  </si>
  <si>
    <t>893894685</t>
  </si>
  <si>
    <t>NK4670 .F85</t>
  </si>
  <si>
    <t>0                      NK 4670000F  85</t>
  </si>
  <si>
    <t>Tile panels of Spain, 1500-1650.</t>
  </si>
  <si>
    <t>Frothingham, Alice Wilson.</t>
  </si>
  <si>
    <t>New York, Printed by order of the trustees, Hispanic Society of America, 1969.</t>
  </si>
  <si>
    <t>Hispanic notes &amp; monographs. Peninsular series</t>
  </si>
  <si>
    <t>1999-11-30</t>
  </si>
  <si>
    <t>1165439:eng</t>
  </si>
  <si>
    <t>25930</t>
  </si>
  <si>
    <t>991000063289702656</t>
  </si>
  <si>
    <t>2268701570002656</t>
  </si>
  <si>
    <t>32285003047593</t>
  </si>
  <si>
    <t>893431643</t>
  </si>
  <si>
    <t>NK4670.7.G7 A8 1981</t>
  </si>
  <si>
    <t>0                      NK 4670700G  7                  A  8           1981</t>
  </si>
  <si>
    <t>The decorated tile : an illustrated history of English tile-making and design / J &amp; B Austwick.</t>
  </si>
  <si>
    <t>Austwick, J. (Jill)</t>
  </si>
  <si>
    <t>New York : Scribner, 1981, c1980.</t>
  </si>
  <si>
    <t>1996-03-06</t>
  </si>
  <si>
    <t>890729602:eng</t>
  </si>
  <si>
    <t>7310406</t>
  </si>
  <si>
    <t>991005103659702656</t>
  </si>
  <si>
    <t>2265723810002656</t>
  </si>
  <si>
    <t>9780684167619</t>
  </si>
  <si>
    <t>32285001716280</t>
  </si>
  <si>
    <t>893350717</t>
  </si>
  <si>
    <t>NK5109.85.A7 A78 1987</t>
  </si>
  <si>
    <t>0                      NK 5109850A  7                  A  78          1987</t>
  </si>
  <si>
    <t>Glass : art nouveau to art deco / Victor Arwas.</t>
  </si>
  <si>
    <t>Arwas, Victor.</t>
  </si>
  <si>
    <t>New York, N.Y. : H.N. Abrams, 1987.</t>
  </si>
  <si>
    <t>2006-04-17</t>
  </si>
  <si>
    <t>1990-07-02</t>
  </si>
  <si>
    <t>10409392:eng</t>
  </si>
  <si>
    <t>15280942</t>
  </si>
  <si>
    <t>991001009729702656</t>
  </si>
  <si>
    <t>2262738250002656</t>
  </si>
  <si>
    <t>9780810910287</t>
  </si>
  <si>
    <t>32285005247050</t>
  </si>
  <si>
    <t>893696382</t>
  </si>
  <si>
    <t>NK5110 .G413 1982</t>
  </si>
  <si>
    <t>0                      NK 5110000G  413         1982</t>
  </si>
  <si>
    <t>Contemporary studio glass : an international collection / edited by The National Museum of Modern Art, Kyoto ; photography by Harumi Konishi.</t>
  </si>
  <si>
    <t>Gendai sekai no garasu. English.</t>
  </si>
  <si>
    <t>New York : Weatherhill ; Kyoto : Tankosha, 1982, c1981.</t>
  </si>
  <si>
    <t>1994-06-06</t>
  </si>
  <si>
    <t>3857288324:eng</t>
  </si>
  <si>
    <t>8306430</t>
  </si>
  <si>
    <t>991005394989702656</t>
  </si>
  <si>
    <t>2269210800002656</t>
  </si>
  <si>
    <t>9780834815254</t>
  </si>
  <si>
    <t>32285001921401</t>
  </si>
  <si>
    <t>893707846</t>
  </si>
  <si>
    <t>NK5112 .R4</t>
  </si>
  <si>
    <t>0                      NK 5112000R  4</t>
  </si>
  <si>
    <t>American pressed glass and figure bottles.</t>
  </si>
  <si>
    <t>Revi, Albert Christian.</t>
  </si>
  <si>
    <t>New York, Nelson [1964]</t>
  </si>
  <si>
    <t>2010-07-06</t>
  </si>
  <si>
    <t>1920332:eng</t>
  </si>
  <si>
    <t>965803</t>
  </si>
  <si>
    <t>991003431259702656</t>
  </si>
  <si>
    <t>2261155540002656</t>
  </si>
  <si>
    <t>32285003047726</t>
  </si>
  <si>
    <t>893698999</t>
  </si>
  <si>
    <t>NK5143 .D3</t>
  </si>
  <si>
    <t>0                      NK 5143000D  3</t>
  </si>
  <si>
    <t>English and Irish antique glass / [by] Derek C. Davis.</t>
  </si>
  <si>
    <t>Davis, Derek C.</t>
  </si>
  <si>
    <t>New York : Praeger, [1965]</t>
  </si>
  <si>
    <t>1996-09-06</t>
  </si>
  <si>
    <t>1995-08-08</t>
  </si>
  <si>
    <t>2364722:eng</t>
  </si>
  <si>
    <t>1476053</t>
  </si>
  <si>
    <t>991003773269702656</t>
  </si>
  <si>
    <t>2257578470002656</t>
  </si>
  <si>
    <t>32285002062627</t>
  </si>
  <si>
    <t>893353029</t>
  </si>
  <si>
    <t>NK5183.A1 B76 1990</t>
  </si>
  <si>
    <t>0                      NK 5183000A  1                  B  76          1990</t>
  </si>
  <si>
    <t>Clear as crystal, red as flame : later Chinese glass / Claudia Brown and Donald Rabiner.</t>
  </si>
  <si>
    <t>Brown, Claudia, 1950-</t>
  </si>
  <si>
    <t>New York City : China House Gallery, China Institute in America, 1990.</t>
  </si>
  <si>
    <t>1998-02-13</t>
  </si>
  <si>
    <t>1807209206:eng</t>
  </si>
  <si>
    <t>21357028</t>
  </si>
  <si>
    <t>991001681719702656</t>
  </si>
  <si>
    <t>2261326530002656</t>
  </si>
  <si>
    <t>32285001008902</t>
  </si>
  <si>
    <t>893256406</t>
  </si>
  <si>
    <t>NK5198.C43 A4 1992</t>
  </si>
  <si>
    <t>0                      NK 5198000C  43                 A  4           1992</t>
  </si>
  <si>
    <t>Dale Chihuly : installations, 1964-1992 / Patterson Sims.</t>
  </si>
  <si>
    <t>Chihuly, Dale, 1941-</t>
  </si>
  <si>
    <t>[Seattle, Wash.] : Seattle Art Museum, 1992.</t>
  </si>
  <si>
    <t>2000-11-25</t>
  </si>
  <si>
    <t>1994-06-29</t>
  </si>
  <si>
    <t>382359:eng</t>
  </si>
  <si>
    <t>26870999</t>
  </si>
  <si>
    <t>991002096359702656</t>
  </si>
  <si>
    <t>2263862060002656</t>
  </si>
  <si>
    <t>9780932216410</t>
  </si>
  <si>
    <t>32285001930188</t>
  </si>
  <si>
    <t>893609459</t>
  </si>
  <si>
    <t>NK5198.C43 A4 1993</t>
  </si>
  <si>
    <t>0                      NK 5198000C  43                 A  4           1993</t>
  </si>
  <si>
    <t>Chihuly : form from fire / essays by Walter Darby Bannard, Henry Geldzahler.</t>
  </si>
  <si>
    <t>Daytona Beach : Museum of Arts and Sciences ; [Seattle] : University of Washington Press, c1993.</t>
  </si>
  <si>
    <t>1993</t>
  </si>
  <si>
    <t>flu</t>
  </si>
  <si>
    <t>1994-06-20</t>
  </si>
  <si>
    <t>30905934:eng</t>
  </si>
  <si>
    <t>28488516</t>
  </si>
  <si>
    <t>991002212629702656</t>
  </si>
  <si>
    <t>2268286460002656</t>
  </si>
  <si>
    <t>9780933053069</t>
  </si>
  <si>
    <t>32285001923407</t>
  </si>
  <si>
    <t>893773351</t>
  </si>
  <si>
    <t>NK5198.C43 A4 1999</t>
  </si>
  <si>
    <t>0                      NK 5198000C  43                 A  4           1999</t>
  </si>
  <si>
    <t>Chihuly : Taos Pueblo / essay by Lloyd Kiva New.</t>
  </si>
  <si>
    <t>Seattle, Wash. : Portland Press, c1999.</t>
  </si>
  <si>
    <t>2002-08-14</t>
  </si>
  <si>
    <t>44096686:eng</t>
  </si>
  <si>
    <t>43794859</t>
  </si>
  <si>
    <t>991003794239702656</t>
  </si>
  <si>
    <t>2255197330002656</t>
  </si>
  <si>
    <t>9781576840122</t>
  </si>
  <si>
    <t>32285004481460</t>
  </si>
  <si>
    <t>893525232</t>
  </si>
  <si>
    <t>NK5198.T5 D86 1992</t>
  </si>
  <si>
    <t>0                      NK 5198000T  5                  D  86          1992</t>
  </si>
  <si>
    <t>Louis Comfort Tiffany / Alastair Duncan.</t>
  </si>
  <si>
    <t>Duncan, Alastair, 1942-</t>
  </si>
  <si>
    <t>New York : H.N. Abrams in association with the National Museum of American Art, Smithsonian Institution, c1992.</t>
  </si>
  <si>
    <t>Library of American art</t>
  </si>
  <si>
    <t>1993-11-30</t>
  </si>
  <si>
    <t>1152231701:eng</t>
  </si>
  <si>
    <t>25409223</t>
  </si>
  <si>
    <t>991001998259702656</t>
  </si>
  <si>
    <t>2266610210002656</t>
  </si>
  <si>
    <t>9780810938625</t>
  </si>
  <si>
    <t>32285001813764</t>
  </si>
  <si>
    <t>893603087</t>
  </si>
  <si>
    <t>NK5205.W28 G74 1981</t>
  </si>
  <si>
    <t>0                      NK 5205000W  28                 G  74          1981</t>
  </si>
  <si>
    <t>Waterford : an Irish art / text, Ida Grehan ; principal photography, Terry Murphy &amp; David Howe, additional photography, Walter Pfeiffer &amp; Louis Peterse ; illustrations, Noel Cusack ; project coordinator, Rose Mary Craig ; creative consultant, Harry Pesin ; research consultant, Angie Miller.</t>
  </si>
  <si>
    <t>Grehan, Ida.</t>
  </si>
  <si>
    <t>Huntington, N.Y. : Portfolio Press, c1981.</t>
  </si>
  <si>
    <t>2007-02-05</t>
  </si>
  <si>
    <t>918064367:eng</t>
  </si>
  <si>
    <t>8059030</t>
  </si>
  <si>
    <t>991005008859702656</t>
  </si>
  <si>
    <t>2256758830002656</t>
  </si>
  <si>
    <t>32285005274815</t>
  </si>
  <si>
    <t>893254319</t>
  </si>
  <si>
    <t>NK5304 .S69 1965b</t>
  </si>
  <si>
    <t>0                      NK 5304000S  69          1965b</t>
  </si>
  <si>
    <t>Stained glass : an architectural art.</t>
  </si>
  <si>
    <t>Sowers, Robert.</t>
  </si>
  <si>
    <t>London : A. Zwemmer, [1965]</t>
  </si>
  <si>
    <t>1999-11-08</t>
  </si>
  <si>
    <t>1994-01-27</t>
  </si>
  <si>
    <t>1909182997:eng</t>
  </si>
  <si>
    <t>4457940</t>
  </si>
  <si>
    <t>991004640839702656</t>
  </si>
  <si>
    <t>2269800990002656</t>
  </si>
  <si>
    <t>32285001836435</t>
  </si>
  <si>
    <t>893436543</t>
  </si>
  <si>
    <t>NK5349.C5 D5</t>
  </si>
  <si>
    <t>0                      NK 5349000C  5                  D  5</t>
  </si>
  <si>
    <t>The stained glass at Chartres.</t>
  </si>
  <si>
    <t>Dierick, Alfons Lieven.</t>
  </si>
  <si>
    <t>Berne : Hallwag, [1960]</t>
  </si>
  <si>
    <t>1960</t>
  </si>
  <si>
    <t xml:space="preserve">sz </t>
  </si>
  <si>
    <t>Orbis pictus ; 2</t>
  </si>
  <si>
    <t>1994-05-20</t>
  </si>
  <si>
    <t>32266745:eng</t>
  </si>
  <si>
    <t>1913726</t>
  </si>
  <si>
    <t>991003935909702656</t>
  </si>
  <si>
    <t>2255044880002656</t>
  </si>
  <si>
    <t>32285001911634</t>
  </si>
  <si>
    <t>893349406</t>
  </si>
  <si>
    <t>NK5510.W3 D43</t>
  </si>
  <si>
    <t>0                      NK 5510000W  3                  D  43</t>
  </si>
  <si>
    <t>Treasures in the Smithsonian : the gem collection / Paul E. Desautels ; photography by Dane Penland.</t>
  </si>
  <si>
    <t>Desautels, Paul E.</t>
  </si>
  <si>
    <t>2002-11-14</t>
  </si>
  <si>
    <t>16423267:eng</t>
  </si>
  <si>
    <t>5171655</t>
  </si>
  <si>
    <t>991004792469702656</t>
  </si>
  <si>
    <t>2259072790002656</t>
  </si>
  <si>
    <t>9780874743609</t>
  </si>
  <si>
    <t>32285001751014</t>
  </si>
  <si>
    <t>893706847</t>
  </si>
  <si>
    <t>NK5810.G7 A7</t>
  </si>
  <si>
    <t>0                      NK 5810000G  7                  A  7</t>
  </si>
  <si>
    <t>Afro-Portuguese ivories / [Text by W. P. [sic] Fagg; photos. by W. &amp; B. Forman]</t>
  </si>
  <si>
    <t>Fagg, William, 1914-1992.</t>
  </si>
  <si>
    <t>London, Batchworth Press [1959]</t>
  </si>
  <si>
    <t>1997-09-23</t>
  </si>
  <si>
    <t>9566065327:eng</t>
  </si>
  <si>
    <t>325202</t>
  </si>
  <si>
    <t>991002351189702656</t>
  </si>
  <si>
    <t>2271712630002656</t>
  </si>
  <si>
    <t>32285003032132</t>
  </si>
  <si>
    <t>893786029</t>
  </si>
  <si>
    <t>NK5850 .B38</t>
  </si>
  <si>
    <t>0                      NK 5850000B  38</t>
  </si>
  <si>
    <t>Ivory [by] O. Beigbeder.</t>
  </si>
  <si>
    <t>Beigbeder, Olivier.</t>
  </si>
  <si>
    <t>New York, Putnam [1965]</t>
  </si>
  <si>
    <t>Pleasures and treasures</t>
  </si>
  <si>
    <t>1998-04-20</t>
  </si>
  <si>
    <t>20114658:eng</t>
  </si>
  <si>
    <t>1247436</t>
  </si>
  <si>
    <t>991003646169702656</t>
  </si>
  <si>
    <t>2263509330002656</t>
  </si>
  <si>
    <t>32285003047841</t>
  </si>
  <si>
    <t>893686771</t>
  </si>
  <si>
    <t>NK5943 .H68</t>
  </si>
  <si>
    <t>0                      NK 5943000H  68</t>
  </si>
  <si>
    <t>King of the confessors / Thomas Hoving.</t>
  </si>
  <si>
    <t>Hoving, Thomas, 1931-2009.</t>
  </si>
  <si>
    <t>New York : Simon and Schuster, c1981.</t>
  </si>
  <si>
    <t>2002-05-14</t>
  </si>
  <si>
    <t>1993-06-02</t>
  </si>
  <si>
    <t>67796137:eng</t>
  </si>
  <si>
    <t>7576217</t>
  </si>
  <si>
    <t>991005135199702656</t>
  </si>
  <si>
    <t>2266134370002656</t>
  </si>
  <si>
    <t>9780671433888</t>
  </si>
  <si>
    <t>32285001716462</t>
  </si>
  <si>
    <t>893242268</t>
  </si>
  <si>
    <t>NK6052.M37 A4 1981</t>
  </si>
  <si>
    <t>0                      NK 6052000M  37                 A  4           1981</t>
  </si>
  <si>
    <t>The art of netsuke carving / by Masatoshi as told to Raymond Bushell.</t>
  </si>
  <si>
    <t>Masatoshi.</t>
  </si>
  <si>
    <t>Tokyo : Kodansha International ; New York, N.Y. : distributed in the United States by Kodansha International/USA, through Harper &amp; Row, 1981.</t>
  </si>
  <si>
    <t>1998-11-20</t>
  </si>
  <si>
    <t>514147:eng</t>
  </si>
  <si>
    <t>7461421</t>
  </si>
  <si>
    <t>991005114759702656</t>
  </si>
  <si>
    <t>2266014880002656</t>
  </si>
  <si>
    <t>9780870114809</t>
  </si>
  <si>
    <t>32285001716488</t>
  </si>
  <si>
    <t>893594493</t>
  </si>
  <si>
    <t>NK6404 .M6 1933</t>
  </si>
  <si>
    <t>0                      NK 6404000M  6           1933</t>
  </si>
  <si>
    <t>Old pewter : brass, copper, &amp; Sheffield plate / by N. Hudson Moore ; with one hundred and five illustrations. --</t>
  </si>
  <si>
    <t>Moore, N. Hudson, 1857-1927.</t>
  </si>
  <si>
    <t>Garden City, N.Y. : Garden City Publishing Co., [1933]</t>
  </si>
  <si>
    <t>1994-12-22</t>
  </si>
  <si>
    <t>1534303:eng</t>
  </si>
  <si>
    <t>1068426</t>
  </si>
  <si>
    <t>991003512709702656</t>
  </si>
  <si>
    <t>2270556080002656</t>
  </si>
  <si>
    <t>32285001716496</t>
  </si>
  <si>
    <t>893258500</t>
  </si>
  <si>
    <t>NK680 .R65</t>
  </si>
  <si>
    <t>0                      NK 0680000R  65</t>
  </si>
  <si>
    <t>Roman crafts / edited by Donald Strong &amp; David Brown.</t>
  </si>
  <si>
    <t>London : Duckworth : New York : New York University Press, 1976.</t>
  </si>
  <si>
    <t>1997-02-02</t>
  </si>
  <si>
    <t>365830762:eng</t>
  </si>
  <si>
    <t>2407541</t>
  </si>
  <si>
    <t>991004114539702656</t>
  </si>
  <si>
    <t>2270098540002656</t>
  </si>
  <si>
    <t>9780715607817</t>
  </si>
  <si>
    <t>32285001715779</t>
  </si>
  <si>
    <t>893869298</t>
  </si>
  <si>
    <t>NK70 .L48 1968</t>
  </si>
  <si>
    <t>0                      NK 0070000L  48          1968</t>
  </si>
  <si>
    <t>Art is for all; arts and crafts for less able children.</t>
  </si>
  <si>
    <t>Lindsay, Zaidee.</t>
  </si>
  <si>
    <t>New York, Taplinger Pub. Co. [1968, c1967]</t>
  </si>
  <si>
    <t>2002-02-13</t>
  </si>
  <si>
    <t>431670951:eng</t>
  </si>
  <si>
    <t>438564</t>
  </si>
  <si>
    <t>991002775609702656</t>
  </si>
  <si>
    <t>2265294710002656</t>
  </si>
  <si>
    <t>32285003046835</t>
  </si>
  <si>
    <t>893704497</t>
  </si>
  <si>
    <t>NK7107.15 .M8513 1999</t>
  </si>
  <si>
    <t>0                      NK 7107150M  8513        1999</t>
  </si>
  <si>
    <t>Gold of the pharaohs / Hans Wolfgang Müller, Eberhard Thiem ; [translators, Pierre Imhoff and Dafydd Roberts].</t>
  </si>
  <si>
    <t>Müller, Hans Wolfgang.</t>
  </si>
  <si>
    <t>Ithaca, N.Y. : Cornell University Press, 1999.</t>
  </si>
  <si>
    <t>2009-11-22</t>
  </si>
  <si>
    <t>2002-08-05</t>
  </si>
  <si>
    <t>10227497467:eng</t>
  </si>
  <si>
    <t>41476808</t>
  </si>
  <si>
    <t>991003837719702656</t>
  </si>
  <si>
    <t>2256033010002656</t>
  </si>
  <si>
    <t>9780801437250</t>
  </si>
  <si>
    <t>32285004641832</t>
  </si>
  <si>
    <t>893324554</t>
  </si>
  <si>
    <t>NK7143 .G54 1990</t>
  </si>
  <si>
    <t>0                      NK 7143000G  54          1990</t>
  </si>
  <si>
    <t>Women silversmiths, 1685-1845 : works from the collection of the National Museum of Women in the Arts / Philippa Glanville, Jennifer Faulds Goldsborough.</t>
  </si>
  <si>
    <t>Glanville, Philippa.</t>
  </si>
  <si>
    <t>New York, N.Y. : Thames and Hudson, c1990.</t>
  </si>
  <si>
    <t>1997-02-01</t>
  </si>
  <si>
    <t>1991-05-01</t>
  </si>
  <si>
    <t>1011153218:eng</t>
  </si>
  <si>
    <t>22434893</t>
  </si>
  <si>
    <t>991001777889702656</t>
  </si>
  <si>
    <t>2266379320002656</t>
  </si>
  <si>
    <t>9780500235782</t>
  </si>
  <si>
    <t>32285000570431</t>
  </si>
  <si>
    <t>893328367</t>
  </si>
  <si>
    <t>NK7215 .E42</t>
  </si>
  <si>
    <t>0                      NK 7215000E  42</t>
  </si>
  <si>
    <t>The great chalice of Antioch / by Gustavus A. Eisen.</t>
  </si>
  <si>
    <t>Eisen, Gustavus A., 1847-1940.</t>
  </si>
  <si>
    <t>New York : Fahim Kouchakji , 1933.</t>
  </si>
  <si>
    <t>2002-04-05</t>
  </si>
  <si>
    <t>1991-12-10</t>
  </si>
  <si>
    <t>2926503:eng</t>
  </si>
  <si>
    <t>1982821</t>
  </si>
  <si>
    <t>991003965729702656</t>
  </si>
  <si>
    <t>2261543050002656</t>
  </si>
  <si>
    <t>32285000875335</t>
  </si>
  <si>
    <t>893410949</t>
  </si>
  <si>
    <t>NK7306 .R6</t>
  </si>
  <si>
    <t>0                      NK 7306000R  6</t>
  </si>
  <si>
    <t>5000 years of gems and jewelry / by Frances Rogers and Alice Beard, with line drawings by the authors and sixteen illustrations in halftone.</t>
  </si>
  <si>
    <t>Rogers, Frances.</t>
  </si>
  <si>
    <t>New York : Frederick A. Stokes company, 1940.</t>
  </si>
  <si>
    <t>1940</t>
  </si>
  <si>
    <t>1996-02-11</t>
  </si>
  <si>
    <t>1992-11-04</t>
  </si>
  <si>
    <t>2328118:eng</t>
  </si>
  <si>
    <t>1464024</t>
  </si>
  <si>
    <t>991003768499702656</t>
  </si>
  <si>
    <t>2257361670002656</t>
  </si>
  <si>
    <t>32285001382208</t>
  </si>
  <si>
    <t>893627760</t>
  </si>
  <si>
    <t>NK7307.3 .H53 1980</t>
  </si>
  <si>
    <t>0                      NK 7307300H  53          1980</t>
  </si>
  <si>
    <t>Greek and Roman jewellery / Reynold Higgins.</t>
  </si>
  <si>
    <t>Higgins, Reynold.</t>
  </si>
  <si>
    <t>Berkeley : University of California Press, c1980.</t>
  </si>
  <si>
    <t>1993-03-15</t>
  </si>
  <si>
    <t>501702:eng</t>
  </si>
  <si>
    <t>7494037</t>
  </si>
  <si>
    <t>991005119849702656</t>
  </si>
  <si>
    <t>2268066020002656</t>
  </si>
  <si>
    <t>9780520036017</t>
  </si>
  <si>
    <t>32285000907294</t>
  </si>
  <si>
    <t>893326192</t>
  </si>
  <si>
    <t>NK7388.A1 A7 1978</t>
  </si>
  <si>
    <t>0                      NK 7388000A  1                  A  7           1978</t>
  </si>
  <si>
    <t>Jewels of the Pharaohs : Egyptian jewelry of the Dynastic Period / Cyril Aldred ; special photography in Cairo by Albert Shoucair.</t>
  </si>
  <si>
    <t>Aldred, Cyril.</t>
  </si>
  <si>
    <t>New York : Ballantine Books, 1978.</t>
  </si>
  <si>
    <t>1st Ballantine Books ed.</t>
  </si>
  <si>
    <t>4926869464:eng</t>
  </si>
  <si>
    <t>4076227</t>
  </si>
  <si>
    <t>991004583379702656</t>
  </si>
  <si>
    <t>2262871650002656</t>
  </si>
  <si>
    <t>9780345278197</t>
  </si>
  <si>
    <t>32285001382216</t>
  </si>
  <si>
    <t>893700416</t>
  </si>
  <si>
    <t>NK7492 .P33</t>
  </si>
  <si>
    <t>0                      NK 7492000P  33</t>
  </si>
  <si>
    <t>A treasury of American clocks.</t>
  </si>
  <si>
    <t>Palmer, Brooks.</t>
  </si>
  <si>
    <t>New York, Macmillan [1967]</t>
  </si>
  <si>
    <t>1998-02-23</t>
  </si>
  <si>
    <t>399276:eng</t>
  </si>
  <si>
    <t>679870</t>
  </si>
  <si>
    <t>991003138369702656</t>
  </si>
  <si>
    <t>2269822950002656</t>
  </si>
  <si>
    <t>32285003048047</t>
  </si>
  <si>
    <t>893239913</t>
  </si>
  <si>
    <t>NK7983 .C45 1946</t>
  </si>
  <si>
    <t>0                      NK 7983000C  45          1946</t>
  </si>
  <si>
    <t>Chinese bronzes from the Buckingham collection / by Charles Fabens Kelley and Chʻen Meng-chia.</t>
  </si>
  <si>
    <t>Art Institute of Chicago.</t>
  </si>
  <si>
    <t>[Chicago] : Art Institute of Chicago, 1946.</t>
  </si>
  <si>
    <t>5485689:eng</t>
  </si>
  <si>
    <t>2609021</t>
  </si>
  <si>
    <t>991005008129702656</t>
  </si>
  <si>
    <t>2261050310002656</t>
  </si>
  <si>
    <t>32285005274831</t>
  </si>
  <si>
    <t>893713312</t>
  </si>
  <si>
    <t>NK7983.22 .N48 1980</t>
  </si>
  <si>
    <t>0                      NK 7983220N  48          1980</t>
  </si>
  <si>
    <t>The great bronze age of China : an exhibition from the People's Republic of China / edited by Wen Fong; introductory essays by Ma Chengyuan ... [et al.] ; catalogue by Robert W. Bagley, Jenny F. So, Maxwell K. Hearn.</t>
  </si>
  <si>
    <t>Metropolitan Museum of Art (New York, N.Y.)</t>
  </si>
  <si>
    <t>New York : Metropolitan Museum of Art, c1980.</t>
  </si>
  <si>
    <t>1996-03-05</t>
  </si>
  <si>
    <t>1992-08-24</t>
  </si>
  <si>
    <t>839932002:eng</t>
  </si>
  <si>
    <t>5941721</t>
  </si>
  <si>
    <t>991004902609702656</t>
  </si>
  <si>
    <t>2270068520002656</t>
  </si>
  <si>
    <t>9780870992261</t>
  </si>
  <si>
    <t>32285001270361</t>
  </si>
  <si>
    <t>893443170</t>
  </si>
  <si>
    <t>NK805 .H67</t>
  </si>
  <si>
    <t>0                      NK 0805000H  67</t>
  </si>
  <si>
    <t>Treasury of American design : a pictorial survey of popular folk arts based upon watercolor renderings in the Index of American Design, at the National Gallery of Art / by Clarence P. Hornung. Foreword by J. Carter Brown. Introd. by Holger Cahill.</t>
  </si>
  <si>
    <t>Hornung, Clarence P., 1899-1997.</t>
  </si>
  <si>
    <t>New York : H. N. Abrams, [1972]</t>
  </si>
  <si>
    <t>1994-05-02</t>
  </si>
  <si>
    <t>498020:eng</t>
  </si>
  <si>
    <t>558866</t>
  </si>
  <si>
    <t>991002988389702656</t>
  </si>
  <si>
    <t>2260939910002656</t>
  </si>
  <si>
    <t>9780810905160</t>
  </si>
  <si>
    <t>32285001715787</t>
  </si>
  <si>
    <t>893227549</t>
  </si>
  <si>
    <t>32285000979251</t>
  </si>
  <si>
    <t>893239765</t>
  </si>
  <si>
    <t>NK806 .B7 1980</t>
  </si>
  <si>
    <t>0                      NK 0806000B  7           1980</t>
  </si>
  <si>
    <t>Small folk : a celebration of childhood in America / Sandra Brant and Elissa Cullman.</t>
  </si>
  <si>
    <t>Brant, Sandra.</t>
  </si>
  <si>
    <t>New York : E.P. Dutton : Museum of American Folk Art, 1980.</t>
  </si>
  <si>
    <t>2007-04-26</t>
  </si>
  <si>
    <t>1992-03-01</t>
  </si>
  <si>
    <t>24967175:eng</t>
  </si>
  <si>
    <t>7079995</t>
  </si>
  <si>
    <t>991005074019702656</t>
  </si>
  <si>
    <t>2262790320002656</t>
  </si>
  <si>
    <t>9780525931317</t>
  </si>
  <si>
    <t>32285000979970</t>
  </si>
  <si>
    <t>893613075</t>
  </si>
  <si>
    <t>NK806 .D35</t>
  </si>
  <si>
    <t>0                      NK 0806000D  35</t>
  </si>
  <si>
    <t>The American heritage history of antiques from the Civil War to World War I / by the editors of American heritage. Author and editor in charge: Marshall B. Davidson.</t>
  </si>
  <si>
    <t>Davidson, Marshall B.</t>
  </si>
  <si>
    <t>[New York] : American Heritage Pub. Co., [1969]</t>
  </si>
  <si>
    <t>2004-07-13</t>
  </si>
  <si>
    <t>1125137:eng</t>
  </si>
  <si>
    <t>67311</t>
  </si>
  <si>
    <t>991000218379702656</t>
  </si>
  <si>
    <t>2258096520002656</t>
  </si>
  <si>
    <t>9780828100229</t>
  </si>
  <si>
    <t>32285000979244</t>
  </si>
  <si>
    <t>893515118</t>
  </si>
  <si>
    <t>NK807 .N4</t>
  </si>
  <si>
    <t>0                      NK 0807000N  4</t>
  </si>
  <si>
    <t>19th-century America : furniture and other decorative arts : an exhibition in celebration of the hundredth anniversary of the Metropolitan Museum of Art, April 16 through September 7, 1970 / introd. by Berry B. Tracy. Furniture texts by Marilynn Johnson. Other decorative arts texts by Marvin D. Schwartz and Suzanne Boorsch.</t>
  </si>
  <si>
    <t>[New York] : Distributed by New York Graphic Society, [1970]</t>
  </si>
  <si>
    <t>1998-11-12</t>
  </si>
  <si>
    <t>5534561772:eng</t>
  </si>
  <si>
    <t>90973</t>
  </si>
  <si>
    <t>991000543259702656</t>
  </si>
  <si>
    <t>2266368860002656</t>
  </si>
  <si>
    <t>9780870990045</t>
  </si>
  <si>
    <t>32285000979236</t>
  </si>
  <si>
    <t>893771739</t>
  </si>
  <si>
    <t>NK807 .V65 1988</t>
  </si>
  <si>
    <t>0                      NK 0807000V  65          1988</t>
  </si>
  <si>
    <t>Treasures of the American Arts and Crafts Movement 1890-1920 / Tod M. Volpe, Beth Cathers ; text by Alastair Duncan ; introduction by Leslie Bowman.</t>
  </si>
  <si>
    <t>Volpe, Tod M.</t>
  </si>
  <si>
    <t>New York : H.N. Abrams, 1988.</t>
  </si>
  <si>
    <t>2008-02-11</t>
  </si>
  <si>
    <t>705691:eng</t>
  </si>
  <si>
    <t>15316884</t>
  </si>
  <si>
    <t>991001015049702656</t>
  </si>
  <si>
    <t>2258677350002656</t>
  </si>
  <si>
    <t>9780810916951</t>
  </si>
  <si>
    <t>32285001715803</t>
  </si>
  <si>
    <t>893720899</t>
  </si>
  <si>
    <t>NK808 .O25 2001</t>
  </si>
  <si>
    <t>0                      NK 0808000O  25          2001</t>
  </si>
  <si>
    <t>Objects for use : handmade by design / Paul J. Smith, general editor ; essays by Paul J. Smith and Akiko Busch.</t>
  </si>
  <si>
    <t>New York : H.N. Abrams in association with the American Craft Museum, 2001.</t>
  </si>
  <si>
    <t>2005-04-25</t>
  </si>
  <si>
    <t>837047497:eng</t>
  </si>
  <si>
    <t>46385863</t>
  </si>
  <si>
    <t>991004525469702656</t>
  </si>
  <si>
    <t>2272197140002656</t>
  </si>
  <si>
    <t>9780810906112</t>
  </si>
  <si>
    <t>32285005033120</t>
  </si>
  <si>
    <t>893612458</t>
  </si>
  <si>
    <t>NK808 .S634 1986</t>
  </si>
  <si>
    <t>0                      NK 0808000S  634         1986</t>
  </si>
  <si>
    <t>Craft today : poetry of the physical / Paul J. Smith, Edward Lucie-Smith.</t>
  </si>
  <si>
    <t>Smith, Paul J., 1931-2020.</t>
  </si>
  <si>
    <t>New York : American Craft Museum : Weidenfeld &amp; Nicolson, c1986.</t>
  </si>
  <si>
    <t>2008-01-25</t>
  </si>
  <si>
    <t>1806309993:eng</t>
  </si>
  <si>
    <t>13560638</t>
  </si>
  <si>
    <t>991000846109702656</t>
  </si>
  <si>
    <t>2263539490002656</t>
  </si>
  <si>
    <t>9781555840235</t>
  </si>
  <si>
    <t>32285001715811</t>
  </si>
  <si>
    <t>893225367</t>
  </si>
  <si>
    <t>NK8844 .P37 1988</t>
  </si>
  <si>
    <t>0                      NK 8844000P  37          1988</t>
  </si>
  <si>
    <t>Textiles of the arts and crafts movement / Linda Parry.</t>
  </si>
  <si>
    <t>Parry, Linda.</t>
  </si>
  <si>
    <t>New York : Thames &amp; Hudson. 1988.</t>
  </si>
  <si>
    <t>2005-03-01</t>
  </si>
  <si>
    <t>1021468:eng</t>
  </si>
  <si>
    <t>17858878</t>
  </si>
  <si>
    <t>991001273739702656</t>
  </si>
  <si>
    <t>2260642280002656</t>
  </si>
  <si>
    <t>9780500274972</t>
  </si>
  <si>
    <t>32285001716561</t>
  </si>
  <si>
    <t>893315658</t>
  </si>
  <si>
    <t>NK8898.M67 P37 1983</t>
  </si>
  <si>
    <t>0                      NK 8898000M  67                 P  37          1983</t>
  </si>
  <si>
    <t>William Morris textiles / Linda Parry.</t>
  </si>
  <si>
    <t>New York : Viking Press, c1983.</t>
  </si>
  <si>
    <t>3901403996:eng</t>
  </si>
  <si>
    <t>8221337</t>
  </si>
  <si>
    <t>991005220189702656</t>
  </si>
  <si>
    <t>2268593550002656</t>
  </si>
  <si>
    <t>9780670770755</t>
  </si>
  <si>
    <t>32285001716603</t>
  </si>
  <si>
    <t>893801948</t>
  </si>
  <si>
    <t>NK9103 .U5</t>
  </si>
  <si>
    <t>0                      NK 9103000U  5</t>
  </si>
  <si>
    <t>English and other needlework, tapestries and textiles in the Irwin Untermyer collection. Text by Yvonne Hackenbroch. Published for the Metropolitan Museum of Art.</t>
  </si>
  <si>
    <t>Untermyer, Irwin.</t>
  </si>
  <si>
    <t>Cambridge, Harvard University Press, 1960.</t>
  </si>
  <si>
    <t>The Irwin Untermyer collection [4]</t>
  </si>
  <si>
    <t>1999-09-29</t>
  </si>
  <si>
    <t>2803710:eng</t>
  </si>
  <si>
    <t>2031832</t>
  </si>
  <si>
    <t>991003986139702656</t>
  </si>
  <si>
    <t>2269353640002656</t>
  </si>
  <si>
    <t>32285003048138</t>
  </si>
  <si>
    <t>893318663</t>
  </si>
  <si>
    <t>NK9112 .A28 1991</t>
  </si>
  <si>
    <t>0                      NK 9112000A  28          1991</t>
  </si>
  <si>
    <t>Abstract design in American quilts : a biography of an exhibition / Jonathan Holstein ; foreword by Shelly Zegart.</t>
  </si>
  <si>
    <t>Holstein, Jonathan.</t>
  </si>
  <si>
    <t>Louisville, Ky. : Kentucky Quilt Project, 1991.</t>
  </si>
  <si>
    <t>kyu</t>
  </si>
  <si>
    <t>2005-11-07</t>
  </si>
  <si>
    <t>29320600:eng</t>
  </si>
  <si>
    <t>26397019</t>
  </si>
  <si>
    <t>991004687629702656</t>
  </si>
  <si>
    <t>2255914070002656</t>
  </si>
  <si>
    <t>9781880584002</t>
  </si>
  <si>
    <t>32285005144315</t>
  </si>
  <si>
    <t>893241729</t>
  </si>
  <si>
    <t>NK9112 .S23 1974</t>
  </si>
  <si>
    <t>0                      NK 9112000S  23          1974</t>
  </si>
  <si>
    <t>America's quilts and coverlets, by Carleton L. Safford and Robert Bishop.</t>
  </si>
  <si>
    <t>Safford, Carleton L.</t>
  </si>
  <si>
    <t>New York, Weathervane Books [1974]</t>
  </si>
  <si>
    <t>1974</t>
  </si>
  <si>
    <t>2005-04-28</t>
  </si>
  <si>
    <t>1993-01-13</t>
  </si>
  <si>
    <t>575989:eng</t>
  </si>
  <si>
    <t>1348286</t>
  </si>
  <si>
    <t>991003709449702656</t>
  </si>
  <si>
    <t>2257368440002656</t>
  </si>
  <si>
    <t>32285001488708</t>
  </si>
  <si>
    <t>893611352</t>
  </si>
  <si>
    <t>NK9212 .H3</t>
  </si>
  <si>
    <t>0                      NK 9212000H  3</t>
  </si>
  <si>
    <t>American needlework; the history of decorative stitchery and embroidery from the late 16th to the 20th century.</t>
  </si>
  <si>
    <t>Harbeson, Georgiana Brown, 1894-1980.</t>
  </si>
  <si>
    <t>New York, Bonanza Books [c1938]</t>
  </si>
  <si>
    <t>1938</t>
  </si>
  <si>
    <t>1996-02-07</t>
  </si>
  <si>
    <t>1993-01-14</t>
  </si>
  <si>
    <t>1947511:eng</t>
  </si>
  <si>
    <t>981828</t>
  </si>
  <si>
    <t>991003446349702656</t>
  </si>
  <si>
    <t>2269768940002656</t>
  </si>
  <si>
    <t>32285001488666</t>
  </si>
  <si>
    <t>893324078</t>
  </si>
  <si>
    <t>NK928 .R6 1969</t>
  </si>
  <si>
    <t>0                      NK 0928000R  6           1969</t>
  </si>
  <si>
    <t>Victorian corners; the style and taste of an era, by F. Gordon Roe. With illus. by Frances Maynard and others.</t>
  </si>
  <si>
    <t>Roe, F. Gordon (Frederic Gordon), 1894-1985.</t>
  </si>
  <si>
    <t>New York, Praeger [1969, c1968]</t>
  </si>
  <si>
    <t>288447523:eng</t>
  </si>
  <si>
    <t>33430</t>
  </si>
  <si>
    <t>991000085039702656</t>
  </si>
  <si>
    <t>2261231600002656</t>
  </si>
  <si>
    <t>32285003046983</t>
  </si>
  <si>
    <t>893333193</t>
  </si>
  <si>
    <t>NK9710 .M4</t>
  </si>
  <si>
    <t>0                      NK 9710000M  4</t>
  </si>
  <si>
    <t>Contemporary art with wood; creative techniques and appreciation, by Dona Z. Meilach.</t>
  </si>
  <si>
    <t>Meilach, Dona Z.</t>
  </si>
  <si>
    <t>New York, Crown [1968]</t>
  </si>
  <si>
    <t>2008-03-03</t>
  </si>
  <si>
    <t>498583:eng</t>
  </si>
  <si>
    <t>435574</t>
  </si>
  <si>
    <t>991002767649702656</t>
  </si>
  <si>
    <t>2269303920002656</t>
  </si>
  <si>
    <t>32285003048211</t>
  </si>
  <si>
    <t>893535187</t>
  </si>
  <si>
    <t>NK975 .T68 1995</t>
  </si>
  <si>
    <t>0                      NK 0975000T  68          1995</t>
  </si>
  <si>
    <t>Treasures of the Czars : from the State Museums of the Moscow Kremlin / presented by Florida International Museum, St. Petersburg.</t>
  </si>
  <si>
    <t>London : Booth-Clibborn Editions, 1995.</t>
  </si>
  <si>
    <t>2009-05-11</t>
  </si>
  <si>
    <t>364991864:eng</t>
  </si>
  <si>
    <t>38496781</t>
  </si>
  <si>
    <t>991005315149702656</t>
  </si>
  <si>
    <t>2269169330002656</t>
  </si>
  <si>
    <t>9781873968512</t>
  </si>
  <si>
    <t>32285005531685</t>
  </si>
  <si>
    <t>893883664</t>
  </si>
  <si>
    <t>NX160 .G35 1998</t>
  </si>
  <si>
    <t>0                      NX 0160000G  35          1998</t>
  </si>
  <si>
    <t>From text to hypertext : decentering the subject in fiction, film, the visual arts, and electronic media / Silvio Gaggi.</t>
  </si>
  <si>
    <t>Gaggi, Silvio.</t>
  </si>
  <si>
    <t>Philadelphia : University of Pennsylvania Press, 1998, c1997.</t>
  </si>
  <si>
    <t>Penn studies in contemporary American fiction</t>
  </si>
  <si>
    <t xml:space="preserve">NX </t>
  </si>
  <si>
    <t>2001-02-21</t>
  </si>
  <si>
    <t>2000-07-19</t>
  </si>
  <si>
    <t>8486202:eng</t>
  </si>
  <si>
    <t>35559066</t>
  </si>
  <si>
    <t>991003207489702656</t>
  </si>
  <si>
    <t>2271475300002656</t>
  </si>
  <si>
    <t>9780812216776</t>
  </si>
  <si>
    <t>32285003740916</t>
  </si>
  <si>
    <t>893880920</t>
  </si>
  <si>
    <t>NX165 .L4513 1997</t>
  </si>
  <si>
    <t>0                      NX 0165000L  4513        1997</t>
  </si>
  <si>
    <t>Look, listen, read / Claude Laevi Strauss ; translated by Brian C.J. Singer.</t>
  </si>
  <si>
    <t>Lévi-Strauss, Claude.</t>
  </si>
  <si>
    <t>New York : BasicBooks, c1997.</t>
  </si>
  <si>
    <t>1997</t>
  </si>
  <si>
    <t>2004-09-16</t>
  </si>
  <si>
    <t>16137724:eng</t>
  </si>
  <si>
    <t>36008629</t>
  </si>
  <si>
    <t>991004375789702656</t>
  </si>
  <si>
    <t>2258958390002656</t>
  </si>
  <si>
    <t>9780465068807</t>
  </si>
  <si>
    <t>32285004988159</t>
  </si>
  <si>
    <t>893519576</t>
  </si>
  <si>
    <t>NX170 .M58 1994</t>
  </si>
  <si>
    <t>0                      NX 0170000M  58          1994</t>
  </si>
  <si>
    <t>Picture theory : essays on verbal and visual representation / W.J.T. Mitchell.</t>
  </si>
  <si>
    <t>Mitchell, W. J. T. (William John Thomas), 1942-</t>
  </si>
  <si>
    <t>Chicago : University of Chicago Press, 1994.</t>
  </si>
  <si>
    <t>2010-03-22</t>
  </si>
  <si>
    <t>1996-01-18</t>
  </si>
  <si>
    <t>863889860:eng</t>
  </si>
  <si>
    <t>28854526</t>
  </si>
  <si>
    <t>991002238269702656</t>
  </si>
  <si>
    <t>2263735510002656</t>
  </si>
  <si>
    <t>9780226532318</t>
  </si>
  <si>
    <t>32285002119252</t>
  </si>
  <si>
    <t>893445047</t>
  </si>
  <si>
    <t>NX180.A36 A37 1995</t>
  </si>
  <si>
    <t>0                      NX 0180000A  36                 A  37          1995</t>
  </si>
  <si>
    <t>AIDS, social change, and theater : performance as protest / Cindy J. Kistenberg.</t>
  </si>
  <si>
    <t>Kistenberg, Cindy J., 1964-</t>
  </si>
  <si>
    <t>New York : Garland Pub., 1995.</t>
  </si>
  <si>
    <t>Garland studies in American popular history and culture</t>
  </si>
  <si>
    <t>2005-03-11</t>
  </si>
  <si>
    <t>1997-06-18</t>
  </si>
  <si>
    <t>141733271:eng</t>
  </si>
  <si>
    <t>32853062</t>
  </si>
  <si>
    <t>991002525569702656</t>
  </si>
  <si>
    <t>2269038900002656</t>
  </si>
  <si>
    <t>9780815321590</t>
  </si>
  <si>
    <t>32285002752243</t>
  </si>
  <si>
    <t>893409197</t>
  </si>
  <si>
    <t>NX180.A77 S83 1994</t>
  </si>
  <si>
    <t>0                      NX 0180000A  77                 S  83          1994</t>
  </si>
  <si>
    <t>The Subversive imagination : artists, society, and social responsibility / edited by Carol Becker.</t>
  </si>
  <si>
    <t>New York : Routledge, 1994.</t>
  </si>
  <si>
    <t>2004-03-10</t>
  </si>
  <si>
    <t>1994-05-06</t>
  </si>
  <si>
    <t>836907387:eng</t>
  </si>
  <si>
    <t>28890180</t>
  </si>
  <si>
    <t>991005417699702656</t>
  </si>
  <si>
    <t>2262977200002656</t>
  </si>
  <si>
    <t>9780415905916</t>
  </si>
  <si>
    <t>32285001878312</t>
  </si>
  <si>
    <t>893871153</t>
  </si>
  <si>
    <t>NX180.C44 C85 1992</t>
  </si>
  <si>
    <t>0                      NX 0180000C  44                 C  85          1992</t>
  </si>
  <si>
    <t>Culture Wars : documents from the recent controversies in the arts / edited by Richard Bolton.</t>
  </si>
  <si>
    <t>New York : New Press, 1992.</t>
  </si>
  <si>
    <t>2005-12-11</t>
  </si>
  <si>
    <t>1998-11-23</t>
  </si>
  <si>
    <t>114800116:eng</t>
  </si>
  <si>
    <t>26652907</t>
  </si>
  <si>
    <t>991002078839702656</t>
  </si>
  <si>
    <t>2269012480002656</t>
  </si>
  <si>
    <t>9781565840119</t>
  </si>
  <si>
    <t>32285001339984</t>
  </si>
  <si>
    <t>893534838</t>
  </si>
  <si>
    <t>NX180.F4 I5</t>
  </si>
  <si>
    <t>0                      NX 0180000F  4                  I  5</t>
  </si>
  <si>
    <t>In her own image, women working in the arts / [compiled by] Elaine Hedges, Ingrid Wendt.</t>
  </si>
  <si>
    <t>Old Westbury, N.Y. : Feminist Press ; New York : McGraw-Hill Book Co., c1980.</t>
  </si>
  <si>
    <t>Women's lives, women's work</t>
  </si>
  <si>
    <t>2008-03-26</t>
  </si>
  <si>
    <t>1993-04-02</t>
  </si>
  <si>
    <t>425668807:eng</t>
  </si>
  <si>
    <t>5170930</t>
  </si>
  <si>
    <t>991004790369702656</t>
  </si>
  <si>
    <t>2259305280002656</t>
  </si>
  <si>
    <t>9780070204430</t>
  </si>
  <si>
    <t>32285001599447</t>
  </si>
  <si>
    <t>893706844</t>
  </si>
  <si>
    <t>NX180.F4 R384 1988</t>
  </si>
  <si>
    <t>0                      NX 0180000F  4                  R  384         1988</t>
  </si>
  <si>
    <t>Crossing over : feminism and art of social concern / by Arlene Raven.</t>
  </si>
  <si>
    <t>Raven, Arlene.</t>
  </si>
  <si>
    <t>Ann Arbor, Mich. : UMI Research Press, c1988.</t>
  </si>
  <si>
    <t>Contemporary American art critics ; no. 10</t>
  </si>
  <si>
    <t>2003-11-20</t>
  </si>
  <si>
    <t>1989-11-16</t>
  </si>
  <si>
    <t>13811154:eng</t>
  </si>
  <si>
    <t>16832766</t>
  </si>
  <si>
    <t>991001153859702656</t>
  </si>
  <si>
    <t>2257051000002656</t>
  </si>
  <si>
    <t>9780835718486</t>
  </si>
  <si>
    <t>32285000014059</t>
  </si>
  <si>
    <t>893334106</t>
  </si>
  <si>
    <t>NX180.F4 S49 1992</t>
  </si>
  <si>
    <t>0                      NX 0180000F  4                  S  49          1992</t>
  </si>
  <si>
    <t>Sexuality, the female gaze, and the arts : women, the arts, and society / edited by Ronald Dotterer and Susan Bowers.</t>
  </si>
  <si>
    <t>Selinsgrove [Pa.] : Susquehanna University Press ; London : Associated University Presses, 1992.</t>
  </si>
  <si>
    <t>Susquehanna University studies</t>
  </si>
  <si>
    <t>2001-04-12</t>
  </si>
  <si>
    <t>1994-05-24</t>
  </si>
  <si>
    <t>375380260:eng</t>
  </si>
  <si>
    <t>23731474</t>
  </si>
  <si>
    <t>991001880299702656</t>
  </si>
  <si>
    <t>2266556140002656</t>
  </si>
  <si>
    <t>9780945636328</t>
  </si>
  <si>
    <t>32285001897999</t>
  </si>
  <si>
    <t>893439505</t>
  </si>
  <si>
    <t>NX180.M3 C37 1998</t>
  </si>
  <si>
    <t>0                      NX 0180000M  3                  C  37          1998</t>
  </si>
  <si>
    <t>A philosophy of mass art / Noël Carroll.</t>
  </si>
  <si>
    <t>Carroll, Noël, 1947-</t>
  </si>
  <si>
    <t>Oxford : Clarendon Press ; New York : Oxford University Press, 1998.</t>
  </si>
  <si>
    <t>2007-05-19</t>
  </si>
  <si>
    <t>1998-03-18</t>
  </si>
  <si>
    <t>9459318:eng</t>
  </si>
  <si>
    <t>37195011</t>
  </si>
  <si>
    <t>991002825059702656</t>
  </si>
  <si>
    <t>2255087300002656</t>
  </si>
  <si>
    <t>9780198711292</t>
  </si>
  <si>
    <t>32285003358610</t>
  </si>
  <si>
    <t>893786601</t>
  </si>
  <si>
    <t>NX180.R4 C76 2001</t>
  </si>
  <si>
    <t>0                      NX 0180000R  4                  C  76          2001</t>
  </si>
  <si>
    <t>Crossroads : art and religion in American life / edited by Alberta Arthurs and Glenn Wallach ; Center for Arts and Culture ; Henry Luce Foundation.</t>
  </si>
  <si>
    <t>New York : New Press : Distributed by W.W. Norton, 2001.</t>
  </si>
  <si>
    <t>366520607:eng</t>
  </si>
  <si>
    <t>45058793</t>
  </si>
  <si>
    <t>991003480679702656</t>
  </si>
  <si>
    <t>2257208180002656</t>
  </si>
  <si>
    <t>9781565846609</t>
  </si>
  <si>
    <t>32285004326558</t>
  </si>
  <si>
    <t>893505622</t>
  </si>
  <si>
    <t>NX180.S3 K46 2000</t>
  </si>
  <si>
    <t>0                      NX 0180000S  3                  K  46          2000</t>
  </si>
  <si>
    <t>Visualizations : the nature book of art and science / Martin Kemp.</t>
  </si>
  <si>
    <t>Kemp, Martin.</t>
  </si>
  <si>
    <t>Berkeley, Calif ; University of California Press, c2000.</t>
  </si>
  <si>
    <t>2002-01-16</t>
  </si>
  <si>
    <t>2001-08-28</t>
  </si>
  <si>
    <t>34439618:eng</t>
  </si>
  <si>
    <t>46680792</t>
  </si>
  <si>
    <t>991003596149702656</t>
  </si>
  <si>
    <t>2264291020002656</t>
  </si>
  <si>
    <t>9780520223523</t>
  </si>
  <si>
    <t>32285004381751</t>
  </si>
  <si>
    <t>893692876</t>
  </si>
  <si>
    <t>NX180.S6 K36 1990</t>
  </si>
  <si>
    <t>0                      NX 0180000S  6                  K  36          1990</t>
  </si>
  <si>
    <t>The arts : a social perspective / Max Kaplan.</t>
  </si>
  <si>
    <t>Kaplan, Max, 1911-1998.</t>
  </si>
  <si>
    <t>Rutherford, N.J. : Fairleigh Dickinson University Press, c1990.</t>
  </si>
  <si>
    <t>1994-11-08</t>
  </si>
  <si>
    <t>1990-06-21</t>
  </si>
  <si>
    <t>432281048:eng</t>
  </si>
  <si>
    <t>20017363</t>
  </si>
  <si>
    <t>991001530309702656</t>
  </si>
  <si>
    <t>2261233080002656</t>
  </si>
  <si>
    <t>9780838633557</t>
  </si>
  <si>
    <t>32285000178946</t>
  </si>
  <si>
    <t>893334374</t>
  </si>
  <si>
    <t>NX180.S6 O97 1990</t>
  </si>
  <si>
    <t>0                      NX 0180000S  6                  O  97          1990</t>
  </si>
  <si>
    <t>Out there : marginalization and contemporary cultures / edited by Russell Ferguson ... [et al.] ; foreword by Marcia Tucker ; images selected by Félix González-Torres.</t>
  </si>
  <si>
    <t>New York, N.Y. : New Museum of Contemporary Art ; Cambridge, Mass. : MIT Press, c1990.</t>
  </si>
  <si>
    <t>Documentary sources in contemporary art ; v. 4</t>
  </si>
  <si>
    <t>2006-10-09</t>
  </si>
  <si>
    <t>2003-09-15</t>
  </si>
  <si>
    <t>787076810:eng</t>
  </si>
  <si>
    <t>21162781</t>
  </si>
  <si>
    <t>991004123059702656</t>
  </si>
  <si>
    <t>2258451510002656</t>
  </si>
  <si>
    <t>9780262061322</t>
  </si>
  <si>
    <t>32285004783113</t>
  </si>
  <si>
    <t>893806682</t>
  </si>
  <si>
    <t>NX212 .P47</t>
  </si>
  <si>
    <t>0                      NX 0212000P  47</t>
  </si>
  <si>
    <t>Performance in postmodern culture / edited by Michel Benamou, Charles Caramello ; essays by Cheryl Bernstein ... [et al.].</t>
  </si>
  <si>
    <t>[Milwaukee] : Center for Twentieth Century Studies, University of Wisconsin-Milwaukee, 1977.</t>
  </si>
  <si>
    <t>Theories of contemporary culture ; 1</t>
  </si>
  <si>
    <t>10534055:eng</t>
  </si>
  <si>
    <t>3481114</t>
  </si>
  <si>
    <t>991004445059702656</t>
  </si>
  <si>
    <t>2264419950002656</t>
  </si>
  <si>
    <t>9780930956004</t>
  </si>
  <si>
    <t>32285001716801</t>
  </si>
  <si>
    <t>893229377</t>
  </si>
  <si>
    <t>NX22.N33 S84</t>
  </si>
  <si>
    <t>0                      NX 0022000N  33                 S  84</t>
  </si>
  <si>
    <t>Twigs for an eagle's nest : government and the arts, 1965-1978 / Michael Straight.</t>
  </si>
  <si>
    <t>Straight, Michael Whitney.</t>
  </si>
  <si>
    <t>New York : Devon Press, 1979.</t>
  </si>
  <si>
    <t>His In great decades ; 4</t>
  </si>
  <si>
    <t>1993-04-06</t>
  </si>
  <si>
    <t>198604585:eng</t>
  </si>
  <si>
    <t>5264750</t>
  </si>
  <si>
    <t>991004809099702656</t>
  </si>
  <si>
    <t>2259106050002656</t>
  </si>
  <si>
    <t>9780934160049</t>
  </si>
  <si>
    <t>32285000943653</t>
  </si>
  <si>
    <t>893532833</t>
  </si>
  <si>
    <t>NX280 .A77</t>
  </si>
  <si>
    <t>0                      NX 0280000A  77</t>
  </si>
  <si>
    <t>The Arts, cognition and basic skills : based on a conference held at Aspen, Colorado, June 19-25, 1977 / co-sponsored by CEMREL, inc., and the Education Program of The Aspen Institute for Humanistic Studies, with support from The National Institute of Education ; Stanley S. Madeja, editor.</t>
  </si>
  <si>
    <t>St. Louis : CEMREL, inc., c1978.</t>
  </si>
  <si>
    <t>mou</t>
  </si>
  <si>
    <t>Yearbook on research in arts and aesthetic education ; 2</t>
  </si>
  <si>
    <t>362449348:eng</t>
  </si>
  <si>
    <t>4142425</t>
  </si>
  <si>
    <t>991004596589702656</t>
  </si>
  <si>
    <t>2263662510002656</t>
  </si>
  <si>
    <t>32285001716835</t>
  </si>
  <si>
    <t>893901414</t>
  </si>
  <si>
    <t>NX280 .C28 1990</t>
  </si>
  <si>
    <t>0                      NX 0280000C  28          1990</t>
  </si>
  <si>
    <t>Arts in education : the making of a grass blade / Barbara Carlisle, author.</t>
  </si>
  <si>
    <t>Carlisle, Barbara.</t>
  </si>
  <si>
    <t>Battle Creek, Mich. : Published by the W.K. Kellogg Foundation, 1990.</t>
  </si>
  <si>
    <t>2000-12-06</t>
  </si>
  <si>
    <t>1990-05-17</t>
  </si>
  <si>
    <t>992388409:eng</t>
  </si>
  <si>
    <t>22386608</t>
  </si>
  <si>
    <t>991001689639702656</t>
  </si>
  <si>
    <t>2256707440002656</t>
  </si>
  <si>
    <t>32285000137389</t>
  </si>
  <si>
    <t>893721115</t>
  </si>
  <si>
    <t>NX280 .D35 1994</t>
  </si>
  <si>
    <t>0                      NX 0280000D  35          1994</t>
  </si>
  <si>
    <t>Dance, music, theatre, visual arts : what every young American should know and be able to do in the arts : National standards for arts education / developed by the Consortium of National Arts Education Associations.</t>
  </si>
  <si>
    <t>National standards for arts education.</t>
  </si>
  <si>
    <t>Reston, Va. : Music Educators National Conference, c1994.</t>
  </si>
  <si>
    <t>vau</t>
  </si>
  <si>
    <t>1997-11-05</t>
  </si>
  <si>
    <t>55819160:eng</t>
  </si>
  <si>
    <t>30413886</t>
  </si>
  <si>
    <t>991002337029702656</t>
  </si>
  <si>
    <t>2265381280002656</t>
  </si>
  <si>
    <t>9781565450363</t>
  </si>
  <si>
    <t>32285003276143</t>
  </si>
  <si>
    <t>893510611</t>
  </si>
  <si>
    <t>NX280 .E3</t>
  </si>
  <si>
    <t>0                      NX 0280000E  3</t>
  </si>
  <si>
    <t>The role of the fine arts in education.</t>
  </si>
  <si>
    <t>Educational Policies Commission.</t>
  </si>
  <si>
    <t>1435410:eng</t>
  </si>
  <si>
    <t>451391</t>
  </si>
  <si>
    <t>991002808149702656</t>
  </si>
  <si>
    <t>2261181220002656</t>
  </si>
  <si>
    <t>32285003048401</t>
  </si>
  <si>
    <t>893341879</t>
  </si>
  <si>
    <t>NX280 .T417 1990</t>
  </si>
  <si>
    <t>0                      NX 0280000T  417         1990</t>
  </si>
  <si>
    <t>Teaching literature and other arts / edited by Jean-Pierre Barricelli, Joseph Gibaldi, and Estella Lauter.</t>
  </si>
  <si>
    <t>New York : Modern Language Association of America, 1990.</t>
  </si>
  <si>
    <t>Options for teaching ; 10</t>
  </si>
  <si>
    <t>365542344:eng</t>
  </si>
  <si>
    <t>20824321</t>
  </si>
  <si>
    <t>991005043779702656</t>
  </si>
  <si>
    <t>2260050690002656</t>
  </si>
  <si>
    <t>9780873523646</t>
  </si>
  <si>
    <t>32285005281299</t>
  </si>
  <si>
    <t>893606737</t>
  </si>
  <si>
    <t>NX303 .A73 1988</t>
  </si>
  <si>
    <t>0                      NX 0303000A  73          1988</t>
  </si>
  <si>
    <t>Arts education beyond the classroom / edited by Judith H. Balfe and Joni Cherbo Heine.</t>
  </si>
  <si>
    <t>New York, N.Y. : ACA Books, c1988.</t>
  </si>
  <si>
    <t>ACA arts research seminar series ; 2</t>
  </si>
  <si>
    <t>475778543:eng</t>
  </si>
  <si>
    <t>18325271</t>
  </si>
  <si>
    <t>991001332209702656</t>
  </si>
  <si>
    <t>2259346610002656</t>
  </si>
  <si>
    <t>9780915400720</t>
  </si>
  <si>
    <t>32285001716850</t>
  </si>
  <si>
    <t>893522503</t>
  </si>
  <si>
    <t>NX303 .S7 1988</t>
  </si>
  <si>
    <t>0                      NX 0303000S  7           1988</t>
  </si>
  <si>
    <t>Arts in schools, state by state / [compiled and edited by Daniel V. Steinel].</t>
  </si>
  <si>
    <t>Steinel, Daniel V.</t>
  </si>
  <si>
    <t>Reston, VA : Music Educators National Conference, c1988.</t>
  </si>
  <si>
    <t>1996-11-01</t>
  </si>
  <si>
    <t>1908994784:eng</t>
  </si>
  <si>
    <t>19027367</t>
  </si>
  <si>
    <t>991001426169702656</t>
  </si>
  <si>
    <t>2270408260002656</t>
  </si>
  <si>
    <t>32285002370723</t>
  </si>
  <si>
    <t>893256238</t>
  </si>
  <si>
    <t>NX448.5 .H87 1985</t>
  </si>
  <si>
    <t>0                      NX 0448500H  87          1985</t>
  </si>
  <si>
    <t>The art and culture of early Greece, 1100-480 B.C. / Jeffrey M. Hurwit.</t>
  </si>
  <si>
    <t>Hurwit, Jeffrey M., 1949-</t>
  </si>
  <si>
    <t>Ithaca : Cornell University Press, 1985.</t>
  </si>
  <si>
    <t>2002-05-23</t>
  </si>
  <si>
    <t>4600119:eng</t>
  </si>
  <si>
    <t>11783172</t>
  </si>
  <si>
    <t>991000588489702656</t>
  </si>
  <si>
    <t>2255337720002656</t>
  </si>
  <si>
    <t>9780801417672</t>
  </si>
  <si>
    <t>32285001716918</t>
  </si>
  <si>
    <t>893315074</t>
  </si>
  <si>
    <t>NX449 .N5 1983</t>
  </si>
  <si>
    <t>0                      NX 0449000N  5           1983</t>
  </si>
  <si>
    <t>Romanesque signs : early medieval narrative and iconography / Stephen G. Nichols, Jr.</t>
  </si>
  <si>
    <t>Nichols, Stephen G.</t>
  </si>
  <si>
    <t>New Haven, Conn. : Yale University Press, c1983.</t>
  </si>
  <si>
    <t>1999-03-15</t>
  </si>
  <si>
    <t>863762753:eng</t>
  </si>
  <si>
    <t>8666773</t>
  </si>
  <si>
    <t>991000042529702656</t>
  </si>
  <si>
    <t>2272438810002656</t>
  </si>
  <si>
    <t>9780300028331</t>
  </si>
  <si>
    <t>32285001716926</t>
  </si>
  <si>
    <t>893508452</t>
  </si>
  <si>
    <t>NX449.7.G68 D38 1999</t>
  </si>
  <si>
    <t>0                      NX 0449700G  68                 D  38          1999</t>
  </si>
  <si>
    <t>Gothic : four hundred years of excess, horror, evil, and ruin / Richard Davenport-Hines.</t>
  </si>
  <si>
    <t>Davenport-Hines, R. P. T. (Richard Peter Treadwell), 1953-</t>
  </si>
  <si>
    <t>New York : North Point Press, 1999.</t>
  </si>
  <si>
    <t>1st North Point Press ed.</t>
  </si>
  <si>
    <t>2006-12-06</t>
  </si>
  <si>
    <t>1999-08-12</t>
  </si>
  <si>
    <t>26041640:eng</t>
  </si>
  <si>
    <t>39811751</t>
  </si>
  <si>
    <t>991002972439702656</t>
  </si>
  <si>
    <t>2269883650002656</t>
  </si>
  <si>
    <t>9780865475441</t>
  </si>
  <si>
    <t>32285003581609</t>
  </si>
  <si>
    <t>893498787</t>
  </si>
  <si>
    <t>NX450.5 .G67</t>
  </si>
  <si>
    <t>0                      NX 0450500G  67</t>
  </si>
  <si>
    <t>The Renaissance imagination : essays and lectures / by D. J. Gordon ; collected and edited by Stephen Orgel.</t>
  </si>
  <si>
    <t>Gordon, D. J. (Donald James)</t>
  </si>
  <si>
    <t>Berkeley : University of California Press, c1975.</t>
  </si>
  <si>
    <t>2002-04-16</t>
  </si>
  <si>
    <t>4213524:eng</t>
  </si>
  <si>
    <t>2183784</t>
  </si>
  <si>
    <t>991004039479702656</t>
  </si>
  <si>
    <t>2261781840002656</t>
  </si>
  <si>
    <t>9780520028173</t>
  </si>
  <si>
    <t>32285003048450</t>
  </si>
  <si>
    <t>893506297</t>
  </si>
  <si>
    <t>NX450.5 .P37 1980</t>
  </si>
  <si>
    <t>0                      NX 0450500P  37          1980</t>
  </si>
  <si>
    <t>The Renaissance : studies in art and poetry : the 1893 text / Walter Pater ; edited, with textual and explanatory notes, by Donald L. Hill.</t>
  </si>
  <si>
    <t>Pater, Walter, 1839-1894.</t>
  </si>
  <si>
    <t>2004-11-06</t>
  </si>
  <si>
    <t>4915291509:eng</t>
  </si>
  <si>
    <t>6301220</t>
  </si>
  <si>
    <t>991004959159702656</t>
  </si>
  <si>
    <t>2270028120002656</t>
  </si>
  <si>
    <t>9780520033252</t>
  </si>
  <si>
    <t>32285001716934</t>
  </si>
  <si>
    <t>893722674</t>
  </si>
  <si>
    <t>NX450.6.M3 H3813 1986</t>
  </si>
  <si>
    <t>0                      NX 0450600M  3                  H  3813        1986</t>
  </si>
  <si>
    <t>Mannerism : the crisis of the Renaissance and the origin of modern art / Arnold Hauser ; [translated in collaboration with the author by Eric Mosbacher].</t>
  </si>
  <si>
    <t>Hauser, Arnold, 1892-1978.</t>
  </si>
  <si>
    <t>Cambridge, Mass. : Belknap Press of Harvard University Press, [1986], c1965.</t>
  </si>
  <si>
    <t>2008-10-12</t>
  </si>
  <si>
    <t>1992-12-18</t>
  </si>
  <si>
    <t>2542135254:eng</t>
  </si>
  <si>
    <t>12751818</t>
  </si>
  <si>
    <t>991000734059702656</t>
  </si>
  <si>
    <t>2269116850002656</t>
  </si>
  <si>
    <t>9780674548152</t>
  </si>
  <si>
    <t>32285001444677</t>
  </si>
  <si>
    <t>893878316</t>
  </si>
  <si>
    <t>NX452.5.N4 P3 1983</t>
  </si>
  <si>
    <t>0                      NX 0452500N  4                  P  3           1983</t>
  </si>
  <si>
    <t>Representations of revolution, 1789-1820 / Ronald Paulson.</t>
  </si>
  <si>
    <t>Paulson, Ronald.</t>
  </si>
  <si>
    <t>New Haven [Conn.] : Yale University Press, c1983.</t>
  </si>
  <si>
    <t>2003-02-28</t>
  </si>
  <si>
    <t>10035986:eng</t>
  </si>
  <si>
    <t>8627547</t>
  </si>
  <si>
    <t>991000035769702656</t>
  </si>
  <si>
    <t>2261703150002656</t>
  </si>
  <si>
    <t>9780300028645</t>
  </si>
  <si>
    <t>32285001716942</t>
  </si>
  <si>
    <t>893695523</t>
  </si>
  <si>
    <t>NX454.5.M63 M6 1986</t>
  </si>
  <si>
    <t>0                      NX 0454500M  63                 M  6           1986</t>
  </si>
  <si>
    <t>Modernism : challenges and perspectives / edited by Monique Chefdor, Ricardo Quinones and Albert Wachtel.</t>
  </si>
  <si>
    <t>Urbana : University of Illinois Press, c1986.</t>
  </si>
  <si>
    <t>1996-10-01</t>
  </si>
  <si>
    <t>1990-03-29</t>
  </si>
  <si>
    <t>452680830:eng</t>
  </si>
  <si>
    <t>11261350</t>
  </si>
  <si>
    <t>991000513359702656</t>
  </si>
  <si>
    <t>2265562750002656</t>
  </si>
  <si>
    <t>9780252012075</t>
  </si>
  <si>
    <t>32285000107333</t>
  </si>
  <si>
    <t>893878099</t>
  </si>
  <si>
    <t>NX454.5.R6 R67 1984</t>
  </si>
  <si>
    <t>0                      NX 0454500R  6                  R  67          1984</t>
  </si>
  <si>
    <t>Romanticism and realism : the mythology of nineteenth-century art / Charles Rosen and Henri Zerner.</t>
  </si>
  <si>
    <t>Rosen, Charles, 1927-2012.</t>
  </si>
  <si>
    <t>New York : Viking Press, 1984.</t>
  </si>
  <si>
    <t>2007-04-20</t>
  </si>
  <si>
    <t>1993-01-19</t>
  </si>
  <si>
    <t>4451798882:eng</t>
  </si>
  <si>
    <t>9646424</t>
  </si>
  <si>
    <t>991000234529702656</t>
  </si>
  <si>
    <t>2268963540002656</t>
  </si>
  <si>
    <t>9780670548170</t>
  </si>
  <si>
    <t>32285001476588</t>
  </si>
  <si>
    <t>893589292</t>
  </si>
  <si>
    <t>NX456 .A76 1991</t>
  </si>
  <si>
    <t>0                      NX 0456000A  76          1991</t>
  </si>
  <si>
    <t>The Arts : a history of expression in the 20th century / edited by Ronald Tamplin.</t>
  </si>
  <si>
    <t>Oxford ; New York : Oxford University Press, 1991.</t>
  </si>
  <si>
    <t>1993-09-19</t>
  </si>
  <si>
    <t>1991-10-24</t>
  </si>
  <si>
    <t>836838788:eng</t>
  </si>
  <si>
    <t>23861182</t>
  </si>
  <si>
    <t>991001889909702656</t>
  </si>
  <si>
    <t>2271841700002656</t>
  </si>
  <si>
    <t>9780195208528</t>
  </si>
  <si>
    <t>32285000728260</t>
  </si>
  <si>
    <t>893340787</t>
  </si>
  <si>
    <t>NX456 .B38</t>
  </si>
  <si>
    <t>0                      NX 0456000B  38</t>
  </si>
  <si>
    <t>The use and abuse of art.</t>
  </si>
  <si>
    <t>Barzun, Jacques, 1907-2012.</t>
  </si>
  <si>
    <t>[Princeton, N.J.] : Princeton University Press, [1974]</t>
  </si>
  <si>
    <t>Bollingen series, 35. The A. W. Mellon lectures in the fine arts, 22</t>
  </si>
  <si>
    <t>2004-11-20</t>
  </si>
  <si>
    <t>440809:eng</t>
  </si>
  <si>
    <t>800578</t>
  </si>
  <si>
    <t>991003276569702656</t>
  </si>
  <si>
    <t>2266983670002656</t>
  </si>
  <si>
    <t>9780691099033</t>
  </si>
  <si>
    <t>32285003048492</t>
  </si>
  <si>
    <t>893793479</t>
  </si>
  <si>
    <t>NX456 .G265 2000</t>
  </si>
  <si>
    <t>0                      NX 0456000G  265         2000</t>
  </si>
  <si>
    <t>Making choices : 1929, 1939, 1948, 1955 / Peter Galassi, Robert Storr, Anne Umland.</t>
  </si>
  <si>
    <t>Galassi, Peter.</t>
  </si>
  <si>
    <t>New York : Museum of Modern Art : Distributed by Harry N. Abrams, 2000.</t>
  </si>
  <si>
    <t>2008-10-23</t>
  </si>
  <si>
    <t>33863157:eng</t>
  </si>
  <si>
    <t>44096809</t>
  </si>
  <si>
    <t>991004525419702656</t>
  </si>
  <si>
    <t>2269645890002656</t>
  </si>
  <si>
    <t>9780810962132</t>
  </si>
  <si>
    <t>32285005033112</t>
  </si>
  <si>
    <t>893794961</t>
  </si>
  <si>
    <t>NX456 .S58 1981</t>
  </si>
  <si>
    <t>0                      NX 0456000S  58          1981</t>
  </si>
  <si>
    <t>Under the sign of Saturn / Susan Sontag.</t>
  </si>
  <si>
    <t>Sontag, Susan, 1933-2004.</t>
  </si>
  <si>
    <t>New York : Vintage Books, 1981, c1980.</t>
  </si>
  <si>
    <t>1st Vintage Books ed.</t>
  </si>
  <si>
    <t>2003-09-23</t>
  </si>
  <si>
    <t>48254000:eng</t>
  </si>
  <si>
    <t>7459464</t>
  </si>
  <si>
    <t>991004130639702656</t>
  </si>
  <si>
    <t>2255249630002656</t>
  </si>
  <si>
    <t>9780394747422</t>
  </si>
  <si>
    <t>32285004784350</t>
  </si>
  <si>
    <t>893263108</t>
  </si>
  <si>
    <t>NX456.5.A66 M67 2000</t>
  </si>
  <si>
    <t>0                      NX 0456500A  66                 M  67          2000</t>
  </si>
  <si>
    <t>Encounters : new art from old / Richard Morphet ; introduction by Robert Rosenblum ; contributions by Judith Bumpus ... [et al.].</t>
  </si>
  <si>
    <t>Morphet, Richard.</t>
  </si>
  <si>
    <t>London : National Gallery Co., c2000.</t>
  </si>
  <si>
    <t>2005-03-02</t>
  </si>
  <si>
    <t>836984443:eng</t>
  </si>
  <si>
    <t>43879151</t>
  </si>
  <si>
    <t>991003782149702656</t>
  </si>
  <si>
    <t>2270410890002656</t>
  </si>
  <si>
    <t>9780300084818</t>
  </si>
  <si>
    <t>32285004479043</t>
  </si>
  <si>
    <t>893627770</t>
  </si>
  <si>
    <t>NX456.5.D3 D32513 1990</t>
  </si>
  <si>
    <t>0                      NX 0456500D  3                  D  32513       1990</t>
  </si>
  <si>
    <t>The Dada movement, 1915-1923 / Marc Dachy.</t>
  </si>
  <si>
    <t>Dachy, Marc.</t>
  </si>
  <si>
    <t>Geneva : Skira ; New York : Rizzoli, 1990.</t>
  </si>
  <si>
    <t xml:space="preserve">sw </t>
  </si>
  <si>
    <t>1999-03-22</t>
  </si>
  <si>
    <t>22708484:eng</t>
  </si>
  <si>
    <t>20593701</t>
  </si>
  <si>
    <t>991001592249702656</t>
  </si>
  <si>
    <t>2267027430002656</t>
  </si>
  <si>
    <t>9780847811106</t>
  </si>
  <si>
    <t>32285000656156</t>
  </si>
  <si>
    <t>893432939</t>
  </si>
  <si>
    <t>NX456.5.E9 E86 1993</t>
  </si>
  <si>
    <t>0                      NX 0456500E  9                  E  86          1993</t>
  </si>
  <si>
    <t>Expressionism reassessed / Shulamith Behr, David Fanning, Douglas Jarman, editors.</t>
  </si>
  <si>
    <t>Manchester [England] ; New York : Manchester University Press; New York, NY, USA: Distributed exclusively in the USA and Canada by St. Martin's Press, c1993.</t>
  </si>
  <si>
    <t>2006-03-15</t>
  </si>
  <si>
    <t>1996-03-18</t>
  </si>
  <si>
    <t>365483028:eng</t>
  </si>
  <si>
    <t>27338847</t>
  </si>
  <si>
    <t>991002132599702656</t>
  </si>
  <si>
    <t>2271644570002656</t>
  </si>
  <si>
    <t>9780719038433</t>
  </si>
  <si>
    <t>32285002144045</t>
  </si>
  <si>
    <t>893866832</t>
  </si>
  <si>
    <t>NX456.5.M64 W5 1989</t>
  </si>
  <si>
    <t>0                      NX 0456500M  64                 W  5           1989</t>
  </si>
  <si>
    <t>The politics of modernism : against the new conformists / Raymond Williams ; edited and introduced by Tony Pinkney.</t>
  </si>
  <si>
    <t>Williams, Raymond.</t>
  </si>
  <si>
    <t>London [England] ; New York : Verso, 1989.</t>
  </si>
  <si>
    <t>1999-11-15</t>
  </si>
  <si>
    <t>1991-06-04</t>
  </si>
  <si>
    <t>21199888:eng</t>
  </si>
  <si>
    <t>19456727</t>
  </si>
  <si>
    <t>991001462459702656</t>
  </si>
  <si>
    <t>2270005910002656</t>
  </si>
  <si>
    <t>9780860919551</t>
  </si>
  <si>
    <t>32285000592542</t>
  </si>
  <si>
    <t>893426616</t>
  </si>
  <si>
    <t>NX456.5.P66 B87 1986</t>
  </si>
  <si>
    <t>0                      NX 0456500P  66                 B  87          1986</t>
  </si>
  <si>
    <t>The end of art theory : criticism and postmodernity / Victor Burgin.</t>
  </si>
  <si>
    <t>Burgin, Victor.</t>
  </si>
  <si>
    <t>Atlantic Highlands, NJ : Humanities Press International, 1986.</t>
  </si>
  <si>
    <t>2001-04-17</t>
  </si>
  <si>
    <t>197481239:eng</t>
  </si>
  <si>
    <t>13327823</t>
  </si>
  <si>
    <t>991000808139702656</t>
  </si>
  <si>
    <t>2259116100002656</t>
  </si>
  <si>
    <t>9780391034310</t>
  </si>
  <si>
    <t>32285001127553</t>
  </si>
  <si>
    <t>893225330</t>
  </si>
  <si>
    <t>NX456.5.P66 D57 1990</t>
  </si>
  <si>
    <t>0                      NX 0456500P  66                 D  57          1990</t>
  </si>
  <si>
    <t>Discourses : conversations in postmodern art and culture / edited by Russell Ferguson ... [et al.] ; foreword by Marcia Tucker ; a photographic sketchbook by John Baldessari.</t>
  </si>
  <si>
    <t>New York : New Museum of Contemporary Art ; Cambridge, Mass. : MIT Press, c1990.</t>
  </si>
  <si>
    <t>Documentary sources in contemporary art ; v. 3</t>
  </si>
  <si>
    <t>1993-01-07</t>
  </si>
  <si>
    <t>1991-06-20</t>
  </si>
  <si>
    <t>836779793:eng</t>
  </si>
  <si>
    <t>21078500</t>
  </si>
  <si>
    <t>991001649209702656</t>
  </si>
  <si>
    <t>2272411050002656</t>
  </si>
  <si>
    <t>9780262061254</t>
  </si>
  <si>
    <t>32285000657857</t>
  </si>
  <si>
    <t>893497249</t>
  </si>
  <si>
    <t>NX456.5.P66 F67 1985</t>
  </si>
  <si>
    <t>0                      NX 0456500P  66                 F  67          1985</t>
  </si>
  <si>
    <t>Recodings : art, spectacle, cultural politics / Hal Foster.</t>
  </si>
  <si>
    <t>Foster, Hal.</t>
  </si>
  <si>
    <t>Port Townsend, Wash. : Bay Press, c1985.</t>
  </si>
  <si>
    <t>1996-08-26</t>
  </si>
  <si>
    <t>1994-01-07</t>
  </si>
  <si>
    <t>5432170:eng</t>
  </si>
  <si>
    <t>12667099</t>
  </si>
  <si>
    <t>991000721679702656</t>
  </si>
  <si>
    <t>2262759270002656</t>
  </si>
  <si>
    <t>9780941920032</t>
  </si>
  <si>
    <t>32285001829000</t>
  </si>
  <si>
    <t>893897154</t>
  </si>
  <si>
    <t>NX456.5.P66 G34 1989</t>
  </si>
  <si>
    <t>0                      NX 0456500P  66                 G  34          1989</t>
  </si>
  <si>
    <t>Modern/postmodern : a study in twentieth-century arts and ideas / Silvio Gaggi.</t>
  </si>
  <si>
    <t>Philadelphia : University of Pennsylvania Press, c1989.</t>
  </si>
  <si>
    <t>1990-08-01</t>
  </si>
  <si>
    <t>865160846:eng</t>
  </si>
  <si>
    <t>18832884</t>
  </si>
  <si>
    <t>991001401859702656</t>
  </si>
  <si>
    <t>2259182840002656</t>
  </si>
  <si>
    <t>9780812281545</t>
  </si>
  <si>
    <t>32285000241199</t>
  </si>
  <si>
    <t>893503388</t>
  </si>
  <si>
    <t>NX456.5.P66 K75 1986</t>
  </si>
  <si>
    <t>0                      NX 0456500P  66                 K  75          1986</t>
  </si>
  <si>
    <t>The postmodern scene : excremental culture and hyper-aesthetics / Arthur Kroker, David Cook.</t>
  </si>
  <si>
    <t>Kroker, Arthur, 1945-</t>
  </si>
  <si>
    <t>New York : St. Martin's Press, 1986.</t>
  </si>
  <si>
    <t>1992-11-28</t>
  </si>
  <si>
    <t>1990-07-11</t>
  </si>
  <si>
    <t>7212696:eng</t>
  </si>
  <si>
    <t>14167041</t>
  </si>
  <si>
    <t>991000914899702656</t>
  </si>
  <si>
    <t>2267456650002656</t>
  </si>
  <si>
    <t>9780312632298</t>
  </si>
  <si>
    <t>32285000235886</t>
  </si>
  <si>
    <t>893340002</t>
  </si>
  <si>
    <t>NX456.5.P66 P66 1985</t>
  </si>
  <si>
    <t>0                      NX 0456500P  66                 P  66          1985</t>
  </si>
  <si>
    <t>The Postmodern moment : a handbook of contemporary innovation in the arts / edited, with an introduction, by Stanley Trachtenberg.</t>
  </si>
  <si>
    <t>Westport, Conn. : Greenwood Press, 1985.</t>
  </si>
  <si>
    <t>Movements in the arts, 8756-890X ; no. 1</t>
  </si>
  <si>
    <t>889806615:eng</t>
  </si>
  <si>
    <t>11812276</t>
  </si>
  <si>
    <t>991000595249702656</t>
  </si>
  <si>
    <t>2259988140002656</t>
  </si>
  <si>
    <t>9780313237867</t>
  </si>
  <si>
    <t>32285000235894</t>
  </si>
  <si>
    <t>893626370</t>
  </si>
  <si>
    <t>NX456.5.P7 T67 1990</t>
  </si>
  <si>
    <t>0                      NX 0456500P  7                  T  67          1990</t>
  </si>
  <si>
    <t>Gone primitive : savage intellects, modern lives / Marianna Torgovnick.</t>
  </si>
  <si>
    <t>Torgovnick, Marianna, 1949-</t>
  </si>
  <si>
    <t>Chicago : University of Chicago Press, 1990.</t>
  </si>
  <si>
    <t>2008-10-26</t>
  </si>
  <si>
    <t>1991-08-06</t>
  </si>
  <si>
    <t>22239657:eng</t>
  </si>
  <si>
    <t>20417770</t>
  </si>
  <si>
    <t>991001573589702656</t>
  </si>
  <si>
    <t>2263068090002656</t>
  </si>
  <si>
    <t>9780226808314</t>
  </si>
  <si>
    <t>32285000663939</t>
  </si>
  <si>
    <t>893432931</t>
  </si>
  <si>
    <t>NX456.5.S8 R33 2002</t>
  </si>
  <si>
    <t>0                      NX 0456500S  8                  R  33          2002</t>
  </si>
  <si>
    <t>Surrealism and the sacred : power, eros, and the occult in modern art / Celia Rabinovitch.</t>
  </si>
  <si>
    <t>Rabinovitch, Celia.</t>
  </si>
  <si>
    <t>Boulder, Colo. : Icon Editions, Westview Press, 2002.</t>
  </si>
  <si>
    <t>cou</t>
  </si>
  <si>
    <t>2008-11-23</t>
  </si>
  <si>
    <t>2002-09-18</t>
  </si>
  <si>
    <t>707071:eng</t>
  </si>
  <si>
    <t>49225393</t>
  </si>
  <si>
    <t>991003863759702656</t>
  </si>
  <si>
    <t>2265740150002656</t>
  </si>
  <si>
    <t>9780813365572</t>
  </si>
  <si>
    <t>32285004647821</t>
  </si>
  <si>
    <t>893258980</t>
  </si>
  <si>
    <t>NX503.5 .S54 1976</t>
  </si>
  <si>
    <t>0                      NX 0503500S  54          1976</t>
  </si>
  <si>
    <t>A cultural history of the American Revolution : painting, music, literature, and the theatre in the Colonies and the United States from the Treaty of Paris to the Inauguration of George Washington, 1763-1789 / Kenneth Silverman.</t>
  </si>
  <si>
    <t>Silverman, Kenneth.</t>
  </si>
  <si>
    <t>New York : T. Y. Crowell, c1976.</t>
  </si>
  <si>
    <t>1994-02-21</t>
  </si>
  <si>
    <t>2631019:eng</t>
  </si>
  <si>
    <t>1858539</t>
  </si>
  <si>
    <t>991003915209702656</t>
  </si>
  <si>
    <t>2266932740002656</t>
  </si>
  <si>
    <t>9780690010794</t>
  </si>
  <si>
    <t>32285001717031</t>
  </si>
  <si>
    <t>893525421</t>
  </si>
  <si>
    <t>NX503.7 .V36 1989</t>
  </si>
  <si>
    <t>0                      NX 0503700V  36          1989</t>
  </si>
  <si>
    <t>America's Rome / William L. Vance.</t>
  </si>
  <si>
    <t>Vance, William L.</t>
  </si>
  <si>
    <t>New Haven : Yale University Press, c1989.</t>
  </si>
  <si>
    <t>1993-04-21</t>
  </si>
  <si>
    <t>1989-10-23</t>
  </si>
  <si>
    <t>5534229597:eng</t>
  </si>
  <si>
    <t>18322284</t>
  </si>
  <si>
    <t>991001330569702656</t>
  </si>
  <si>
    <t>2255265010002656</t>
  </si>
  <si>
    <t>9780300044539</t>
  </si>
  <si>
    <t>32285000004563</t>
  </si>
  <si>
    <t>893891497</t>
  </si>
  <si>
    <t>32285000004555</t>
  </si>
  <si>
    <t>893891498</t>
  </si>
  <si>
    <t>NX504 .A5</t>
  </si>
  <si>
    <t>0                      NX 0504000A  5</t>
  </si>
  <si>
    <t>Here the country lies : nationalism and the arts in twentieth-century America / by Charles C. Alexander.</t>
  </si>
  <si>
    <t>Alexander, Charles C.</t>
  </si>
  <si>
    <t>Bloomington, Ind. : Indiana University Press, c1980.</t>
  </si>
  <si>
    <t>inu</t>
  </si>
  <si>
    <t>1992-03-21</t>
  </si>
  <si>
    <t>890265041:eng</t>
  </si>
  <si>
    <t>6200015</t>
  </si>
  <si>
    <t>991004944969702656</t>
  </si>
  <si>
    <t>2262025640002656</t>
  </si>
  <si>
    <t>9780253155443</t>
  </si>
  <si>
    <t>32285000885532</t>
  </si>
  <si>
    <t>893895660</t>
  </si>
  <si>
    <t>NX504 .A87 1979</t>
  </si>
  <si>
    <t>0                      NX 0504000A  87          1979</t>
  </si>
  <si>
    <t>The New York school : a cultural reckoning / by Dore Ashton.</t>
  </si>
  <si>
    <t>Ashton, Dore.</t>
  </si>
  <si>
    <t>Harmondsworth, Eng. ; New York : Penguin Books, 1979, c1972.</t>
  </si>
  <si>
    <t>1996-04-03</t>
  </si>
  <si>
    <t>412826:eng</t>
  </si>
  <si>
    <t>4775695</t>
  </si>
  <si>
    <t>991004715009702656</t>
  </si>
  <si>
    <t>2255446280002656</t>
  </si>
  <si>
    <t>9780140052633</t>
  </si>
  <si>
    <t>32285001717056</t>
  </si>
  <si>
    <t>893688051</t>
  </si>
  <si>
    <t>NX504 .I53 1977</t>
  </si>
  <si>
    <t>0                      NX 0504000I  53          1977</t>
  </si>
  <si>
    <t>Individuals : post-movement art in America / edited by Alan Sondheim.</t>
  </si>
  <si>
    <t>New York : Dutton, c1977.</t>
  </si>
  <si>
    <t>890699958:eng</t>
  </si>
  <si>
    <t>2967399</t>
  </si>
  <si>
    <t>991004299229702656</t>
  </si>
  <si>
    <t>2269445430002656</t>
  </si>
  <si>
    <t>9780525474289</t>
  </si>
  <si>
    <t>32285001717064</t>
  </si>
  <si>
    <t>893253522</t>
  </si>
  <si>
    <t>NX504 .M44 1991</t>
  </si>
  <si>
    <t>0                      NX 0504000M  44          1991</t>
  </si>
  <si>
    <t>Engendering culture : manhood and womanhood in New Deal public art and theater / Barbara Melosh.</t>
  </si>
  <si>
    <t>Melosh, Barbara.</t>
  </si>
  <si>
    <t>Washington : Smithsonian Institution Press, c1991.</t>
  </si>
  <si>
    <t>New directions in American art</t>
  </si>
  <si>
    <t>1998-04-06</t>
  </si>
  <si>
    <t>1992-09-22</t>
  </si>
  <si>
    <t>836707629:eng</t>
  </si>
  <si>
    <t>21672138</t>
  </si>
  <si>
    <t>991001714539702656</t>
  </si>
  <si>
    <t>2261896950002656</t>
  </si>
  <si>
    <t>9780874747218</t>
  </si>
  <si>
    <t>32285001287969</t>
  </si>
  <si>
    <t>893328319</t>
  </si>
  <si>
    <t>NX504 .N46 1990</t>
  </si>
  <si>
    <t>0                      NX 0504000N  46          1990</t>
  </si>
  <si>
    <t>The New sculpture 1965-75 : between geometry and gesture / organized and edited by Richard Armstrong and Richard Marshall ; with essays by Richard Armstrong, John G. Hanhardt, Robert Pincus-Witten.</t>
  </si>
  <si>
    <t>New York : Whitney Museum of American Art, c1990.</t>
  </si>
  <si>
    <t>2006-03-10</t>
  </si>
  <si>
    <t>889772564:eng</t>
  </si>
  <si>
    <t>20992551</t>
  </si>
  <si>
    <t>991001637439702656</t>
  </si>
  <si>
    <t>2267597560002656</t>
  </si>
  <si>
    <t>9780874270693</t>
  </si>
  <si>
    <t>32285000566462</t>
  </si>
  <si>
    <t>893715565</t>
  </si>
  <si>
    <t>NX504 .R53 2001</t>
  </si>
  <si>
    <t>0                      NX 0504000R  53          2001</t>
  </si>
  <si>
    <t>Sacred monsters, sacred masters : Beaton, Capote, Dalí, Picasso, Freud, Warhol, and more / John Richardson.</t>
  </si>
  <si>
    <t>Richardson, John.</t>
  </si>
  <si>
    <t>New York : Random House, c2001.</t>
  </si>
  <si>
    <t>2002-06-10</t>
  </si>
  <si>
    <t>2002-02-07</t>
  </si>
  <si>
    <t>6162035:eng</t>
  </si>
  <si>
    <t>46791106</t>
  </si>
  <si>
    <t>991003717249702656</t>
  </si>
  <si>
    <t>2267733430002656</t>
  </si>
  <si>
    <t>9780679424901</t>
  </si>
  <si>
    <t>32285004452842</t>
  </si>
  <si>
    <t>893512274</t>
  </si>
  <si>
    <t>NX504 .S66 1990</t>
  </si>
  <si>
    <t>0                      NX 0504000S  66          1990</t>
  </si>
  <si>
    <t>Cage-Cunningham-Johns : dancers on a plane : in memory of their feelings / Susan Sontag [with] Richard Francis ... [et al.].</t>
  </si>
  <si>
    <t>New York : A.A. Knopf in association with A. d'Offay Gallery, 1990.</t>
  </si>
  <si>
    <t>199093959:eng</t>
  </si>
  <si>
    <t>21562257</t>
  </si>
  <si>
    <t>991001705999702656</t>
  </si>
  <si>
    <t>2264477760002656</t>
  </si>
  <si>
    <t>9780394588476</t>
  </si>
  <si>
    <t>32285000574185</t>
  </si>
  <si>
    <t>893903536</t>
  </si>
  <si>
    <t>NX504 .T37</t>
  </si>
  <si>
    <t>0                      NX 0504000T  37</t>
  </si>
  <si>
    <t>Skyscraper primitives : Dada and the American avant-garde, 1910-1925 / by Dickran Tashjian.</t>
  </si>
  <si>
    <t>Tashjian, Dickran, 1940-</t>
  </si>
  <si>
    <t>Middletown, Conn. : Wesleyan University Press, [1975]</t>
  </si>
  <si>
    <t>1993-11-27</t>
  </si>
  <si>
    <t>1990-04-02</t>
  </si>
  <si>
    <t>203273376:eng</t>
  </si>
  <si>
    <t>1104108</t>
  </si>
  <si>
    <t>991003539359702656</t>
  </si>
  <si>
    <t>2256405380002656</t>
  </si>
  <si>
    <t>9780819540812</t>
  </si>
  <si>
    <t>32285000101393</t>
  </si>
  <si>
    <t>893262795</t>
  </si>
  <si>
    <t>NX504.A1 D36 2002</t>
  </si>
  <si>
    <t>0                      NX 0504000A  1                  D  36          2002</t>
  </si>
  <si>
    <t>Headin' for better times : the arts of the great depression / Duane Damon.</t>
  </si>
  <si>
    <t>Damon, Duane.</t>
  </si>
  <si>
    <t>Minneapolis : Lerner Publications Co., c2002.</t>
  </si>
  <si>
    <t>mnu</t>
  </si>
  <si>
    <t>People's history</t>
  </si>
  <si>
    <t>2009-11-10</t>
  </si>
  <si>
    <t>2003-06-16</t>
  </si>
  <si>
    <t>10142619272:eng</t>
  </si>
  <si>
    <t>45387263</t>
  </si>
  <si>
    <t>991004070709702656</t>
  </si>
  <si>
    <t>2258385610002656</t>
  </si>
  <si>
    <t>9780822517412</t>
  </si>
  <si>
    <t>32285004752498</t>
  </si>
  <si>
    <t>893220597</t>
  </si>
  <si>
    <t>NX511.C45 A78 1996b</t>
  </si>
  <si>
    <t>0                      NX 0511000C  45                 A  78          1996b</t>
  </si>
  <si>
    <t>Art in Chicago, 1945-1995 / organized by Lynne Warren ; essays by Jeff Abell ... [et al.] ; with contributions from Monique Meloche and Dominic Molon.</t>
  </si>
  <si>
    <t>New York, N.Y. : Thames and Hudson ; Chicago : Museum of Contemporary Art, 1996.</t>
  </si>
  <si>
    <t>1998-07-22</t>
  </si>
  <si>
    <t>1997-04-16</t>
  </si>
  <si>
    <t>435649342:eng</t>
  </si>
  <si>
    <t>36076230</t>
  </si>
  <si>
    <t>991002749179702656</t>
  </si>
  <si>
    <t>2260890960002656</t>
  </si>
  <si>
    <t>9780500237281</t>
  </si>
  <si>
    <t>32285002497559</t>
  </si>
  <si>
    <t>893780171</t>
  </si>
  <si>
    <t>NX512.3.A35 T95 1992</t>
  </si>
  <si>
    <t>0                      NX 0512300A  35                 T  95          1992</t>
  </si>
  <si>
    <t>From Harlem to Hollywood : the struggle for racial and cultural democracy, 1920-1943 / Bruce M. Tyler.</t>
  </si>
  <si>
    <t>Tyler, Bruce Michael, 1948-</t>
  </si>
  <si>
    <t>New York : Garland, 1992.</t>
  </si>
  <si>
    <t>Critical studies in Black life and culture ; vol. 26</t>
  </si>
  <si>
    <t>1999-02-02</t>
  </si>
  <si>
    <t>1993-10-12</t>
  </si>
  <si>
    <t>141674840:eng</t>
  </si>
  <si>
    <t>24847463</t>
  </si>
  <si>
    <t>991001960859702656</t>
  </si>
  <si>
    <t>2269536840002656</t>
  </si>
  <si>
    <t>9780815308140</t>
  </si>
  <si>
    <t>32285001785970</t>
  </si>
  <si>
    <t>893232417</t>
  </si>
  <si>
    <t>NX512.G66 A35 2000</t>
  </si>
  <si>
    <t>0                      NX 0512000G  66                 A  35          2000</t>
  </si>
  <si>
    <t>Dangerous border crossers : the artist talks back / Guillermo Gomez-Peña.</t>
  </si>
  <si>
    <t>Gómez-Peña, Guillermo.</t>
  </si>
  <si>
    <t>London ; New York : Routledge, 2000.</t>
  </si>
  <si>
    <t>2005-03-22</t>
  </si>
  <si>
    <t>800854590:eng</t>
  </si>
  <si>
    <t>42682576</t>
  </si>
  <si>
    <t>991004499829702656</t>
  </si>
  <si>
    <t>2260415670002656</t>
  </si>
  <si>
    <t>9780415182379</t>
  </si>
  <si>
    <t>32285005044143</t>
  </si>
  <si>
    <t>893331677</t>
  </si>
  <si>
    <t>NX512.M67 B47 1989</t>
  </si>
  <si>
    <t>0                      NX 0512000M  67                 B  47          1989</t>
  </si>
  <si>
    <t>Labyrinths : Robert Morris, minimalism, and the 1960s / Maurice Berger.</t>
  </si>
  <si>
    <t>Berger, Maurice, 1956-2020.</t>
  </si>
  <si>
    <t>New York : Harper &amp; Row, c1989.</t>
  </si>
  <si>
    <t>1993-09-07</t>
  </si>
  <si>
    <t>138668198:eng</t>
  </si>
  <si>
    <t>18814059</t>
  </si>
  <si>
    <t>991001398219702656</t>
  </si>
  <si>
    <t>2265146770002656</t>
  </si>
  <si>
    <t>9780064303842</t>
  </si>
  <si>
    <t>32285000136456</t>
  </si>
  <si>
    <t>893516177</t>
  </si>
  <si>
    <t>NX542 .B88 1994</t>
  </si>
  <si>
    <t>0                      NX 0542000B  88          1994</t>
  </si>
  <si>
    <t>Early modernism : literature music and painting in Europe, 1900-1916 / Christopher Butler.</t>
  </si>
  <si>
    <t>Butler, Christopher.</t>
  </si>
  <si>
    <t>Oxford : Clarendon Press, 1994.</t>
  </si>
  <si>
    <t>2009-02-04</t>
  </si>
  <si>
    <t>2003-02-12</t>
  </si>
  <si>
    <t>889718681:eng</t>
  </si>
  <si>
    <t>28586162</t>
  </si>
  <si>
    <t>991003994349702656</t>
  </si>
  <si>
    <t>2263834240002656</t>
  </si>
  <si>
    <t>9780198117469</t>
  </si>
  <si>
    <t>32285004698352</t>
  </si>
  <si>
    <t>893687227</t>
  </si>
  <si>
    <t>NX542.A1 S68 1997</t>
  </si>
  <si>
    <t>0                      NX 0542000A  1                  S  68          1997</t>
  </si>
  <si>
    <t>Surrealist art and writing, 1919-1939 : the gold of time / Jack J. Spector.</t>
  </si>
  <si>
    <t>Spector, Jack J.</t>
  </si>
  <si>
    <t>Cambridge [England] ; New York : Cambridge University Press, 1997.</t>
  </si>
  <si>
    <t>Contemporary artists and their critics</t>
  </si>
  <si>
    <t>2005-12-04</t>
  </si>
  <si>
    <t>837061867:eng</t>
  </si>
  <si>
    <t>34243399</t>
  </si>
  <si>
    <t>991002612129702656</t>
  </si>
  <si>
    <t>2269577000002656</t>
  </si>
  <si>
    <t>9780521553117</t>
  </si>
  <si>
    <t>32285002410487</t>
  </si>
  <si>
    <t>893873749</t>
  </si>
  <si>
    <t>NX543 .I52</t>
  </si>
  <si>
    <t>0                      NX 0543000I  52</t>
  </si>
  <si>
    <t>Images of Romanticism : verbal and visual affinities / edited by Karl Kroeber and William Walling.</t>
  </si>
  <si>
    <t>New Haven : Yale University Press, 1978.</t>
  </si>
  <si>
    <t>2001-02-13</t>
  </si>
  <si>
    <t>890191620:eng</t>
  </si>
  <si>
    <t>3843195</t>
  </si>
  <si>
    <t>991004525329702656</t>
  </si>
  <si>
    <t>2266395370002656</t>
  </si>
  <si>
    <t>9780300022094</t>
  </si>
  <si>
    <t>32285001717114</t>
  </si>
  <si>
    <t>893788805</t>
  </si>
  <si>
    <t>NX543.A1 M55 1976</t>
  </si>
  <si>
    <t>0                      NX 0543000A  1                  M  55          1976</t>
  </si>
  <si>
    <t>The Mind and art of Victorian England / edited by Josef L. Altholz.</t>
  </si>
  <si>
    <t>Minneapolis : University of Minnesota Press, c1976.</t>
  </si>
  <si>
    <t>2003-09-18</t>
  </si>
  <si>
    <t>480307:eng</t>
  </si>
  <si>
    <t>2462661</t>
  </si>
  <si>
    <t>991004127569702656</t>
  </si>
  <si>
    <t>2267530310002656</t>
  </si>
  <si>
    <t>9780816607723</t>
  </si>
  <si>
    <t>32285003048575</t>
  </si>
  <si>
    <t>893618268</t>
  </si>
  <si>
    <t>NX544.A1 L3</t>
  </si>
  <si>
    <t>0                      NX 0544000A  1                  L  3</t>
  </si>
  <si>
    <t>Victorian types, Victorian shadows : biblical typology in Victorian literature, art, and thought / George P. Landow.</t>
  </si>
  <si>
    <t>Landow, George P.</t>
  </si>
  <si>
    <t>Boston : Routledge &amp; K. Paul, 1980.</t>
  </si>
  <si>
    <t>3622333:eng</t>
  </si>
  <si>
    <t>7031993</t>
  </si>
  <si>
    <t>991005071539702656</t>
  </si>
  <si>
    <t>2254819720002656</t>
  </si>
  <si>
    <t>9780710005984</t>
  </si>
  <si>
    <t>32285001717148</t>
  </si>
  <si>
    <t>893807778</t>
  </si>
  <si>
    <t>NX546.A3 U47 2001</t>
  </si>
  <si>
    <t>0                      NX 0546000A  3                  U  47          2001</t>
  </si>
  <si>
    <t>Stepping stones : the arts in Ulster, 1971-2001 / edited by Mark Carruthers and Stephen Douds.</t>
  </si>
  <si>
    <t>Belfast : Blackstaff, 2001.</t>
  </si>
  <si>
    <t>nik</t>
  </si>
  <si>
    <t>2002-06-20</t>
  </si>
  <si>
    <t>837144783:eng</t>
  </si>
  <si>
    <t>48531944</t>
  </si>
  <si>
    <t>991003774319702656</t>
  </si>
  <si>
    <t>2269953400002656</t>
  </si>
  <si>
    <t>9780856407055</t>
  </si>
  <si>
    <t>32285004493838</t>
  </si>
  <si>
    <t>893410691</t>
  </si>
  <si>
    <t>NX547.6.R67 R53 1983</t>
  </si>
  <si>
    <t>0                      NX 0547600R  67                 R  53          1983</t>
  </si>
  <si>
    <t>Dante Gabriel Rossetti and the limits of Victorian vision / David G. Riede.</t>
  </si>
  <si>
    <t>Riede, David G.</t>
  </si>
  <si>
    <t>Ithaca : Cornell University Press, 1983.</t>
  </si>
  <si>
    <t>1994-04-05</t>
  </si>
  <si>
    <t>42833913:eng</t>
  </si>
  <si>
    <t>9043089</t>
  </si>
  <si>
    <t>991000116969702656</t>
  </si>
  <si>
    <t>2266627870002656</t>
  </si>
  <si>
    <t>9780801415524</t>
  </si>
  <si>
    <t>32285001717171</t>
  </si>
  <si>
    <t>893884130</t>
  </si>
  <si>
    <t>NX548.V53 F63 1982</t>
  </si>
  <si>
    <t>0                      NX 0548000V  53                 F  63          1982</t>
  </si>
  <si>
    <t>Focus on Vienna 1900 : change and continuity in literature, music, art, and intellectual history / edited by Erika Nielsen.</t>
  </si>
  <si>
    <t>München : W. Fink, 1982.</t>
  </si>
  <si>
    <t xml:space="preserve">gw </t>
  </si>
  <si>
    <t>Houston German studies ; 4</t>
  </si>
  <si>
    <t>2006-09-29</t>
  </si>
  <si>
    <t>1992-11-01</t>
  </si>
  <si>
    <t>889589023:eng</t>
  </si>
  <si>
    <t>10914761</t>
  </si>
  <si>
    <t>991000457249702656</t>
  </si>
  <si>
    <t>2255732110002656</t>
  </si>
  <si>
    <t>9783770520923</t>
  </si>
  <si>
    <t>32285001379998</t>
  </si>
  <si>
    <t>893589458</t>
  </si>
  <si>
    <t>NX549.A1 A78 1994</t>
  </si>
  <si>
    <t>0                      NX 0549000A  1                  A  78          1994</t>
  </si>
  <si>
    <t>Artistic relations : literature and the visual arts in nineteenth-century France / edited by Peter Collier and Robert Lethbridge.</t>
  </si>
  <si>
    <t>2008-12-12</t>
  </si>
  <si>
    <t>2003-05-12</t>
  </si>
  <si>
    <t>837067064:eng</t>
  </si>
  <si>
    <t>29956225</t>
  </si>
  <si>
    <t>991004023219702656</t>
  </si>
  <si>
    <t>2261061700002656</t>
  </si>
  <si>
    <t>9780300060096</t>
  </si>
  <si>
    <t>32285004745542</t>
  </si>
  <si>
    <t>893693427</t>
  </si>
  <si>
    <t>NX550.A1 L48 2003</t>
  </si>
  <si>
    <t>0                      NX 0550000A  1                  L  48          2003</t>
  </si>
  <si>
    <t>Art for all? : the collision of modern art and the public in late-nineteenth-century Germany / Beth Irwin Lewis.</t>
  </si>
  <si>
    <t>Lewis, Beth Irwin, 1934-</t>
  </si>
  <si>
    <t>Princeton, N.J. : Princeton University Press, c2003.</t>
  </si>
  <si>
    <t>2006-04-05</t>
  </si>
  <si>
    <t>837144815:eng</t>
  </si>
  <si>
    <t>50155472</t>
  </si>
  <si>
    <t>991004776049702656</t>
  </si>
  <si>
    <t>2270757660002656</t>
  </si>
  <si>
    <t>9780691102641</t>
  </si>
  <si>
    <t>32285005180392</t>
  </si>
  <si>
    <t>893625107</t>
  </si>
  <si>
    <t>NX550.A1 P374 1988</t>
  </si>
  <si>
    <t>0                      NX 0550000A  1                  P  374         1988</t>
  </si>
  <si>
    <t>Passion and rebellion : the expressionist heritage / edited by Stephen Eric Bronner &amp; Douglas Kellner.</t>
  </si>
  <si>
    <t>New York : Columbia University Press, 1988, c1983.</t>
  </si>
  <si>
    <t>Morningside ed.</t>
  </si>
  <si>
    <t>2005-09-06</t>
  </si>
  <si>
    <t>836650556:eng</t>
  </si>
  <si>
    <t>17439133</t>
  </si>
  <si>
    <t>991001217039702656</t>
  </si>
  <si>
    <t>2265733930002656</t>
  </si>
  <si>
    <t>9780231067638</t>
  </si>
  <si>
    <t>32285001717221</t>
  </si>
  <si>
    <t>893797405</t>
  </si>
  <si>
    <t>NX550.A1 S2913 1988</t>
  </si>
  <si>
    <t>0                      NX 0550000A  1                  S  2913        1988</t>
  </si>
  <si>
    <t>The "golden" twenties : art and literature in the Weimar Republic / Bärbel Schrader, Jürgen Schebera.</t>
  </si>
  <si>
    <t>Schrader, Bärbel.</t>
  </si>
  <si>
    <t>1999-02-18</t>
  </si>
  <si>
    <t>1999-01-20</t>
  </si>
  <si>
    <t>17797512:eng</t>
  </si>
  <si>
    <t>18629266</t>
  </si>
  <si>
    <t>991001378129702656</t>
  </si>
  <si>
    <t>2265235510002656</t>
  </si>
  <si>
    <t>9780300041446</t>
  </si>
  <si>
    <t>32285003514303</t>
  </si>
  <si>
    <t>893244094</t>
  </si>
  <si>
    <t>NX550.A1 W48 2001</t>
  </si>
  <si>
    <t>0                      NX 0550000A  1                  W  48          2001</t>
  </si>
  <si>
    <t>The visual arts in Germany, 1890-1937 : utopia and despair / Shearer West.</t>
  </si>
  <si>
    <t>West, Shearer.</t>
  </si>
  <si>
    <t>New Brunswick, N.J. : Rutgers University Press, 2001.</t>
  </si>
  <si>
    <t>2003-04-08</t>
  </si>
  <si>
    <t>839566411:eng</t>
  </si>
  <si>
    <t>44811766</t>
  </si>
  <si>
    <t>991004033769702656</t>
  </si>
  <si>
    <t>2271585890002656</t>
  </si>
  <si>
    <t>9780813529103</t>
  </si>
  <si>
    <t>32285004740246</t>
  </si>
  <si>
    <t>893318724</t>
  </si>
  <si>
    <t>NX556.A1 A93 1980</t>
  </si>
  <si>
    <t>0                      NX 0556000A  1                  A  93          1980</t>
  </si>
  <si>
    <t>The Avant-garde in Russia, 1910-1930 : new perspectives : Los Angeles County Museum of Art [and] Hirshhorn Museum and Sculpture Garden, Smithsonian Institution, Washington, D.C. / organized and edited by Stephanie Barron and Maurice Tuchman.</t>
  </si>
  <si>
    <t>Los Angeles, Calif. : Los Angeles County Museum of Art ; Cambridge, Mass. : distributed by the MIT Press, c1980.</t>
  </si>
  <si>
    <t>2001-04-24</t>
  </si>
  <si>
    <t>2290024092:eng</t>
  </si>
  <si>
    <t>6305106</t>
  </si>
  <si>
    <t>991004961159702656</t>
  </si>
  <si>
    <t>2259035190002656</t>
  </si>
  <si>
    <t>9780262200400</t>
  </si>
  <si>
    <t>32285001717247</t>
  </si>
  <si>
    <t>893707059</t>
  </si>
  <si>
    <t>NX556.A1 H6 1970</t>
  </si>
  <si>
    <t>0                      NX 0556000A  1                  H  6           1970</t>
  </si>
  <si>
    <t>The Horizon book of the arts of Russia, by the editors of Horizon magazine. Editor: Thomas Froncek. Introductory essay by James H. Billington. Consultant: S. Frederick Starr.</t>
  </si>
  <si>
    <t>New York, American Heritage Pub. Co. [1970]</t>
  </si>
  <si>
    <t>404806:eng</t>
  </si>
  <si>
    <t>101007</t>
  </si>
  <si>
    <t>991000613469702656</t>
  </si>
  <si>
    <t>2261381240002656</t>
  </si>
  <si>
    <t>9780828101004</t>
  </si>
  <si>
    <t>32285003048674</t>
  </si>
  <si>
    <t>893432120</t>
  </si>
  <si>
    <t>NX562 .S65 2003</t>
  </si>
  <si>
    <t>0                      NX 0562000S  65          2003</t>
  </si>
  <si>
    <t>Contemporary Spanish culture : TV, fashion, art and film / Paul Julian Smith.</t>
  </si>
  <si>
    <t>Smith, Paul Julian.</t>
  </si>
  <si>
    <t>Malden, Mass. : Polity Press, c2003.</t>
  </si>
  <si>
    <t>2009-03-05</t>
  </si>
  <si>
    <t>198038597:eng</t>
  </si>
  <si>
    <t>50583397</t>
  </si>
  <si>
    <t>991005299229702656</t>
  </si>
  <si>
    <t>2268621520002656</t>
  </si>
  <si>
    <t>9780745630526</t>
  </si>
  <si>
    <t>32285005507875</t>
  </si>
  <si>
    <t>893536534</t>
  </si>
  <si>
    <t>NX562.A1 A84</t>
  </si>
  <si>
    <t>0                      NX 0562000A  1                  A  84</t>
  </si>
  <si>
    <t>El surrealismo español / Francisco Aranda.</t>
  </si>
  <si>
    <t>Aranda, J. Francisco, 1926-</t>
  </si>
  <si>
    <t>Barcelona : Editorial Lumen, 1981.</t>
  </si>
  <si>
    <t>1a ed.</t>
  </si>
  <si>
    <t>Palabra en el tiempo ; 139</t>
  </si>
  <si>
    <t>1993-12-03</t>
  </si>
  <si>
    <t>365529676:spa</t>
  </si>
  <si>
    <t>8554365</t>
  </si>
  <si>
    <t>991000019289702656</t>
  </si>
  <si>
    <t>2256220120002656</t>
  </si>
  <si>
    <t>9788426411396</t>
  </si>
  <si>
    <t>32285001717254</t>
  </si>
  <si>
    <t>893514927</t>
  </si>
  <si>
    <t>NX562.A1 B66 1995</t>
  </si>
  <si>
    <t>0                      NX 0562000A  1                  B  66          1995</t>
  </si>
  <si>
    <t>Diccionario de las vanguardias en España, 1907-1936 / Juan Manuel Bonet.</t>
  </si>
  <si>
    <t>Bonet, Juan Manuel.</t>
  </si>
  <si>
    <t>Madrid : Alianza Editorial, c1995.</t>
  </si>
  <si>
    <t>2005-08-08</t>
  </si>
  <si>
    <t>7682523:spa</t>
  </si>
  <si>
    <t>34546548</t>
  </si>
  <si>
    <t>991004345369702656</t>
  </si>
  <si>
    <t>2263021440002656</t>
  </si>
  <si>
    <t>9788420694559</t>
  </si>
  <si>
    <t>32285005099741</t>
  </si>
  <si>
    <t>893794759</t>
  </si>
  <si>
    <t>NX562.A1 M65 1999</t>
  </si>
  <si>
    <t>0                      NX 0562000A  1                  M  65          1999</t>
  </si>
  <si>
    <t>The arts in Spain / John F. Moffitt.</t>
  </si>
  <si>
    <t>Moffitt, John F. (John Francis), 1940-2008.</t>
  </si>
  <si>
    <t>New York : Thames and Hudson, 1999.</t>
  </si>
  <si>
    <t>2006-02-07</t>
  </si>
  <si>
    <t>2000-03-08</t>
  </si>
  <si>
    <t>896767767:eng</t>
  </si>
  <si>
    <t>40859158</t>
  </si>
  <si>
    <t>991003010569702656</t>
  </si>
  <si>
    <t>2258528540002656</t>
  </si>
  <si>
    <t>9780500203156</t>
  </si>
  <si>
    <t>32285003667945</t>
  </si>
  <si>
    <t>893251907</t>
  </si>
  <si>
    <t>NX573 .C65 2001</t>
  </si>
  <si>
    <t>0                      NX 0573000C  65          2001</t>
  </si>
  <si>
    <t>Colors of enchantment : theater, dance, music and the visual arts of the Middle East / edited by Sherifa Zuhur.</t>
  </si>
  <si>
    <t>Cairo, Egypt ; New York : American University in Cairo Press, c2001.</t>
  </si>
  <si>
    <t xml:space="preserve">ua </t>
  </si>
  <si>
    <t>2003-04-28</t>
  </si>
  <si>
    <t>2002-03-20</t>
  </si>
  <si>
    <t>800742652:eng</t>
  </si>
  <si>
    <t>48788252</t>
  </si>
  <si>
    <t>991003741579702656</t>
  </si>
  <si>
    <t>2260224270002656</t>
  </si>
  <si>
    <t>9789774246074</t>
  </si>
  <si>
    <t>32285004463252</t>
  </si>
  <si>
    <t>893435377</t>
  </si>
  <si>
    <t>NX584.6 .K67 1993</t>
  </si>
  <si>
    <t>0                      NX 0584600K  67          1993</t>
  </si>
  <si>
    <t>Korean art tradition : a historical survey / edited by Young Ick Lew = Hanʼguk ŭi yesul chŏntʻong / Yu Yŏng-ik pʻyŏn.</t>
  </si>
  <si>
    <t>Seoul : Korea Foundation, 1993.</t>
  </si>
  <si>
    <t xml:space="preserve">ko </t>
  </si>
  <si>
    <t>2003-04-24</t>
  </si>
  <si>
    <t>1995-06-19</t>
  </si>
  <si>
    <t>477630663:eng</t>
  </si>
  <si>
    <t>30094911</t>
  </si>
  <si>
    <t>991002320039702656</t>
  </si>
  <si>
    <t>2272174840002656</t>
  </si>
  <si>
    <t>32285002057452</t>
  </si>
  <si>
    <t>893609718</t>
  </si>
  <si>
    <t>NX588.75 .T47</t>
  </si>
  <si>
    <t>0                      NX 0588750T  47</t>
  </si>
  <si>
    <t>African art in motion; icon and act in the Collection of Katherine Coryton White. [Catalog of an exhibition] National Gallery of Art, Washington, D.C.; Frederick S. Wight Art Gallery, University of California, Los Angeles.</t>
  </si>
  <si>
    <t>Thompson, Robert Farris.</t>
  </si>
  <si>
    <t>Los Angeles, University of California Press [1974]</t>
  </si>
  <si>
    <t>9350288452:eng</t>
  </si>
  <si>
    <t>987916</t>
  </si>
  <si>
    <t>991003450419702656</t>
  </si>
  <si>
    <t>2270379870002656</t>
  </si>
  <si>
    <t>9780520026858</t>
  </si>
  <si>
    <t>32285003048708</t>
  </si>
  <si>
    <t>893336492</t>
  </si>
  <si>
    <t>NX589.6.S5 B66 1986</t>
  </si>
  <si>
    <t>0                      NX 0589600S  5                  B  66          1986</t>
  </si>
  <si>
    <t>Radiance from the waters : ideals of feminine beauty in Mende art / Sylvia Ardyn Boone ; photographs by Sylvia Ardyn Boone and Rebecca Busselle.</t>
  </si>
  <si>
    <t>Boone, Sylvia Ardyn.</t>
  </si>
  <si>
    <t>New Haven : Yale University Press, c1986.</t>
  </si>
  <si>
    <t>Yale publications in the history of art ; 34</t>
  </si>
  <si>
    <t>1997-10-08</t>
  </si>
  <si>
    <t>1996-04-22</t>
  </si>
  <si>
    <t>293081044:eng</t>
  </si>
  <si>
    <t>12369976</t>
  </si>
  <si>
    <t>991000677169702656</t>
  </si>
  <si>
    <t>2269154410002656</t>
  </si>
  <si>
    <t>9780300035766</t>
  </si>
  <si>
    <t>32285002155736</t>
  </si>
  <si>
    <t>893778138</t>
  </si>
  <si>
    <t>NX600.D3 B54</t>
  </si>
  <si>
    <t>0                      NX 0600000D  3                  B  54</t>
  </si>
  <si>
    <t>Dada &amp; Surrealism / by C. W. E. Bigsby.</t>
  </si>
  <si>
    <t>Bigsby, C. W. E.</t>
  </si>
  <si>
    <t>[London] Methuen [Distributed in the U.S.A. by Barnes and Noble, 1972]</t>
  </si>
  <si>
    <t>The Critical idiom, 23</t>
  </si>
  <si>
    <t>2008-02-06</t>
  </si>
  <si>
    <t>1991-12-23</t>
  </si>
  <si>
    <t>1533505:eng</t>
  </si>
  <si>
    <t>393776</t>
  </si>
  <si>
    <t>991002667049702656</t>
  </si>
  <si>
    <t>2259756670002656</t>
  </si>
  <si>
    <t>9780416081503</t>
  </si>
  <si>
    <t>32285000881127</t>
  </si>
  <si>
    <t>893610119</t>
  </si>
  <si>
    <t>NX600.D3 D295 1985</t>
  </si>
  <si>
    <t>0                      NX 0600000D  3                  D  295         1985</t>
  </si>
  <si>
    <t>Dada/dimensions / edited by Stephen C. Foster.</t>
  </si>
  <si>
    <t>Ann Arbor, MI : UMI Research Press, c1985.</t>
  </si>
  <si>
    <t>Studies in the fine arts. The avant-garde ; no. 48</t>
  </si>
  <si>
    <t>2003-04-27</t>
  </si>
  <si>
    <t>1989-11-01</t>
  </si>
  <si>
    <t>54687457:eng</t>
  </si>
  <si>
    <t>11574075</t>
  </si>
  <si>
    <t>991000558789702656</t>
  </si>
  <si>
    <t>2264870430002656</t>
  </si>
  <si>
    <t>9780835716253</t>
  </si>
  <si>
    <t>32285000011311</t>
  </si>
  <si>
    <t>893327397</t>
  </si>
  <si>
    <t>NX600.D3 E74 1984</t>
  </si>
  <si>
    <t>0                      NX 0600000D  3                  E  74          1984</t>
  </si>
  <si>
    <t>Dada : performance, poetry, and art / by John D. Erickson.</t>
  </si>
  <si>
    <t>Erickson, John D.</t>
  </si>
  <si>
    <t>Boston : Twayne Publishers, c1984.</t>
  </si>
  <si>
    <t>Twayne's world authors series ; TWAS 703</t>
  </si>
  <si>
    <t>2006-09-27</t>
  </si>
  <si>
    <t>3943732891:eng</t>
  </si>
  <si>
    <t>9756738</t>
  </si>
  <si>
    <t>991000250579702656</t>
  </si>
  <si>
    <t>2256721350002656</t>
  </si>
  <si>
    <t>9780805765502</t>
  </si>
  <si>
    <t>32285001717270</t>
  </si>
  <si>
    <t>893224866</t>
  </si>
  <si>
    <t>NX600.D3 H35 1983</t>
  </si>
  <si>
    <t>0                      NX 0600000D  3                  H  35          1983</t>
  </si>
  <si>
    <t>Languages of revolt : Dada and surrealist literature and film / Inez Hedges.</t>
  </si>
  <si>
    <t>Hedges, Inez, 1947-</t>
  </si>
  <si>
    <t>Durham, N.C. : Duke University Press, c1983.</t>
  </si>
  <si>
    <t>ncu</t>
  </si>
  <si>
    <t>2006-11-12</t>
  </si>
  <si>
    <t>1990-03-26</t>
  </si>
  <si>
    <t>249225607:eng</t>
  </si>
  <si>
    <t>8763854</t>
  </si>
  <si>
    <t>991000066429702656</t>
  </si>
  <si>
    <t>2265519550002656</t>
  </si>
  <si>
    <t>9780822304937</t>
  </si>
  <si>
    <t>32285000096221</t>
  </si>
  <si>
    <t>893514966</t>
  </si>
  <si>
    <t>NX600.D3 L5</t>
  </si>
  <si>
    <t>0                      NX 0600000D  3                  L  5</t>
  </si>
  <si>
    <t>Dadas on art / edited by Lucy R. Lippard.</t>
  </si>
  <si>
    <t>Lippard, Lucy R. compiler.</t>
  </si>
  <si>
    <t>Englewood Cliffs, N.J. : Prentice-Hall, [1971]</t>
  </si>
  <si>
    <t>A Spectrum book</t>
  </si>
  <si>
    <t>1292446:eng</t>
  </si>
  <si>
    <t>138044</t>
  </si>
  <si>
    <t>991000798469702656</t>
  </si>
  <si>
    <t>2262351990002656</t>
  </si>
  <si>
    <t>9780131974593</t>
  </si>
  <si>
    <t>32285001689719</t>
  </si>
  <si>
    <t>893608293</t>
  </si>
  <si>
    <t>NX600.D3 W37 1980</t>
  </si>
  <si>
    <t>0                      NX 0600000D  3                  W  37          1980</t>
  </si>
  <si>
    <t>Chance, a perspective on Dada / by Harriett Ann Watts.</t>
  </si>
  <si>
    <t>Watts, Harriett.</t>
  </si>
  <si>
    <t>Ann Arbor, Mich. : UMI Research Press, c1980.</t>
  </si>
  <si>
    <t>University Studies in the fine arts : The Avant-garde ; no. 9</t>
  </si>
  <si>
    <t>17557423:eng</t>
  </si>
  <si>
    <t>6909046</t>
  </si>
  <si>
    <t>991005057389702656</t>
  </si>
  <si>
    <t>2267786540002656</t>
  </si>
  <si>
    <t>32285001717288</t>
  </si>
  <si>
    <t>893412249</t>
  </si>
  <si>
    <t>NX600.F8 P46 1986</t>
  </si>
  <si>
    <t>0                      NX 0600000F  8                  P  46          1986</t>
  </si>
  <si>
    <t>The futurist moment : avant-garde, avant guerre, and the language of rupture / Marjorie Perloff.</t>
  </si>
  <si>
    <t>Perloff, Marjorie.</t>
  </si>
  <si>
    <t>Chicago : University of Chicago Press, 1986.</t>
  </si>
  <si>
    <t>2006-09-13</t>
  </si>
  <si>
    <t>666930:eng</t>
  </si>
  <si>
    <t>13217823</t>
  </si>
  <si>
    <t>991000799309702656</t>
  </si>
  <si>
    <t>2259987690002656</t>
  </si>
  <si>
    <t>9780226657318</t>
  </si>
  <si>
    <t>32285000152842</t>
  </si>
  <si>
    <t>893333783</t>
  </si>
  <si>
    <t>NX600.R6 H66 1979</t>
  </si>
  <si>
    <t>0                      NX 0600000R  6                  H  66          1979</t>
  </si>
  <si>
    <t>Romanticism / by Hugh Honour.</t>
  </si>
  <si>
    <t>Honour, Hugh.</t>
  </si>
  <si>
    <t>New York : Harper &amp; Row, c1979.</t>
  </si>
  <si>
    <t>404235:eng</t>
  </si>
  <si>
    <t>5208691</t>
  </si>
  <si>
    <t>991004800039702656</t>
  </si>
  <si>
    <t>2265142410002656</t>
  </si>
  <si>
    <t>9780064300896</t>
  </si>
  <si>
    <t>32285000979962</t>
  </si>
  <si>
    <t>893338138</t>
  </si>
  <si>
    <t>NX600.S9 H37</t>
  </si>
  <si>
    <t>0                      NX 0600000S  9                  H  37</t>
  </si>
  <si>
    <t>The real world of the surrealists / Malcolm Haslam ; introd. by Barbara Rose. --</t>
  </si>
  <si>
    <t>Haslam, Malcolm.</t>
  </si>
  <si>
    <t>New York : Rizzoli, 1978.</t>
  </si>
  <si>
    <t>1996-02-08</t>
  </si>
  <si>
    <t>13114770:eng</t>
  </si>
  <si>
    <t>3915195</t>
  </si>
  <si>
    <t>991004522069702656</t>
  </si>
  <si>
    <t>2258725430002656</t>
  </si>
  <si>
    <t>9780847801510</t>
  </si>
  <si>
    <t>32285001717312</t>
  </si>
  <si>
    <t>893500686</t>
  </si>
  <si>
    <t>NX600.S9 H46</t>
  </si>
  <si>
    <t>0                      NX 0600000S  9                  H  46</t>
  </si>
  <si>
    <t>The spirit of surrealism / Edward B. Henning.</t>
  </si>
  <si>
    <t>Henning, Edward B.</t>
  </si>
  <si>
    <t>Cleveland : Cleveland Museum of Art, c1979.</t>
  </si>
  <si>
    <t>ohu</t>
  </si>
  <si>
    <t>2001-12-05</t>
  </si>
  <si>
    <t>8423084:eng</t>
  </si>
  <si>
    <t>5655402</t>
  </si>
  <si>
    <t>991004853889702656</t>
  </si>
  <si>
    <t>2271343860002656</t>
  </si>
  <si>
    <t>9780910386524</t>
  </si>
  <si>
    <t>32285001717320</t>
  </si>
  <si>
    <t>893782728</t>
  </si>
  <si>
    <t>NX600.S9 L5</t>
  </si>
  <si>
    <t>0                      NX 0600000S  9                  L  5</t>
  </si>
  <si>
    <t>Surrealists on art / edited by Lucy R. Lippard.</t>
  </si>
  <si>
    <t>Englewood Cliffs, N.J. : Prentice-Hall, [1970]</t>
  </si>
  <si>
    <t>2005-12-07</t>
  </si>
  <si>
    <t>1992-12-17</t>
  </si>
  <si>
    <t>1328521:eng</t>
  </si>
  <si>
    <t>98274</t>
  </si>
  <si>
    <t>991000599939702656</t>
  </si>
  <si>
    <t>2272186880002656</t>
  </si>
  <si>
    <t>9780138780906</t>
  </si>
  <si>
    <t>32285001442879</t>
  </si>
  <si>
    <t>893790671</t>
  </si>
  <si>
    <t>NX600.S9 M37 1977</t>
  </si>
  <si>
    <t>0                      NX 0600000S  9                  M  37          1977</t>
  </si>
  <si>
    <t>The imagery of surrealism / J. H. Matthews.</t>
  </si>
  <si>
    <t>Matthews, J. H.</t>
  </si>
  <si>
    <t>Syracuse, N.Y. : Syracuse University Press, 1977.</t>
  </si>
  <si>
    <t>1992-12-15</t>
  </si>
  <si>
    <t>477663:eng</t>
  </si>
  <si>
    <t>2984182</t>
  </si>
  <si>
    <t>991004306679702656</t>
  </si>
  <si>
    <t>2258431860002656</t>
  </si>
  <si>
    <t>9780815621836</t>
  </si>
  <si>
    <t>32285001467033</t>
  </si>
  <si>
    <t>893247416</t>
  </si>
  <si>
    <t>NX600.S9 R42 1971</t>
  </si>
  <si>
    <t>0                      NX 0600000S  9                  R  42          1971</t>
  </si>
  <si>
    <t>Surrealism / edited with an introd. by Herbert Read. Contributions by André Breton [and others]</t>
  </si>
  <si>
    <t>Read, Herbert, 1893-1968 editor.</t>
  </si>
  <si>
    <t>New York : Praeger, [1971]</t>
  </si>
  <si>
    <t>1994-07-07</t>
  </si>
  <si>
    <t>372827827:eng</t>
  </si>
  <si>
    <t>652449</t>
  </si>
  <si>
    <t>991003103199702656</t>
  </si>
  <si>
    <t>2262793000002656</t>
  </si>
  <si>
    <t>32285001777902</t>
  </si>
  <si>
    <t>893610721</t>
  </si>
  <si>
    <t>NX620 .P37 1991</t>
  </si>
  <si>
    <t>0                      NX 0620000P  37          1991</t>
  </si>
  <si>
    <t>Serious art / John Passmore.</t>
  </si>
  <si>
    <t>Passmore, John Arthur.</t>
  </si>
  <si>
    <t>La Salle, Ill. : Open Court, 1991.</t>
  </si>
  <si>
    <t>1994-11-16</t>
  </si>
  <si>
    <t>197562458:eng</t>
  </si>
  <si>
    <t>23901870</t>
  </si>
  <si>
    <t>991001893099702656</t>
  </si>
  <si>
    <t>2262271270002656</t>
  </si>
  <si>
    <t>9780812691825</t>
  </si>
  <si>
    <t>32285000864693</t>
  </si>
  <si>
    <t>893621692</t>
  </si>
  <si>
    <t>NX65 .B37 1982</t>
  </si>
  <si>
    <t>0                      NX 0065000B  37          1982</t>
  </si>
  <si>
    <t>A Barthes reader / edited, and with an introd. by Susan Sontag.</t>
  </si>
  <si>
    <t>Barthes, Roland.</t>
  </si>
  <si>
    <t>New York : Hill and Wang, c1982.</t>
  </si>
  <si>
    <t>2007-04-05</t>
  </si>
  <si>
    <t>572522:eng</t>
  </si>
  <si>
    <t>6982503</t>
  </si>
  <si>
    <t>991005068289702656</t>
  </si>
  <si>
    <t>2272689090002656</t>
  </si>
  <si>
    <t>9780809028153</t>
  </si>
  <si>
    <t>32285001716652</t>
  </si>
  <si>
    <t>893338443</t>
  </si>
  <si>
    <t>NX65 .B7 1972</t>
  </si>
  <si>
    <t>0                      NX 0065000B  7           1972</t>
  </si>
  <si>
    <t>Art is action : a discussion of nine arts in a modern world.</t>
  </si>
  <si>
    <t>Brownell, Baker, 1887-1965.</t>
  </si>
  <si>
    <t>Port Washington, N.Y. : Kennikat Press, [1972, c1939]</t>
  </si>
  <si>
    <t>Essay and general literature index reprint series</t>
  </si>
  <si>
    <t>2002-09-05</t>
  </si>
  <si>
    <t>1993-07-13</t>
  </si>
  <si>
    <t>1171867:eng</t>
  </si>
  <si>
    <t>267235</t>
  </si>
  <si>
    <t>991002110649702656</t>
  </si>
  <si>
    <t>2269136320002656</t>
  </si>
  <si>
    <t>9780804616904</t>
  </si>
  <si>
    <t>32285001722155</t>
  </si>
  <si>
    <t>893773234</t>
  </si>
  <si>
    <t>NX65 .K5 1969</t>
  </si>
  <si>
    <t>0                      NX 0065000K  5           1969</t>
  </si>
  <si>
    <t>The art of time : essays on the avant-garde / by Michael Kirby.</t>
  </si>
  <si>
    <t>Kirby, Michael, 1931-1997.</t>
  </si>
  <si>
    <t>New York : E. P. Dutton, 1969.</t>
  </si>
  <si>
    <t>1993-06-28</t>
  </si>
  <si>
    <t>1992-07-07</t>
  </si>
  <si>
    <t>1145536:eng</t>
  </si>
  <si>
    <t>23326</t>
  </si>
  <si>
    <t>991000054819702656</t>
  </si>
  <si>
    <t>2265494320002656</t>
  </si>
  <si>
    <t>32285001149979</t>
  </si>
  <si>
    <t>893783912</t>
  </si>
  <si>
    <t>NX65 .W45 2004</t>
  </si>
  <si>
    <t>0                      NX 0065000W  45          2004</t>
  </si>
  <si>
    <t>Vermeer in Bosnia : a reader / Lawrence Weschler.</t>
  </si>
  <si>
    <t>Weschler, Lawrence.</t>
  </si>
  <si>
    <t>New York : Pantheon Books, c2004.</t>
  </si>
  <si>
    <t>2010-02-03</t>
  </si>
  <si>
    <t>836227135:eng</t>
  </si>
  <si>
    <t>53434822</t>
  </si>
  <si>
    <t>991004319119702656</t>
  </si>
  <si>
    <t>2269441040002656</t>
  </si>
  <si>
    <t>9780679442707</t>
  </si>
  <si>
    <t>32285004926217</t>
  </si>
  <si>
    <t>893253542</t>
  </si>
  <si>
    <t>NX650.A44 E5</t>
  </si>
  <si>
    <t>0                      NX 0650000A  44                 E  5</t>
  </si>
  <si>
    <t>Allegory and representation / edited, with a preface, by Stephen J. Greenblatt.</t>
  </si>
  <si>
    <t>English Institute.</t>
  </si>
  <si>
    <t>Baltimore : Johns Hopkins University Press, c1981.</t>
  </si>
  <si>
    <t>Selected papers from the English Institute ; 1979-80, new ser., no. 5</t>
  </si>
  <si>
    <t>1997-04-01</t>
  </si>
  <si>
    <t>452427:eng</t>
  </si>
  <si>
    <t>7554898</t>
  </si>
  <si>
    <t>991005128159702656</t>
  </si>
  <si>
    <t>2264592390002656</t>
  </si>
  <si>
    <t>9780801826429</t>
  </si>
  <si>
    <t>32285001717353</t>
  </si>
  <si>
    <t>893326208</t>
  </si>
  <si>
    <t>NX650.A6 A66 1999</t>
  </si>
  <si>
    <t>0                      NX 0650000A  6                  A  66          1999</t>
  </si>
  <si>
    <t>The Apocalypse and the shape of things to come / edited by Frances Carey.</t>
  </si>
  <si>
    <t>Toronto ; Buffalo : University of Toronto Press, 1999.</t>
  </si>
  <si>
    <t>onc</t>
  </si>
  <si>
    <t>2009-08-26</t>
  </si>
  <si>
    <t>1407136418:eng</t>
  </si>
  <si>
    <t>47929363</t>
  </si>
  <si>
    <t>991004170279702656</t>
  </si>
  <si>
    <t>2268434690002656</t>
  </si>
  <si>
    <t>9780802047762</t>
  </si>
  <si>
    <t>32285004797907</t>
  </si>
  <si>
    <t>893241106</t>
  </si>
  <si>
    <t>NX650.C5 M3</t>
  </si>
  <si>
    <t>0                      NX 0650000C  5                  M  3</t>
  </si>
  <si>
    <t>Art and the religious experience: the "language" of the sacred [by] F. David Martin.</t>
  </si>
  <si>
    <t>Martin, F. David, 1920-</t>
  </si>
  <si>
    <t>Lewisburg [Pa.] Bucknell University Press [1972]</t>
  </si>
  <si>
    <t>2007-03-09</t>
  </si>
  <si>
    <t>1381190:eng</t>
  </si>
  <si>
    <t>199741</t>
  </si>
  <si>
    <t>991001225499702656</t>
  </si>
  <si>
    <t>2269749530002656</t>
  </si>
  <si>
    <t>9780838779354</t>
  </si>
  <si>
    <t>32285003048781</t>
  </si>
  <si>
    <t>893903346</t>
  </si>
  <si>
    <t>NX650.C66 V57 1987</t>
  </si>
  <si>
    <t>0                      NX 0650000C  66                 V  57          1987</t>
  </si>
  <si>
    <t>Visions of the modern city : essays in history, art, and literature / edited by William Sharpe and Leonard Wallock.</t>
  </si>
  <si>
    <t>Baltimore : Johns Hopkins University Press, 1987.</t>
  </si>
  <si>
    <t>1998-10-19</t>
  </si>
  <si>
    <t>815113286:eng</t>
  </si>
  <si>
    <t>15630254</t>
  </si>
  <si>
    <t>991001047779702656</t>
  </si>
  <si>
    <t>2263097720002656</t>
  </si>
  <si>
    <t>9780801835407</t>
  </si>
  <si>
    <t>32285001717361</t>
  </si>
  <si>
    <t>893334008</t>
  </si>
  <si>
    <t>NX650.C676 R56 1995</t>
  </si>
  <si>
    <t>0                      NX 0650000C  676                R  56          1995</t>
  </si>
  <si>
    <t>Color codes : modern theories of color in philosophy, painting and architecture, literature, music and psychology / Charles A. Riley II.</t>
  </si>
  <si>
    <t>Riley, Charles A., II</t>
  </si>
  <si>
    <t>Hanover, NH : University Press of New England, c1995.</t>
  </si>
  <si>
    <t>nhu</t>
  </si>
  <si>
    <t>2005-04-15</t>
  </si>
  <si>
    <t>1995-05-01</t>
  </si>
  <si>
    <t>799865595:eng</t>
  </si>
  <si>
    <t>30070157</t>
  </si>
  <si>
    <t>991002317179702656</t>
  </si>
  <si>
    <t>2260694760002656</t>
  </si>
  <si>
    <t>9780874516715</t>
  </si>
  <si>
    <t>32285002036829</t>
  </si>
  <si>
    <t>893415068</t>
  </si>
  <si>
    <t>NX650.C69 B87 1989</t>
  </si>
  <si>
    <t>0                      NX 0650000C  69                 B  87          1989</t>
  </si>
  <si>
    <t>Pastoral inventions : rural life in nineteenth-century American art and culture / Sarah Burns.</t>
  </si>
  <si>
    <t>Burns, Sarah.</t>
  </si>
  <si>
    <t>Philadelphia : Temple University Press, 1989.</t>
  </si>
  <si>
    <t>American civilization</t>
  </si>
  <si>
    <t>2007-10-09</t>
  </si>
  <si>
    <t>1989-11-13</t>
  </si>
  <si>
    <t>347399246:eng</t>
  </si>
  <si>
    <t>17841535</t>
  </si>
  <si>
    <t>991001271659702656</t>
  </si>
  <si>
    <t>2269018480002656</t>
  </si>
  <si>
    <t>9780877225805</t>
  </si>
  <si>
    <t>32285000012822</t>
  </si>
  <si>
    <t>893231857</t>
  </si>
  <si>
    <t>NX650.E85 B64 2003</t>
  </si>
  <si>
    <t>0                      NX 0650000E  85                 B  64          2003</t>
  </si>
  <si>
    <t>Orientalism and visual culture : imagining Mesopotamia in nineteenth-century Europe / Frederick N. Bohrer.</t>
  </si>
  <si>
    <t>Bohrer, Frederick Nathaniel, 1956-</t>
  </si>
  <si>
    <t>Cambridge, UK ; New York : Cambridge University Press, 2003.</t>
  </si>
  <si>
    <t>2007-04-09</t>
  </si>
  <si>
    <t>2005-07-25</t>
  </si>
  <si>
    <t>909554:eng</t>
  </si>
  <si>
    <t>50339550</t>
  </si>
  <si>
    <t>991004604509702656</t>
  </si>
  <si>
    <t>2255847620002656</t>
  </si>
  <si>
    <t>9780521806572</t>
  </si>
  <si>
    <t>32285005097703</t>
  </si>
  <si>
    <t>893882660</t>
  </si>
  <si>
    <t>NX650.E85 M33 1995</t>
  </si>
  <si>
    <t>0                      NX 0650000E  85                 M  33          1995</t>
  </si>
  <si>
    <t>Orientalism : history, theory, and the arts / John M. MacKenzie.</t>
  </si>
  <si>
    <t>MacKenzie, John M. (John MacDonald), 1943-</t>
  </si>
  <si>
    <t>Manchester ; New York : Manchester University Press ; New York : Distributed exclusively in the USA and Canada by St. Martin's Pres, c1995.</t>
  </si>
  <si>
    <t>2005-07-26</t>
  </si>
  <si>
    <t>24230438:eng</t>
  </si>
  <si>
    <t>31657169</t>
  </si>
  <si>
    <t>991004604469702656</t>
  </si>
  <si>
    <t>2269441540002656</t>
  </si>
  <si>
    <t>9780719018619</t>
  </si>
  <si>
    <t>32285005098131</t>
  </si>
  <si>
    <t>893229538</t>
  </si>
  <si>
    <t>NX650.H6 Q43 1997</t>
  </si>
  <si>
    <t>0                      NX 0650000H  6                  Q  43          1997</t>
  </si>
  <si>
    <t>Queer representations : reading lives, reading cultures : a Center for Lesbian and Gay Studies book / edited by Martin Duberman.</t>
  </si>
  <si>
    <t>New York : New York University Press, c1997.</t>
  </si>
  <si>
    <t>1997-06-03</t>
  </si>
  <si>
    <t>56134990:eng</t>
  </si>
  <si>
    <t>36126490</t>
  </si>
  <si>
    <t>991002753009702656</t>
  </si>
  <si>
    <t>2260535980002656</t>
  </si>
  <si>
    <t>9780814718834</t>
  </si>
  <si>
    <t>32285002613981</t>
  </si>
  <si>
    <t>893685739</t>
  </si>
  <si>
    <t>NX650.H6 S27 1986</t>
  </si>
  <si>
    <t>0                      NX 0650000H  6                  S  27          1986</t>
  </si>
  <si>
    <t>Ganymede in the Renaissance : homosexuality in art and society / James M. Saslow.</t>
  </si>
  <si>
    <t>Saslow, James M.</t>
  </si>
  <si>
    <t>2003-10-27</t>
  </si>
  <si>
    <t>1990-10-26</t>
  </si>
  <si>
    <t>836706286:eng</t>
  </si>
  <si>
    <t>11866964</t>
  </si>
  <si>
    <t>991000606659702656</t>
  </si>
  <si>
    <t>2265140080002656</t>
  </si>
  <si>
    <t>9780300034233</t>
  </si>
  <si>
    <t>32285000311844</t>
  </si>
  <si>
    <t>893243416</t>
  </si>
  <si>
    <t>NX650.M29 M35 2003</t>
  </si>
  <si>
    <t>0                      NX 0650000M  29                 M  35          2003</t>
  </si>
  <si>
    <t>Husbands, wives, and lovers : marriage and its discontents in nineteenth-century France / Patricia Mainardi.</t>
  </si>
  <si>
    <t>Mainardi, Patricia.</t>
  </si>
  <si>
    <t>New Haven : Yale University Press, c2003.</t>
  </si>
  <si>
    <t>2008-03-25</t>
  </si>
  <si>
    <t>2006-07-24</t>
  </si>
  <si>
    <t>837154340:eng</t>
  </si>
  <si>
    <t>51613913</t>
  </si>
  <si>
    <t>991004849559702656</t>
  </si>
  <si>
    <t>2272586800002656</t>
  </si>
  <si>
    <t>9780300101041</t>
  </si>
  <si>
    <t>32285005196943</t>
  </si>
  <si>
    <t>893332116</t>
  </si>
  <si>
    <t>NX650.M48 B37 1986</t>
  </si>
  <si>
    <t>0                      NX 0650000M  48                 B  37          1986</t>
  </si>
  <si>
    <t>The gods made flesh : metamorphosis &amp; the pursuit of paganism / Leonard Barkan.</t>
  </si>
  <si>
    <t>Barkan, Leonard.</t>
  </si>
  <si>
    <t>2006-11-07</t>
  </si>
  <si>
    <t>288343748:eng</t>
  </si>
  <si>
    <t>13096227</t>
  </si>
  <si>
    <t>991000781419702656</t>
  </si>
  <si>
    <t>2256899840002656</t>
  </si>
  <si>
    <t>9780300035612</t>
  </si>
  <si>
    <t>32285001717387</t>
  </si>
  <si>
    <t>893432286</t>
  </si>
  <si>
    <t>NX650.M9 M38</t>
  </si>
  <si>
    <t>0                      NX 0650000M  9                  M  38</t>
  </si>
  <si>
    <t>Classical mythology in literature, art, and music.</t>
  </si>
  <si>
    <t>Mayerson, Philip.</t>
  </si>
  <si>
    <t>Waltham, Mass., Xerox College Pub. [1971]</t>
  </si>
  <si>
    <t>2003-05-02</t>
  </si>
  <si>
    <t>795374:eng</t>
  </si>
  <si>
    <t>147611</t>
  </si>
  <si>
    <t>991000830419702656</t>
  </si>
  <si>
    <t>2258931330002656</t>
  </si>
  <si>
    <t>32285003048799</t>
  </si>
  <si>
    <t>893690076</t>
  </si>
  <si>
    <t>NX650.P65 P37</t>
  </si>
  <si>
    <t>0                      NX 0650000P  65                 P  37</t>
  </si>
  <si>
    <t>Patterns of symmetry / edited by Marjorie Senechal and George Fleck.</t>
  </si>
  <si>
    <t>Amherst : University of Massachusetts Press, 1977.</t>
  </si>
  <si>
    <t>2010-02-16</t>
  </si>
  <si>
    <t>424125909:eng</t>
  </si>
  <si>
    <t>2646249</t>
  </si>
  <si>
    <t>991004198819702656</t>
  </si>
  <si>
    <t>2254905240002656</t>
  </si>
  <si>
    <t>9780870232329</t>
  </si>
  <si>
    <t>32285003048807</t>
  </si>
  <si>
    <t>893423499</t>
  </si>
  <si>
    <t>NX650.S8 M32</t>
  </si>
  <si>
    <t>0                      NX 0650000S  8                  M  32</t>
  </si>
  <si>
    <t>Through the vanishing point; space in poetry and painting [by] Marshall McLuhan and Harley Parker.</t>
  </si>
  <si>
    <t>McLuhan, Marshall, 1911-1980.</t>
  </si>
  <si>
    <t>New York, Harper &amp; Row [1968]</t>
  </si>
  <si>
    <t>World perspectives ; v. 37</t>
  </si>
  <si>
    <t>2010-05-18</t>
  </si>
  <si>
    <t>52364910:eng</t>
  </si>
  <si>
    <t>439215</t>
  </si>
  <si>
    <t>991002777699702656</t>
  </si>
  <si>
    <t>2266612240002656</t>
  </si>
  <si>
    <t>32285003048823</t>
  </si>
  <si>
    <t>893440510</t>
  </si>
  <si>
    <t>NX650.S83 W66 2003</t>
  </si>
  <si>
    <t>0                      NX 0650000S  83                 W  66          2003</t>
  </si>
  <si>
    <t>Sport as symbol : images of the athlete in art, literature and song / Mari Womack.</t>
  </si>
  <si>
    <t>Womack, Mari.</t>
  </si>
  <si>
    <t>Jefferson, N.C. : McFarland &amp; Co., c2003.</t>
  </si>
  <si>
    <t>2005-05-09</t>
  </si>
  <si>
    <t>838127241:eng</t>
  </si>
  <si>
    <t>51914256</t>
  </si>
  <si>
    <t>991004541189702656</t>
  </si>
  <si>
    <t>2263044080002656</t>
  </si>
  <si>
    <t>9780786415793</t>
  </si>
  <si>
    <t>32285005036305</t>
  </si>
  <si>
    <t>893411664</t>
  </si>
  <si>
    <t>NX650.T45 N67 1979</t>
  </si>
  <si>
    <t>0                      NX 0650000T  45                 N  67          1979</t>
  </si>
  <si>
    <t>From myth to icon : reflections of Greek ethical doctrine in literature and art / Helen F. North.</t>
  </si>
  <si>
    <t>North, Helen F. (Helen Florence), 1921-2012.</t>
  </si>
  <si>
    <t>Ithaca, N.Y. : Cornell University Press, 1979.</t>
  </si>
  <si>
    <t>Cornell studies in classical philology ; v. 40</t>
  </si>
  <si>
    <t>2004-12-03</t>
  </si>
  <si>
    <t>118234230:eng</t>
  </si>
  <si>
    <t>5101878</t>
  </si>
  <si>
    <t>991004778469702656</t>
  </si>
  <si>
    <t>2259025490002656</t>
  </si>
  <si>
    <t>9780801411359</t>
  </si>
  <si>
    <t>32285001717437</t>
  </si>
  <si>
    <t>893247970</t>
  </si>
  <si>
    <t>NX652.E7 E76 1991</t>
  </si>
  <si>
    <t>0                      NX 0652000E  7                  E  76          1991</t>
  </si>
  <si>
    <t>Eroticism and the body politic / edited by Lynn Hunt.</t>
  </si>
  <si>
    <t>Baltimore : Johns Hopkins University Press, c1991.</t>
  </si>
  <si>
    <t>Parallax : re-visions of culture and society</t>
  </si>
  <si>
    <t>1996-02-10</t>
  </si>
  <si>
    <t>1991-07-10</t>
  </si>
  <si>
    <t>356300148:eng</t>
  </si>
  <si>
    <t>21523640</t>
  </si>
  <si>
    <t>991001701039702656</t>
  </si>
  <si>
    <t>2259125940002656</t>
  </si>
  <si>
    <t>9780801840265</t>
  </si>
  <si>
    <t>32285000660729</t>
  </si>
  <si>
    <t>893785323</t>
  </si>
  <si>
    <t>NX652.M27 M34</t>
  </si>
  <si>
    <t>0                      NX 0652000M  27                 M  34</t>
  </si>
  <si>
    <t>Venus in sackcloth : the Magdalen's origins and metamorphoses / by Marjorie M. Malvern.</t>
  </si>
  <si>
    <t>Malvern, Marjorie M.</t>
  </si>
  <si>
    <t>Carbondale : Southern Illinois University Press, [1975]</t>
  </si>
  <si>
    <t>2004-10-02</t>
  </si>
  <si>
    <t>795578696:eng</t>
  </si>
  <si>
    <t>1230785</t>
  </si>
  <si>
    <t>991005358059702656</t>
  </si>
  <si>
    <t>2261691140002656</t>
  </si>
  <si>
    <t>9780809307074</t>
  </si>
  <si>
    <t>32285003048849</t>
  </si>
  <si>
    <t>893425020</t>
  </si>
  <si>
    <t>NX652.P43 W66 1976</t>
  </si>
  <si>
    <t>0                      NX 0652000P  43                 W  66          1976</t>
  </si>
  <si>
    <t>Perseus : a study in Greek art and legend / by Jocelyn M. Woodward.</t>
  </si>
  <si>
    <t>Woodward, Jocelyn M.</t>
  </si>
  <si>
    <t>New York : AMS Press, 1976.</t>
  </si>
  <si>
    <t>2002-02-06</t>
  </si>
  <si>
    <t>475289:eng</t>
  </si>
  <si>
    <t>2372241</t>
  </si>
  <si>
    <t>991004100919702656</t>
  </si>
  <si>
    <t>2255398840002656</t>
  </si>
  <si>
    <t>9780404146337</t>
  </si>
  <si>
    <t>32285003048856</t>
  </si>
  <si>
    <t>893241012</t>
  </si>
  <si>
    <t>NX652.W6 A48 1993</t>
  </si>
  <si>
    <t>0                      NX 0652000W  6                  A  48          1993</t>
  </si>
  <si>
    <t>American beauties : women in art and literature : paintings, sculptures, drawings, photographs, and other works of art from the National Museum of American Art, Smithsonian Institution / edited by Charles Sullivan.</t>
  </si>
  <si>
    <t>National Museum of American Art (U.S.)</t>
  </si>
  <si>
    <t>New York : H.N. Abrams, 1993.</t>
  </si>
  <si>
    <t>1999-02-03</t>
  </si>
  <si>
    <t>1996-12-16</t>
  </si>
  <si>
    <t>28648731:eng</t>
  </si>
  <si>
    <t>26255086</t>
  </si>
  <si>
    <t>991002054069702656</t>
  </si>
  <si>
    <t>2269562780002656</t>
  </si>
  <si>
    <t>9780810919273</t>
  </si>
  <si>
    <t>32285002393378</t>
  </si>
  <si>
    <t>893408638</t>
  </si>
  <si>
    <t>NX652.W6 B36 1987</t>
  </si>
  <si>
    <t>0                      NX 0652000W  6                  B  36          1987</t>
  </si>
  <si>
    <t>Imaging American women : idea and ideals in cultural history / Martha Banta.</t>
  </si>
  <si>
    <t>Banta, Martha.</t>
  </si>
  <si>
    <t>New York : Columbia University Press, 1987.</t>
  </si>
  <si>
    <t>2007-04-30</t>
  </si>
  <si>
    <t>1992-12-16</t>
  </si>
  <si>
    <t>286445961:eng</t>
  </si>
  <si>
    <t>13762596</t>
  </si>
  <si>
    <t>991000868729702656</t>
  </si>
  <si>
    <t>2265206560002656</t>
  </si>
  <si>
    <t>9780231061261</t>
  </si>
  <si>
    <t>32285001443497</t>
  </si>
  <si>
    <t>893784585</t>
  </si>
  <si>
    <t>NX652.W6 N43 1988</t>
  </si>
  <si>
    <t>0                      NX 0652000W  6                  N  43          1988</t>
  </si>
  <si>
    <t>Myths of sexuality : representations of women in Victorian Britain / Lynda Nead.</t>
  </si>
  <si>
    <t>Nead, Lynda.</t>
  </si>
  <si>
    <t>Oxford [Oxfordshire] ; New York, NY, USA : B. Blackwell, 1988.</t>
  </si>
  <si>
    <t>12589515:eng</t>
  </si>
  <si>
    <t>16681707</t>
  </si>
  <si>
    <t>991001129709702656</t>
  </si>
  <si>
    <t>2271765200002656</t>
  </si>
  <si>
    <t>9780631155027</t>
  </si>
  <si>
    <t>32285000074996</t>
  </si>
  <si>
    <t>893321651</t>
  </si>
  <si>
    <t>NX653.S68 D4 1987</t>
  </si>
  <si>
    <t>0                      NX 0653000S  68                 D  4           1987</t>
  </si>
  <si>
    <t>The Desert is no lady : southwestern landscapes in women's writing and art / edited by Vera Norwood and Janice Monk.</t>
  </si>
  <si>
    <t>New Haven : Yale University Press, c1987.</t>
  </si>
  <si>
    <t>810695023:eng</t>
  </si>
  <si>
    <t>14930993</t>
  </si>
  <si>
    <t>991000967179702656</t>
  </si>
  <si>
    <t>2255791080002656</t>
  </si>
  <si>
    <t>9780300036886</t>
  </si>
  <si>
    <t>32285001320513</t>
  </si>
  <si>
    <t>893225495</t>
  </si>
  <si>
    <t>NX653.W47 C36 2001</t>
  </si>
  <si>
    <t>0                      NX 0653000W  47                 C  36          2001</t>
  </si>
  <si>
    <t>The American West : people, places, and ideas / by Suzan Campbell ; with an essay by Kathleen E. Ash-Milby.</t>
  </si>
  <si>
    <t>Campbell, Suzan.</t>
  </si>
  <si>
    <t>Corning, NY : Rockwell Museum of Western Art ; Santa Fe, N.M. : Distributed by Western Edge Press, c2001.</t>
  </si>
  <si>
    <t>nmu</t>
  </si>
  <si>
    <t>2005-07-13</t>
  </si>
  <si>
    <t>2002-01-22</t>
  </si>
  <si>
    <t>36720878:eng</t>
  </si>
  <si>
    <t>48051814</t>
  </si>
  <si>
    <t>991003702599702656</t>
  </si>
  <si>
    <t>2267633420002656</t>
  </si>
  <si>
    <t>9781889921136</t>
  </si>
  <si>
    <t>32285004450317</t>
  </si>
  <si>
    <t>893410583</t>
  </si>
  <si>
    <t>NX705.5.A357 P47 1999</t>
  </si>
  <si>
    <t>0                      NX 0705500A  357                P  47          1999</t>
  </si>
  <si>
    <t>Cloth, dress, and art patronage in Africa / Judith Perani and Norma H. Wolff.</t>
  </si>
  <si>
    <t>Perani, Judith.</t>
  </si>
  <si>
    <t>Oxford ; New York : Berg, 1999.</t>
  </si>
  <si>
    <t>Dress, body, culture, 1360-466X</t>
  </si>
  <si>
    <t>2000-11-20</t>
  </si>
  <si>
    <t>27268381:eng</t>
  </si>
  <si>
    <t>41283381</t>
  </si>
  <si>
    <t>991003024179702656</t>
  </si>
  <si>
    <t>2270377360002656</t>
  </si>
  <si>
    <t>9781859732908</t>
  </si>
  <si>
    <t>32285003622031</t>
  </si>
  <si>
    <t>893598181</t>
  </si>
  <si>
    <t>NX735 .B54 1988</t>
  </si>
  <si>
    <t>0                      NX 0735000B  54          1988</t>
  </si>
  <si>
    <t>Our government and the arts : a perspective from the inside / Livingston Biddle ; foreword by Isaac Stern.</t>
  </si>
  <si>
    <t>Biddle, Livingston, 1918-2002.</t>
  </si>
  <si>
    <t>2000-10-05</t>
  </si>
  <si>
    <t>15715186:eng</t>
  </si>
  <si>
    <t>17619592</t>
  </si>
  <si>
    <t>991001240929702656</t>
  </si>
  <si>
    <t>2257739320002656</t>
  </si>
  <si>
    <t>9780915400683</t>
  </si>
  <si>
    <t>32285000943661</t>
  </si>
  <si>
    <t>893803475</t>
  </si>
  <si>
    <t>NX735 .D79 1992</t>
  </si>
  <si>
    <t>0                      NX 0735000D  79          1992</t>
  </si>
  <si>
    <t>Arresting images : impolitic art and uncivil actions / Steven C. Dubin.</t>
  </si>
  <si>
    <t>Dubin, Steven C.</t>
  </si>
  <si>
    <t>London ; New York : Routledge, 1992.</t>
  </si>
  <si>
    <t>1996-11-26</t>
  </si>
  <si>
    <t>1993-11-15</t>
  </si>
  <si>
    <t>28311070:eng</t>
  </si>
  <si>
    <t>25632901</t>
  </si>
  <si>
    <t>991002016959702656</t>
  </si>
  <si>
    <t>2268130500002656</t>
  </si>
  <si>
    <t>9780415904353</t>
  </si>
  <si>
    <t>32285001811156</t>
  </si>
  <si>
    <t>893427115</t>
  </si>
  <si>
    <t>NX750.I8 S76 1998</t>
  </si>
  <si>
    <t>0                      NX 0750000I  8                  S  76          1998</t>
  </si>
  <si>
    <t>The patron state : culture &amp; politics in fascist Italy / Marla Susan Stone.</t>
  </si>
  <si>
    <t>Stone, Marla, 1960-</t>
  </si>
  <si>
    <t>Princeton, N.J. : Princeton University Press, c1998.</t>
  </si>
  <si>
    <t>2008-11-26</t>
  </si>
  <si>
    <t>2000-07-31</t>
  </si>
  <si>
    <t>287239704:eng</t>
  </si>
  <si>
    <t>38239295</t>
  </si>
  <si>
    <t>991003224869702656</t>
  </si>
  <si>
    <t>2255273730002656</t>
  </si>
  <si>
    <t>9780691029696</t>
  </si>
  <si>
    <t>32285003743795</t>
  </si>
  <si>
    <t>893524560</t>
  </si>
  <si>
    <t>NX760 .F86 1987</t>
  </si>
  <si>
    <t>0                      NX 0760000F  86          1987</t>
  </si>
  <si>
    <t>Fundamentals of arts management / compiled by the Arts Extension Service, Division of Continuing Education, University of Massachusetts at Amherst ; [writers, Craig Dreeszen ... [et. al.] ; editors, Barbara Schaffer Bacon, John Fiscella].</t>
  </si>
  <si>
    <t>Amherst, Mass. : Arts Extension Service, Division of Continuing Education, University of Massachusetts at Amherst, c1987.</t>
  </si>
  <si>
    <t>1994-02-14</t>
  </si>
  <si>
    <t>1991-07-17</t>
  </si>
  <si>
    <t>349190646:eng</t>
  </si>
  <si>
    <t>21157848</t>
  </si>
  <si>
    <t>991001659519702656</t>
  </si>
  <si>
    <t>2266825590002656</t>
  </si>
  <si>
    <t>32285000661560</t>
  </si>
  <si>
    <t>893690758</t>
  </si>
  <si>
    <t>NX760 .M37</t>
  </si>
  <si>
    <t>0                      NX 0760000M  37</t>
  </si>
  <si>
    <t>Marketing the arts / edited by Michael P. Mokwa, William M. Dawson, E. Arthur Prieve.</t>
  </si>
  <si>
    <t>New York : Praeger, 1980.</t>
  </si>
  <si>
    <t>Praeger series in public and nonprofit sector marketing</t>
  </si>
  <si>
    <t>766792561:eng</t>
  </si>
  <si>
    <t>5777347</t>
  </si>
  <si>
    <t>991004874189702656</t>
  </si>
  <si>
    <t>2256300790002656</t>
  </si>
  <si>
    <t>9780030521416</t>
  </si>
  <si>
    <t>32285001109486</t>
  </si>
  <si>
    <t>893883059</t>
  </si>
  <si>
    <t>NX765 .B87 1999</t>
  </si>
  <si>
    <t>0                      NX 0765000B  87          1999</t>
  </si>
  <si>
    <t>Management and the arts / William J. Byrnes.</t>
  </si>
  <si>
    <t>Byrnes, William J.</t>
  </si>
  <si>
    <t>Boston : Focal Press, c1999.</t>
  </si>
  <si>
    <t>2003-01-06</t>
  </si>
  <si>
    <t>2000-03-23</t>
  </si>
  <si>
    <t>667814:eng</t>
  </si>
  <si>
    <t>40051054</t>
  </si>
  <si>
    <t>991002979389702656</t>
  </si>
  <si>
    <t>2260044100002656</t>
  </si>
  <si>
    <t>9780240803340</t>
  </si>
  <si>
    <t>32285003673786</t>
  </si>
  <si>
    <t>893511438</t>
  </si>
  <si>
    <t>NX765 .J43</t>
  </si>
  <si>
    <t>0                      NX 0765000J  43</t>
  </si>
  <si>
    <t>The emerging arts : management, survival, and growth / Joan Jeffri.</t>
  </si>
  <si>
    <t>Jeffri, Joan.</t>
  </si>
  <si>
    <t>New York, N.Y. : Praeger, 1980.</t>
  </si>
  <si>
    <t>375933039:eng</t>
  </si>
  <si>
    <t>6487544</t>
  </si>
  <si>
    <t>991004991869702656</t>
  </si>
  <si>
    <t>2271788870002656</t>
  </si>
  <si>
    <t>9780030567070</t>
  </si>
  <si>
    <t>32285001717536</t>
  </si>
  <si>
    <t>893430685</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</si>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</sst>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829B6-EB14-4126-9B2E-9683F19CACB7}">
  <dimension ref="A1:BD368"/>
  <sheetViews>
    <sheetView tabSelected="1" workbookViewId="0">
      <pane ySplit="1" topLeftCell="A2" activePane="bottomLeft" state="frozen"/>
      <selection pane="bottomLeft" activeCell="D2" sqref="D2"/>
    </sheetView>
  </sheetViews>
  <sheetFormatPr defaultRowHeight="57.75" customHeight="1" x14ac:dyDescent="0.25"/>
  <cols>
    <col min="1" max="1" width="15.140625" customWidth="1"/>
    <col min="2" max="2" width="17.28515625" customWidth="1"/>
    <col min="3" max="3" width="0" hidden="1" customWidth="1"/>
    <col min="4" max="4" width="55" customWidth="1"/>
    <col min="6" max="10" width="0" hidden="1" customWidth="1"/>
    <col min="11" max="11" width="17.140625" customWidth="1"/>
    <col min="12" max="12" width="15.85546875" customWidth="1"/>
    <col min="14" max="17" width="0" hidden="1" customWidth="1"/>
    <col min="20" max="26" width="0" hidden="1" customWidth="1"/>
    <col min="28" max="28" width="0" hidden="1" customWidth="1"/>
    <col min="30" max="30" width="0" hidden="1" customWidth="1"/>
    <col min="31" max="31" width="15.85546875" customWidth="1"/>
    <col min="32" max="41" width="0" hidden="1" customWidth="1"/>
    <col min="42" max="44" width="10.28515625" customWidth="1"/>
    <col min="47" max="56" width="0" hidden="1" customWidth="1"/>
  </cols>
  <sheetData>
    <row r="1" spans="1:56" ht="57.75" customHeight="1" x14ac:dyDescent="0.25">
      <c r="A1" s="8" t="s">
        <v>4898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57.7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R2" s="3" t="s">
        <v>66</v>
      </c>
      <c r="S2" s="4">
        <v>5</v>
      </c>
      <c r="T2" s="4">
        <v>5</v>
      </c>
      <c r="U2" s="5" t="s">
        <v>67</v>
      </c>
      <c r="V2" s="5" t="s">
        <v>67</v>
      </c>
      <c r="W2" s="5" t="s">
        <v>68</v>
      </c>
      <c r="X2" s="5" t="s">
        <v>68</v>
      </c>
      <c r="Y2" s="4">
        <v>391</v>
      </c>
      <c r="Z2" s="4">
        <v>295</v>
      </c>
      <c r="AA2" s="4">
        <v>296</v>
      </c>
      <c r="AB2" s="4">
        <v>3</v>
      </c>
      <c r="AC2" s="4">
        <v>3</v>
      </c>
      <c r="AD2" s="4">
        <v>11</v>
      </c>
      <c r="AE2" s="4">
        <v>11</v>
      </c>
      <c r="AF2" s="4">
        <v>6</v>
      </c>
      <c r="AG2" s="4">
        <v>6</v>
      </c>
      <c r="AH2" s="4">
        <v>3</v>
      </c>
      <c r="AI2" s="4">
        <v>3</v>
      </c>
      <c r="AJ2" s="4">
        <v>3</v>
      </c>
      <c r="AK2" s="4">
        <v>3</v>
      </c>
      <c r="AL2" s="4">
        <v>2</v>
      </c>
      <c r="AM2" s="4">
        <v>2</v>
      </c>
      <c r="AN2" s="4">
        <v>0</v>
      </c>
      <c r="AO2" s="4">
        <v>0</v>
      </c>
      <c r="AP2" s="3" t="s">
        <v>58</v>
      </c>
      <c r="AQ2" s="3" t="s">
        <v>69</v>
      </c>
      <c r="AR2" s="6" t="str">
        <f>HYPERLINK("http://catalog.hathitrust.org/Record/000218661","HathiTrust Record")</f>
        <v>HathiTrust Record</v>
      </c>
      <c r="AS2" s="6" t="str">
        <f>HYPERLINK("https://creighton-primo.hosted.exlibrisgroup.com/primo-explore/search?tab=default_tab&amp;search_scope=EVERYTHING&amp;vid=01CRU&amp;lang=en_US&amp;offset=0&amp;query=any,contains,991004624469702656","Catalog Record")</f>
        <v>Catalog Record</v>
      </c>
      <c r="AT2" s="6" t="str">
        <f>HYPERLINK("http://www.worldcat.org/oclc/4325668","WorldCat Record")</f>
        <v>WorldCat Record</v>
      </c>
      <c r="AU2" s="3" t="s">
        <v>70</v>
      </c>
      <c r="AV2" s="3" t="s">
        <v>71</v>
      </c>
      <c r="AW2" s="3" t="s">
        <v>72</v>
      </c>
      <c r="AX2" s="3" t="s">
        <v>72</v>
      </c>
      <c r="AY2" s="3" t="s">
        <v>73</v>
      </c>
      <c r="AZ2" s="3" t="s">
        <v>74</v>
      </c>
      <c r="BB2" s="3" t="s">
        <v>75</v>
      </c>
      <c r="BC2" s="3" t="s">
        <v>76</v>
      </c>
      <c r="BD2" s="3" t="s">
        <v>77</v>
      </c>
    </row>
    <row r="3" spans="1:56" ht="57.75" customHeight="1" x14ac:dyDescent="0.25">
      <c r="A3" s="7" t="s">
        <v>58</v>
      </c>
      <c r="B3" s="2" t="s">
        <v>78</v>
      </c>
      <c r="C3" s="2" t="s">
        <v>79</v>
      </c>
      <c r="D3" s="2" t="s">
        <v>80</v>
      </c>
      <c r="F3" s="3" t="s">
        <v>58</v>
      </c>
      <c r="G3" s="3" t="s">
        <v>59</v>
      </c>
      <c r="H3" s="3" t="s">
        <v>58</v>
      </c>
      <c r="I3" s="3" t="s">
        <v>58</v>
      </c>
      <c r="J3" s="3" t="s">
        <v>60</v>
      </c>
      <c r="K3" s="2" t="s">
        <v>81</v>
      </c>
      <c r="L3" s="2" t="s">
        <v>82</v>
      </c>
      <c r="M3" s="3" t="s">
        <v>83</v>
      </c>
      <c r="O3" s="3" t="s">
        <v>64</v>
      </c>
      <c r="P3" s="3" t="s">
        <v>65</v>
      </c>
      <c r="R3" s="3" t="s">
        <v>66</v>
      </c>
      <c r="S3" s="4">
        <v>10</v>
      </c>
      <c r="T3" s="4">
        <v>10</v>
      </c>
      <c r="U3" s="5" t="s">
        <v>84</v>
      </c>
      <c r="V3" s="5" t="s">
        <v>84</v>
      </c>
      <c r="W3" s="5" t="s">
        <v>85</v>
      </c>
      <c r="X3" s="5" t="s">
        <v>85</v>
      </c>
      <c r="Y3" s="4">
        <v>322</v>
      </c>
      <c r="Z3" s="4">
        <v>293</v>
      </c>
      <c r="AA3" s="4">
        <v>321</v>
      </c>
      <c r="AB3" s="4">
        <v>3</v>
      </c>
      <c r="AC3" s="4">
        <v>3</v>
      </c>
      <c r="AD3" s="4">
        <v>23</v>
      </c>
      <c r="AE3" s="4">
        <v>24</v>
      </c>
      <c r="AF3" s="4">
        <v>7</v>
      </c>
      <c r="AG3" s="4">
        <v>7</v>
      </c>
      <c r="AH3" s="4">
        <v>6</v>
      </c>
      <c r="AI3" s="4">
        <v>7</v>
      </c>
      <c r="AJ3" s="4">
        <v>14</v>
      </c>
      <c r="AK3" s="4">
        <v>14</v>
      </c>
      <c r="AL3" s="4">
        <v>1</v>
      </c>
      <c r="AM3" s="4">
        <v>1</v>
      </c>
      <c r="AN3" s="4">
        <v>0</v>
      </c>
      <c r="AO3" s="4">
        <v>0</v>
      </c>
      <c r="AP3" s="3" t="s">
        <v>58</v>
      </c>
      <c r="AQ3" s="3" t="s">
        <v>69</v>
      </c>
      <c r="AR3" s="6" t="str">
        <f>HYPERLINK("http://catalog.hathitrust.org/Record/002710273","HathiTrust Record")</f>
        <v>HathiTrust Record</v>
      </c>
      <c r="AS3" s="6" t="str">
        <f>HYPERLINK("https://creighton-primo.hosted.exlibrisgroup.com/primo-explore/search?tab=default_tab&amp;search_scope=EVERYTHING&amp;vid=01CRU&amp;lang=en_US&amp;offset=0&amp;query=any,contains,991002038089702656","Catalog Record")</f>
        <v>Catalog Record</v>
      </c>
      <c r="AT3" s="6" t="str">
        <f>HYPERLINK("http://www.worldcat.org/oclc/26012334","WorldCat Record")</f>
        <v>WorldCat Record</v>
      </c>
      <c r="AU3" s="3" t="s">
        <v>86</v>
      </c>
      <c r="AV3" s="3" t="s">
        <v>87</v>
      </c>
      <c r="AW3" s="3" t="s">
        <v>88</v>
      </c>
      <c r="AX3" s="3" t="s">
        <v>88</v>
      </c>
      <c r="AY3" s="3" t="s">
        <v>89</v>
      </c>
      <c r="AZ3" s="3" t="s">
        <v>74</v>
      </c>
      <c r="BB3" s="3" t="s">
        <v>90</v>
      </c>
      <c r="BC3" s="3" t="s">
        <v>91</v>
      </c>
      <c r="BD3" s="3" t="s">
        <v>92</v>
      </c>
    </row>
    <row r="4" spans="1:56" ht="57.75" customHeight="1" x14ac:dyDescent="0.25">
      <c r="A4" s="7" t="s">
        <v>58</v>
      </c>
      <c r="B4" s="2" t="s">
        <v>93</v>
      </c>
      <c r="C4" s="2" t="s">
        <v>94</v>
      </c>
      <c r="D4" s="2" t="s">
        <v>95</v>
      </c>
      <c r="F4" s="3" t="s">
        <v>58</v>
      </c>
      <c r="G4" s="3" t="s">
        <v>59</v>
      </c>
      <c r="H4" s="3" t="s">
        <v>58</v>
      </c>
      <c r="I4" s="3" t="s">
        <v>58</v>
      </c>
      <c r="J4" s="3" t="s">
        <v>60</v>
      </c>
      <c r="K4" s="2" t="s">
        <v>96</v>
      </c>
      <c r="L4" s="2" t="s">
        <v>97</v>
      </c>
      <c r="M4" s="3" t="s">
        <v>98</v>
      </c>
      <c r="O4" s="3" t="s">
        <v>64</v>
      </c>
      <c r="P4" s="3" t="s">
        <v>65</v>
      </c>
      <c r="R4" s="3" t="s">
        <v>66</v>
      </c>
      <c r="S4" s="4">
        <v>6</v>
      </c>
      <c r="T4" s="4">
        <v>6</v>
      </c>
      <c r="U4" s="5" t="s">
        <v>99</v>
      </c>
      <c r="V4" s="5" t="s">
        <v>99</v>
      </c>
      <c r="W4" s="5" t="s">
        <v>68</v>
      </c>
      <c r="X4" s="5" t="s">
        <v>68</v>
      </c>
      <c r="Y4" s="4">
        <v>270</v>
      </c>
      <c r="Z4" s="4">
        <v>245</v>
      </c>
      <c r="AA4" s="4">
        <v>423</v>
      </c>
      <c r="AB4" s="4">
        <v>1</v>
      </c>
      <c r="AC4" s="4">
        <v>3</v>
      </c>
      <c r="AD4" s="4">
        <v>5</v>
      </c>
      <c r="AE4" s="4">
        <v>11</v>
      </c>
      <c r="AF4" s="4">
        <v>2</v>
      </c>
      <c r="AG4" s="4">
        <v>2</v>
      </c>
      <c r="AH4" s="4">
        <v>2</v>
      </c>
      <c r="AI4" s="4">
        <v>3</v>
      </c>
      <c r="AJ4" s="4">
        <v>2</v>
      </c>
      <c r="AK4" s="4">
        <v>6</v>
      </c>
      <c r="AL4" s="4">
        <v>0</v>
      </c>
      <c r="AM4" s="4">
        <v>1</v>
      </c>
      <c r="AN4" s="4">
        <v>0</v>
      </c>
      <c r="AO4" s="4">
        <v>0</v>
      </c>
      <c r="AP4" s="3" t="s">
        <v>58</v>
      </c>
      <c r="AQ4" s="3" t="s">
        <v>69</v>
      </c>
      <c r="AR4" s="6" t="str">
        <f>HYPERLINK("http://catalog.hathitrust.org/Record/001470064","HathiTrust Record")</f>
        <v>HathiTrust Record</v>
      </c>
      <c r="AS4" s="6" t="str">
        <f>HYPERLINK("https://creighton-primo.hosted.exlibrisgroup.com/primo-explore/search?tab=default_tab&amp;search_scope=EVERYTHING&amp;vid=01CRU&amp;lang=en_US&amp;offset=0&amp;query=any,contains,991004388199702656","Catalog Record")</f>
        <v>Catalog Record</v>
      </c>
      <c r="AT4" s="6" t="str">
        <f>HYPERLINK("http://www.worldcat.org/oclc/3251208","WorldCat Record")</f>
        <v>WorldCat Record</v>
      </c>
      <c r="AU4" s="3" t="s">
        <v>100</v>
      </c>
      <c r="AV4" s="3" t="s">
        <v>101</v>
      </c>
      <c r="AW4" s="3" t="s">
        <v>102</v>
      </c>
      <c r="AX4" s="3" t="s">
        <v>102</v>
      </c>
      <c r="AY4" s="3" t="s">
        <v>103</v>
      </c>
      <c r="AZ4" s="3" t="s">
        <v>74</v>
      </c>
      <c r="BC4" s="3" t="s">
        <v>104</v>
      </c>
      <c r="BD4" s="3" t="s">
        <v>105</v>
      </c>
    </row>
    <row r="5" spans="1:56" ht="57.75" customHeight="1" x14ac:dyDescent="0.25">
      <c r="A5" s="7" t="s">
        <v>58</v>
      </c>
      <c r="B5" s="2" t="s">
        <v>106</v>
      </c>
      <c r="C5" s="2" t="s">
        <v>107</v>
      </c>
      <c r="D5" s="2" t="s">
        <v>108</v>
      </c>
      <c r="F5" s="3" t="s">
        <v>58</v>
      </c>
      <c r="G5" s="3" t="s">
        <v>59</v>
      </c>
      <c r="H5" s="3" t="s">
        <v>58</v>
      </c>
      <c r="I5" s="3" t="s">
        <v>58</v>
      </c>
      <c r="J5" s="3" t="s">
        <v>60</v>
      </c>
      <c r="K5" s="2" t="s">
        <v>109</v>
      </c>
      <c r="L5" s="2" t="s">
        <v>110</v>
      </c>
      <c r="M5" s="3" t="s">
        <v>111</v>
      </c>
      <c r="O5" s="3" t="s">
        <v>64</v>
      </c>
      <c r="P5" s="3" t="s">
        <v>65</v>
      </c>
      <c r="R5" s="3" t="s">
        <v>66</v>
      </c>
      <c r="S5" s="4">
        <v>2</v>
      </c>
      <c r="T5" s="4">
        <v>2</v>
      </c>
      <c r="U5" s="5" t="s">
        <v>112</v>
      </c>
      <c r="V5" s="5" t="s">
        <v>112</v>
      </c>
      <c r="W5" s="5" t="s">
        <v>113</v>
      </c>
      <c r="X5" s="5" t="s">
        <v>113</v>
      </c>
      <c r="Y5" s="4">
        <v>370</v>
      </c>
      <c r="Z5" s="4">
        <v>351</v>
      </c>
      <c r="AA5" s="4">
        <v>794</v>
      </c>
      <c r="AB5" s="4">
        <v>3</v>
      </c>
      <c r="AC5" s="4">
        <v>7</v>
      </c>
      <c r="AD5" s="4">
        <v>13</v>
      </c>
      <c r="AE5" s="4">
        <v>29</v>
      </c>
      <c r="AF5" s="4">
        <v>6</v>
      </c>
      <c r="AG5" s="4">
        <v>13</v>
      </c>
      <c r="AH5" s="4">
        <v>2</v>
      </c>
      <c r="AI5" s="4">
        <v>4</v>
      </c>
      <c r="AJ5" s="4">
        <v>6</v>
      </c>
      <c r="AK5" s="4">
        <v>14</v>
      </c>
      <c r="AL5" s="4">
        <v>2</v>
      </c>
      <c r="AM5" s="4">
        <v>5</v>
      </c>
      <c r="AN5" s="4">
        <v>0</v>
      </c>
      <c r="AO5" s="4">
        <v>0</v>
      </c>
      <c r="AP5" s="3" t="s">
        <v>69</v>
      </c>
      <c r="AQ5" s="3" t="s">
        <v>58</v>
      </c>
      <c r="AR5" s="6" t="str">
        <f>HYPERLINK("http://catalog.hathitrust.org/Record/007125831","HathiTrust Record")</f>
        <v>HathiTrust Record</v>
      </c>
      <c r="AS5" s="6" t="str">
        <f>HYPERLINK("https://creighton-primo.hosted.exlibrisgroup.com/primo-explore/search?tab=default_tab&amp;search_scope=EVERYTHING&amp;vid=01CRU&amp;lang=en_US&amp;offset=0&amp;query=any,contains,991003685519702656","Catalog Record")</f>
        <v>Catalog Record</v>
      </c>
      <c r="AT5" s="6" t="str">
        <f>HYPERLINK("http://www.worldcat.org/oclc/1313420","WorldCat Record")</f>
        <v>WorldCat Record</v>
      </c>
      <c r="AU5" s="3" t="s">
        <v>114</v>
      </c>
      <c r="AV5" s="3" t="s">
        <v>115</v>
      </c>
      <c r="AW5" s="3" t="s">
        <v>116</v>
      </c>
      <c r="AX5" s="3" t="s">
        <v>116</v>
      </c>
      <c r="AY5" s="3" t="s">
        <v>117</v>
      </c>
      <c r="AZ5" s="3" t="s">
        <v>74</v>
      </c>
      <c r="BC5" s="3" t="s">
        <v>118</v>
      </c>
      <c r="BD5" s="3" t="s">
        <v>119</v>
      </c>
    </row>
    <row r="6" spans="1:56" ht="57.75" customHeight="1" x14ac:dyDescent="0.25">
      <c r="A6" s="7" t="s">
        <v>58</v>
      </c>
      <c r="B6" s="2" t="s">
        <v>120</v>
      </c>
      <c r="C6" s="2" t="s">
        <v>121</v>
      </c>
      <c r="D6" s="2" t="s">
        <v>122</v>
      </c>
      <c r="F6" s="3" t="s">
        <v>58</v>
      </c>
      <c r="G6" s="3" t="s">
        <v>59</v>
      </c>
      <c r="H6" s="3" t="s">
        <v>58</v>
      </c>
      <c r="I6" s="3" t="s">
        <v>58</v>
      </c>
      <c r="J6" s="3" t="s">
        <v>60</v>
      </c>
      <c r="K6" s="2" t="s">
        <v>123</v>
      </c>
      <c r="L6" s="2" t="s">
        <v>124</v>
      </c>
      <c r="M6" s="3" t="s">
        <v>98</v>
      </c>
      <c r="O6" s="3" t="s">
        <v>64</v>
      </c>
      <c r="P6" s="3" t="s">
        <v>65</v>
      </c>
      <c r="R6" s="3" t="s">
        <v>66</v>
      </c>
      <c r="S6" s="4">
        <v>2</v>
      </c>
      <c r="T6" s="4">
        <v>2</v>
      </c>
      <c r="U6" s="5" t="s">
        <v>125</v>
      </c>
      <c r="V6" s="5" t="s">
        <v>125</v>
      </c>
      <c r="W6" s="5" t="s">
        <v>126</v>
      </c>
      <c r="X6" s="5" t="s">
        <v>126</v>
      </c>
      <c r="Y6" s="4">
        <v>587</v>
      </c>
      <c r="Z6" s="4">
        <v>563</v>
      </c>
      <c r="AA6" s="4">
        <v>606</v>
      </c>
      <c r="AB6" s="4">
        <v>2</v>
      </c>
      <c r="AC6" s="4">
        <v>2</v>
      </c>
      <c r="AD6" s="4">
        <v>13</v>
      </c>
      <c r="AE6" s="4">
        <v>15</v>
      </c>
      <c r="AF6" s="4">
        <v>5</v>
      </c>
      <c r="AG6" s="4">
        <v>7</v>
      </c>
      <c r="AH6" s="4">
        <v>4</v>
      </c>
      <c r="AI6" s="4">
        <v>4</v>
      </c>
      <c r="AJ6" s="4">
        <v>7</v>
      </c>
      <c r="AK6" s="4">
        <v>7</v>
      </c>
      <c r="AL6" s="4">
        <v>1</v>
      </c>
      <c r="AM6" s="4">
        <v>1</v>
      </c>
      <c r="AN6" s="4">
        <v>0</v>
      </c>
      <c r="AO6" s="4">
        <v>0</v>
      </c>
      <c r="AP6" s="3" t="s">
        <v>58</v>
      </c>
      <c r="AQ6" s="3" t="s">
        <v>69</v>
      </c>
      <c r="AR6" s="6" t="str">
        <f>HYPERLINK("http://catalog.hathitrust.org/Record/001470125","HathiTrust Record")</f>
        <v>HathiTrust Record</v>
      </c>
      <c r="AS6" s="6" t="str">
        <f>HYPERLINK("https://creighton-primo.hosted.exlibrisgroup.com/primo-explore/search?tab=default_tab&amp;search_scope=EVERYTHING&amp;vid=01CRU&amp;lang=en_US&amp;offset=0&amp;query=any,contains,991002288339702656","Catalog Record")</f>
        <v>Catalog Record</v>
      </c>
      <c r="AT6" s="6" t="str">
        <f>HYPERLINK("http://www.worldcat.org/oclc/312255","WorldCat Record")</f>
        <v>WorldCat Record</v>
      </c>
      <c r="AU6" s="3" t="s">
        <v>127</v>
      </c>
      <c r="AV6" s="3" t="s">
        <v>128</v>
      </c>
      <c r="AW6" s="3" t="s">
        <v>129</v>
      </c>
      <c r="AX6" s="3" t="s">
        <v>129</v>
      </c>
      <c r="AY6" s="3" t="s">
        <v>130</v>
      </c>
      <c r="AZ6" s="3" t="s">
        <v>74</v>
      </c>
      <c r="BC6" s="3" t="s">
        <v>131</v>
      </c>
      <c r="BD6" s="3" t="s">
        <v>132</v>
      </c>
    </row>
    <row r="7" spans="1:56" ht="57.75" customHeight="1" x14ac:dyDescent="0.25">
      <c r="A7" s="7" t="s">
        <v>58</v>
      </c>
      <c r="B7" s="2" t="s">
        <v>133</v>
      </c>
      <c r="C7" s="2" t="s">
        <v>134</v>
      </c>
      <c r="D7" s="2" t="s">
        <v>135</v>
      </c>
      <c r="F7" s="3" t="s">
        <v>58</v>
      </c>
      <c r="G7" s="3" t="s">
        <v>59</v>
      </c>
      <c r="H7" s="3" t="s">
        <v>58</v>
      </c>
      <c r="I7" s="3" t="s">
        <v>58</v>
      </c>
      <c r="J7" s="3" t="s">
        <v>60</v>
      </c>
      <c r="K7" s="2" t="s">
        <v>136</v>
      </c>
      <c r="L7" s="2" t="s">
        <v>137</v>
      </c>
      <c r="M7" s="3" t="s">
        <v>138</v>
      </c>
      <c r="N7" s="2" t="s">
        <v>139</v>
      </c>
      <c r="O7" s="3" t="s">
        <v>64</v>
      </c>
      <c r="P7" s="3" t="s">
        <v>65</v>
      </c>
      <c r="R7" s="3" t="s">
        <v>66</v>
      </c>
      <c r="S7" s="4">
        <v>3</v>
      </c>
      <c r="T7" s="4">
        <v>3</v>
      </c>
      <c r="U7" s="5" t="s">
        <v>140</v>
      </c>
      <c r="V7" s="5" t="s">
        <v>140</v>
      </c>
      <c r="W7" s="5" t="s">
        <v>68</v>
      </c>
      <c r="X7" s="5" t="s">
        <v>68</v>
      </c>
      <c r="Y7" s="4">
        <v>86</v>
      </c>
      <c r="Z7" s="4">
        <v>61</v>
      </c>
      <c r="AA7" s="4">
        <v>61</v>
      </c>
      <c r="AB7" s="4">
        <v>2</v>
      </c>
      <c r="AC7" s="4">
        <v>2</v>
      </c>
      <c r="AD7" s="4">
        <v>3</v>
      </c>
      <c r="AE7" s="4">
        <v>3</v>
      </c>
      <c r="AF7" s="4">
        <v>1</v>
      </c>
      <c r="AG7" s="4">
        <v>1</v>
      </c>
      <c r="AH7" s="4">
        <v>1</v>
      </c>
      <c r="AI7" s="4">
        <v>1</v>
      </c>
      <c r="AJ7" s="4">
        <v>1</v>
      </c>
      <c r="AK7" s="4">
        <v>1</v>
      </c>
      <c r="AL7" s="4">
        <v>1</v>
      </c>
      <c r="AM7" s="4">
        <v>1</v>
      </c>
      <c r="AN7" s="4">
        <v>0</v>
      </c>
      <c r="AO7" s="4">
        <v>0</v>
      </c>
      <c r="AP7" s="3" t="s">
        <v>58</v>
      </c>
      <c r="AQ7" s="3" t="s">
        <v>58</v>
      </c>
      <c r="AS7" s="6" t="str">
        <f>HYPERLINK("https://creighton-primo.hosted.exlibrisgroup.com/primo-explore/search?tab=default_tab&amp;search_scope=EVERYTHING&amp;vid=01CRU&amp;lang=en_US&amp;offset=0&amp;query=any,contains,991004980999702656","Catalog Record")</f>
        <v>Catalog Record</v>
      </c>
      <c r="AT7" s="6" t="str">
        <f>HYPERLINK("http://www.worldcat.org/oclc/6422102","WorldCat Record")</f>
        <v>WorldCat Record</v>
      </c>
      <c r="AU7" s="3" t="s">
        <v>141</v>
      </c>
      <c r="AV7" s="3" t="s">
        <v>142</v>
      </c>
      <c r="AW7" s="3" t="s">
        <v>143</v>
      </c>
      <c r="AX7" s="3" t="s">
        <v>143</v>
      </c>
      <c r="AY7" s="3" t="s">
        <v>144</v>
      </c>
      <c r="AZ7" s="3" t="s">
        <v>74</v>
      </c>
      <c r="BB7" s="3" t="s">
        <v>145</v>
      </c>
      <c r="BC7" s="3" t="s">
        <v>146</v>
      </c>
      <c r="BD7" s="3" t="s">
        <v>147</v>
      </c>
    </row>
    <row r="8" spans="1:56" ht="57.75" customHeight="1" x14ac:dyDescent="0.25">
      <c r="A8" s="7" t="s">
        <v>58</v>
      </c>
      <c r="B8" s="2" t="s">
        <v>148</v>
      </c>
      <c r="C8" s="2" t="s">
        <v>149</v>
      </c>
      <c r="D8" s="2" t="s">
        <v>150</v>
      </c>
      <c r="F8" s="3" t="s">
        <v>58</v>
      </c>
      <c r="G8" s="3" t="s">
        <v>59</v>
      </c>
      <c r="H8" s="3" t="s">
        <v>58</v>
      </c>
      <c r="I8" s="3" t="s">
        <v>58</v>
      </c>
      <c r="J8" s="3" t="s">
        <v>60</v>
      </c>
      <c r="K8" s="2" t="s">
        <v>151</v>
      </c>
      <c r="L8" s="2" t="s">
        <v>152</v>
      </c>
      <c r="M8" s="3" t="s">
        <v>153</v>
      </c>
      <c r="O8" s="3" t="s">
        <v>64</v>
      </c>
      <c r="P8" s="3" t="s">
        <v>154</v>
      </c>
      <c r="R8" s="3" t="s">
        <v>66</v>
      </c>
      <c r="S8" s="4">
        <v>1</v>
      </c>
      <c r="T8" s="4">
        <v>1</v>
      </c>
      <c r="U8" s="5" t="s">
        <v>155</v>
      </c>
      <c r="V8" s="5" t="s">
        <v>155</v>
      </c>
      <c r="W8" s="5" t="s">
        <v>68</v>
      </c>
      <c r="X8" s="5" t="s">
        <v>68</v>
      </c>
      <c r="Y8" s="4">
        <v>1055</v>
      </c>
      <c r="Z8" s="4">
        <v>954</v>
      </c>
      <c r="AA8" s="4">
        <v>994</v>
      </c>
      <c r="AB8" s="4">
        <v>3</v>
      </c>
      <c r="AC8" s="4">
        <v>3</v>
      </c>
      <c r="AD8" s="4">
        <v>21</v>
      </c>
      <c r="AE8" s="4">
        <v>22</v>
      </c>
      <c r="AF8" s="4">
        <v>8</v>
      </c>
      <c r="AG8" s="4">
        <v>9</v>
      </c>
      <c r="AH8" s="4">
        <v>4</v>
      </c>
      <c r="AI8" s="4">
        <v>4</v>
      </c>
      <c r="AJ8" s="4">
        <v>13</v>
      </c>
      <c r="AK8" s="4">
        <v>14</v>
      </c>
      <c r="AL8" s="4">
        <v>1</v>
      </c>
      <c r="AM8" s="4">
        <v>1</v>
      </c>
      <c r="AN8" s="4">
        <v>0</v>
      </c>
      <c r="AO8" s="4">
        <v>0</v>
      </c>
      <c r="AP8" s="3" t="s">
        <v>58</v>
      </c>
      <c r="AQ8" s="3" t="s">
        <v>69</v>
      </c>
      <c r="AR8" s="6" t="str">
        <f>HYPERLINK("http://catalog.hathitrust.org/Record/001470166","HathiTrust Record")</f>
        <v>HathiTrust Record</v>
      </c>
      <c r="AS8" s="6" t="str">
        <f>HYPERLINK("https://creighton-primo.hosted.exlibrisgroup.com/primo-explore/search?tab=default_tab&amp;search_scope=EVERYTHING&amp;vid=01CRU&amp;lang=en_US&amp;offset=0&amp;query=any,contains,991003175629702656","Catalog Record")</f>
        <v>Catalog Record</v>
      </c>
      <c r="AT8" s="6" t="str">
        <f>HYPERLINK("http://www.worldcat.org/oclc/519182","WorldCat Record")</f>
        <v>WorldCat Record</v>
      </c>
      <c r="AU8" s="3" t="s">
        <v>156</v>
      </c>
      <c r="AV8" s="3" t="s">
        <v>157</v>
      </c>
      <c r="AW8" s="3" t="s">
        <v>158</v>
      </c>
      <c r="AX8" s="3" t="s">
        <v>158</v>
      </c>
      <c r="AY8" s="3" t="s">
        <v>159</v>
      </c>
      <c r="AZ8" s="3" t="s">
        <v>74</v>
      </c>
      <c r="BC8" s="3" t="s">
        <v>160</v>
      </c>
      <c r="BD8" s="3" t="s">
        <v>161</v>
      </c>
    </row>
    <row r="9" spans="1:56" ht="57.75" customHeight="1" x14ac:dyDescent="0.25">
      <c r="A9" s="7" t="s">
        <v>58</v>
      </c>
      <c r="B9" s="2" t="s">
        <v>162</v>
      </c>
      <c r="C9" s="2" t="s">
        <v>163</v>
      </c>
      <c r="D9" s="2" t="s">
        <v>164</v>
      </c>
      <c r="F9" s="3" t="s">
        <v>58</v>
      </c>
      <c r="G9" s="3" t="s">
        <v>59</v>
      </c>
      <c r="H9" s="3" t="s">
        <v>58</v>
      </c>
      <c r="I9" s="3" t="s">
        <v>58</v>
      </c>
      <c r="J9" s="3" t="s">
        <v>60</v>
      </c>
      <c r="K9" s="2" t="s">
        <v>165</v>
      </c>
      <c r="L9" s="2" t="s">
        <v>166</v>
      </c>
      <c r="M9" s="3" t="s">
        <v>98</v>
      </c>
      <c r="O9" s="3" t="s">
        <v>64</v>
      </c>
      <c r="P9" s="3" t="s">
        <v>65</v>
      </c>
      <c r="R9" s="3" t="s">
        <v>66</v>
      </c>
      <c r="S9" s="4">
        <v>1</v>
      </c>
      <c r="T9" s="4">
        <v>1</v>
      </c>
      <c r="U9" s="5" t="s">
        <v>167</v>
      </c>
      <c r="V9" s="5" t="s">
        <v>167</v>
      </c>
      <c r="W9" s="5" t="s">
        <v>167</v>
      </c>
      <c r="X9" s="5" t="s">
        <v>167</v>
      </c>
      <c r="Y9" s="4">
        <v>377</v>
      </c>
      <c r="Z9" s="4">
        <v>358</v>
      </c>
      <c r="AA9" s="4">
        <v>386</v>
      </c>
      <c r="AB9" s="4">
        <v>3</v>
      </c>
      <c r="AC9" s="4">
        <v>3</v>
      </c>
      <c r="AD9" s="4">
        <v>5</v>
      </c>
      <c r="AE9" s="4">
        <v>6</v>
      </c>
      <c r="AF9" s="4">
        <v>1</v>
      </c>
      <c r="AG9" s="4">
        <v>1</v>
      </c>
      <c r="AH9" s="4">
        <v>1</v>
      </c>
      <c r="AI9" s="4">
        <v>2</v>
      </c>
      <c r="AJ9" s="4">
        <v>4</v>
      </c>
      <c r="AK9" s="4">
        <v>5</v>
      </c>
      <c r="AL9" s="4">
        <v>1</v>
      </c>
      <c r="AM9" s="4">
        <v>1</v>
      </c>
      <c r="AN9" s="4">
        <v>0</v>
      </c>
      <c r="AO9" s="4">
        <v>0</v>
      </c>
      <c r="AP9" s="3" t="s">
        <v>58</v>
      </c>
      <c r="AQ9" s="3" t="s">
        <v>69</v>
      </c>
      <c r="AR9" s="6" t="str">
        <f>HYPERLINK("http://catalog.hathitrust.org/Record/001470179","HathiTrust Record")</f>
        <v>HathiTrust Record</v>
      </c>
      <c r="AS9" s="6" t="str">
        <f>HYPERLINK("https://creighton-primo.hosted.exlibrisgroup.com/primo-explore/search?tab=default_tab&amp;search_scope=EVERYTHING&amp;vid=01CRU&amp;lang=en_US&amp;offset=0&amp;query=any,contains,991005008399702656","Catalog Record")</f>
        <v>Catalog Record</v>
      </c>
      <c r="AT9" s="6" t="str">
        <f>HYPERLINK("http://www.worldcat.org/oclc/715916","WorldCat Record")</f>
        <v>WorldCat Record</v>
      </c>
      <c r="AU9" s="3" t="s">
        <v>168</v>
      </c>
      <c r="AV9" s="3" t="s">
        <v>169</v>
      </c>
      <c r="AW9" s="3" t="s">
        <v>170</v>
      </c>
      <c r="AX9" s="3" t="s">
        <v>170</v>
      </c>
      <c r="AY9" s="3" t="s">
        <v>171</v>
      </c>
      <c r="AZ9" s="3" t="s">
        <v>74</v>
      </c>
      <c r="BC9" s="3" t="s">
        <v>172</v>
      </c>
      <c r="BD9" s="3" t="s">
        <v>173</v>
      </c>
    </row>
    <row r="10" spans="1:56" ht="57.75" customHeight="1" x14ac:dyDescent="0.25">
      <c r="A10" s="7" t="s">
        <v>58</v>
      </c>
      <c r="B10" s="2" t="s">
        <v>174</v>
      </c>
      <c r="C10" s="2" t="s">
        <v>175</v>
      </c>
      <c r="D10" s="2" t="s">
        <v>176</v>
      </c>
      <c r="F10" s="3" t="s">
        <v>58</v>
      </c>
      <c r="G10" s="3" t="s">
        <v>59</v>
      </c>
      <c r="H10" s="3" t="s">
        <v>58</v>
      </c>
      <c r="I10" s="3" t="s">
        <v>58</v>
      </c>
      <c r="J10" s="3" t="s">
        <v>60</v>
      </c>
      <c r="K10" s="2" t="s">
        <v>177</v>
      </c>
      <c r="M10" s="3" t="s">
        <v>178</v>
      </c>
      <c r="O10" s="3" t="s">
        <v>64</v>
      </c>
      <c r="P10" s="3" t="s">
        <v>179</v>
      </c>
      <c r="R10" s="3" t="s">
        <v>66</v>
      </c>
      <c r="S10" s="4">
        <v>1</v>
      </c>
      <c r="T10" s="4">
        <v>1</v>
      </c>
      <c r="U10" s="5" t="s">
        <v>167</v>
      </c>
      <c r="V10" s="5" t="s">
        <v>167</v>
      </c>
      <c r="W10" s="5" t="s">
        <v>167</v>
      </c>
      <c r="X10" s="5" t="s">
        <v>167</v>
      </c>
      <c r="Y10" s="4">
        <v>605</v>
      </c>
      <c r="Z10" s="4">
        <v>534</v>
      </c>
      <c r="AA10" s="4">
        <v>554</v>
      </c>
      <c r="AB10" s="4">
        <v>4</v>
      </c>
      <c r="AC10" s="4">
        <v>4</v>
      </c>
      <c r="AD10" s="4">
        <v>23</v>
      </c>
      <c r="AE10" s="4">
        <v>23</v>
      </c>
      <c r="AF10" s="4">
        <v>10</v>
      </c>
      <c r="AG10" s="4">
        <v>10</v>
      </c>
      <c r="AH10" s="4">
        <v>6</v>
      </c>
      <c r="AI10" s="4">
        <v>6</v>
      </c>
      <c r="AJ10" s="4">
        <v>11</v>
      </c>
      <c r="AK10" s="4">
        <v>11</v>
      </c>
      <c r="AL10" s="4">
        <v>2</v>
      </c>
      <c r="AM10" s="4">
        <v>2</v>
      </c>
      <c r="AN10" s="4">
        <v>0</v>
      </c>
      <c r="AO10" s="4">
        <v>0</v>
      </c>
      <c r="AP10" s="3" t="s">
        <v>58</v>
      </c>
      <c r="AQ10" s="3" t="s">
        <v>69</v>
      </c>
      <c r="AR10" s="6" t="str">
        <f>HYPERLINK("http://catalog.hathitrust.org/Record/001470192","HathiTrust Record")</f>
        <v>HathiTrust Record</v>
      </c>
      <c r="AS10" s="6" t="str">
        <f>HYPERLINK("https://creighton-primo.hosted.exlibrisgroup.com/primo-explore/search?tab=default_tab&amp;search_scope=EVERYTHING&amp;vid=01CRU&amp;lang=en_US&amp;offset=0&amp;query=any,contains,991005008749702656","Catalog Record")</f>
        <v>Catalog Record</v>
      </c>
      <c r="AT10" s="6" t="str">
        <f>HYPERLINK("http://www.worldcat.org/oclc/803812","WorldCat Record")</f>
        <v>WorldCat Record</v>
      </c>
      <c r="AU10" s="3" t="s">
        <v>180</v>
      </c>
      <c r="AV10" s="3" t="s">
        <v>181</v>
      </c>
      <c r="AW10" s="3" t="s">
        <v>182</v>
      </c>
      <c r="AX10" s="3" t="s">
        <v>182</v>
      </c>
      <c r="AY10" s="3" t="s">
        <v>183</v>
      </c>
      <c r="AZ10" s="3" t="s">
        <v>74</v>
      </c>
      <c r="BC10" s="3" t="s">
        <v>184</v>
      </c>
      <c r="BD10" s="3" t="s">
        <v>185</v>
      </c>
    </row>
    <row r="11" spans="1:56" ht="57.75" customHeight="1" x14ac:dyDescent="0.25">
      <c r="A11" s="7" t="s">
        <v>58</v>
      </c>
      <c r="B11" s="2" t="s">
        <v>186</v>
      </c>
      <c r="C11" s="2" t="s">
        <v>187</v>
      </c>
      <c r="D11" s="2" t="s">
        <v>188</v>
      </c>
      <c r="F11" s="3" t="s">
        <v>58</v>
      </c>
      <c r="G11" s="3" t="s">
        <v>59</v>
      </c>
      <c r="H11" s="3" t="s">
        <v>58</v>
      </c>
      <c r="I11" s="3" t="s">
        <v>58</v>
      </c>
      <c r="J11" s="3" t="s">
        <v>60</v>
      </c>
      <c r="K11" s="2" t="s">
        <v>189</v>
      </c>
      <c r="L11" s="2" t="s">
        <v>190</v>
      </c>
      <c r="M11" s="3" t="s">
        <v>191</v>
      </c>
      <c r="O11" s="3" t="s">
        <v>64</v>
      </c>
      <c r="P11" s="3" t="s">
        <v>65</v>
      </c>
      <c r="R11" s="3" t="s">
        <v>66</v>
      </c>
      <c r="S11" s="4">
        <v>2</v>
      </c>
      <c r="T11" s="4">
        <v>2</v>
      </c>
      <c r="U11" s="5" t="s">
        <v>140</v>
      </c>
      <c r="V11" s="5" t="s">
        <v>140</v>
      </c>
      <c r="W11" s="5" t="s">
        <v>192</v>
      </c>
      <c r="X11" s="5" t="s">
        <v>192</v>
      </c>
      <c r="Y11" s="4">
        <v>177</v>
      </c>
      <c r="Z11" s="4">
        <v>164</v>
      </c>
      <c r="AA11" s="4">
        <v>168</v>
      </c>
      <c r="AB11" s="4">
        <v>2</v>
      </c>
      <c r="AC11" s="4">
        <v>2</v>
      </c>
      <c r="AD11" s="4">
        <v>9</v>
      </c>
      <c r="AE11" s="4">
        <v>9</v>
      </c>
      <c r="AF11" s="4">
        <v>4</v>
      </c>
      <c r="AG11" s="4">
        <v>4</v>
      </c>
      <c r="AH11" s="4">
        <v>4</v>
      </c>
      <c r="AI11" s="4">
        <v>4</v>
      </c>
      <c r="AJ11" s="4">
        <v>2</v>
      </c>
      <c r="AK11" s="4">
        <v>2</v>
      </c>
      <c r="AL11" s="4">
        <v>0</v>
      </c>
      <c r="AM11" s="4">
        <v>0</v>
      </c>
      <c r="AN11" s="4">
        <v>0</v>
      </c>
      <c r="AO11" s="4">
        <v>0</v>
      </c>
      <c r="AP11" s="3" t="s">
        <v>58</v>
      </c>
      <c r="AQ11" s="3" t="s">
        <v>69</v>
      </c>
      <c r="AR11" s="6" t="str">
        <f>HYPERLINK("http://catalog.hathitrust.org/Record/009927147","HathiTrust Record")</f>
        <v>HathiTrust Record</v>
      </c>
      <c r="AS11" s="6" t="str">
        <f>HYPERLINK("https://creighton-primo.hosted.exlibrisgroup.com/primo-explore/search?tab=default_tab&amp;search_scope=EVERYTHING&amp;vid=01CRU&amp;lang=en_US&amp;offset=0&amp;query=any,contains,991000133919702656","Catalog Record")</f>
        <v>Catalog Record</v>
      </c>
      <c r="AT11" s="6" t="str">
        <f>HYPERLINK("http://www.worldcat.org/oclc/9123543","WorldCat Record")</f>
        <v>WorldCat Record</v>
      </c>
      <c r="AU11" s="3" t="s">
        <v>193</v>
      </c>
      <c r="AV11" s="3" t="s">
        <v>194</v>
      </c>
      <c r="AW11" s="3" t="s">
        <v>195</v>
      </c>
      <c r="AX11" s="3" t="s">
        <v>195</v>
      </c>
      <c r="AY11" s="3" t="s">
        <v>196</v>
      </c>
      <c r="AZ11" s="3" t="s">
        <v>74</v>
      </c>
      <c r="BB11" s="3" t="s">
        <v>197</v>
      </c>
      <c r="BC11" s="3" t="s">
        <v>198</v>
      </c>
      <c r="BD11" s="3" t="s">
        <v>199</v>
      </c>
    </row>
    <row r="12" spans="1:56" ht="57.75" customHeight="1" x14ac:dyDescent="0.25">
      <c r="A12" s="7" t="s">
        <v>58</v>
      </c>
      <c r="B12" s="2" t="s">
        <v>200</v>
      </c>
      <c r="C12" s="2" t="s">
        <v>201</v>
      </c>
      <c r="D12" s="2" t="s">
        <v>202</v>
      </c>
      <c r="F12" s="3" t="s">
        <v>58</v>
      </c>
      <c r="G12" s="3" t="s">
        <v>59</v>
      </c>
      <c r="H12" s="3" t="s">
        <v>58</v>
      </c>
      <c r="I12" s="3" t="s">
        <v>58</v>
      </c>
      <c r="J12" s="3" t="s">
        <v>60</v>
      </c>
      <c r="K12" s="2" t="s">
        <v>203</v>
      </c>
      <c r="L12" s="2" t="s">
        <v>204</v>
      </c>
      <c r="M12" s="3" t="s">
        <v>205</v>
      </c>
      <c r="O12" s="3" t="s">
        <v>64</v>
      </c>
      <c r="P12" s="3" t="s">
        <v>206</v>
      </c>
      <c r="R12" s="3" t="s">
        <v>66</v>
      </c>
      <c r="S12" s="4">
        <v>3</v>
      </c>
      <c r="T12" s="4">
        <v>3</v>
      </c>
      <c r="U12" s="5" t="s">
        <v>207</v>
      </c>
      <c r="V12" s="5" t="s">
        <v>207</v>
      </c>
      <c r="W12" s="5" t="s">
        <v>208</v>
      </c>
      <c r="X12" s="5" t="s">
        <v>208</v>
      </c>
      <c r="Y12" s="4">
        <v>252</v>
      </c>
      <c r="Z12" s="4">
        <v>221</v>
      </c>
      <c r="AA12" s="4">
        <v>227</v>
      </c>
      <c r="AB12" s="4">
        <v>3</v>
      </c>
      <c r="AC12" s="4">
        <v>3</v>
      </c>
      <c r="AD12" s="4">
        <v>10</v>
      </c>
      <c r="AE12" s="4">
        <v>10</v>
      </c>
      <c r="AF12" s="4">
        <v>5</v>
      </c>
      <c r="AG12" s="4">
        <v>5</v>
      </c>
      <c r="AH12" s="4">
        <v>1</v>
      </c>
      <c r="AI12" s="4">
        <v>1</v>
      </c>
      <c r="AJ12" s="4">
        <v>5</v>
      </c>
      <c r="AK12" s="4">
        <v>5</v>
      </c>
      <c r="AL12" s="4">
        <v>2</v>
      </c>
      <c r="AM12" s="4">
        <v>2</v>
      </c>
      <c r="AN12" s="4">
        <v>0</v>
      </c>
      <c r="AO12" s="4">
        <v>0</v>
      </c>
      <c r="AP12" s="3" t="s">
        <v>58</v>
      </c>
      <c r="AQ12" s="3" t="s">
        <v>69</v>
      </c>
      <c r="AR12" s="6" t="str">
        <f>HYPERLINK("http://catalog.hathitrust.org/Record/005056931","HathiTrust Record")</f>
        <v>HathiTrust Record</v>
      </c>
      <c r="AS12" s="6" t="str">
        <f>HYPERLINK("https://creighton-primo.hosted.exlibrisgroup.com/primo-explore/search?tab=default_tab&amp;search_scope=EVERYTHING&amp;vid=01CRU&amp;lang=en_US&amp;offset=0&amp;query=any,contains,991004670869702656","Catalog Record")</f>
        <v>Catalog Record</v>
      </c>
      <c r="AT12" s="6" t="str">
        <f>HYPERLINK("http://www.worldcat.org/oclc/4515463","WorldCat Record")</f>
        <v>WorldCat Record</v>
      </c>
      <c r="AU12" s="3" t="s">
        <v>209</v>
      </c>
      <c r="AV12" s="3" t="s">
        <v>210</v>
      </c>
      <c r="AW12" s="3" t="s">
        <v>211</v>
      </c>
      <c r="AX12" s="3" t="s">
        <v>211</v>
      </c>
      <c r="AY12" s="3" t="s">
        <v>212</v>
      </c>
      <c r="AZ12" s="3" t="s">
        <v>74</v>
      </c>
      <c r="BB12" s="3" t="s">
        <v>213</v>
      </c>
      <c r="BC12" s="3" t="s">
        <v>214</v>
      </c>
      <c r="BD12" s="3" t="s">
        <v>215</v>
      </c>
    </row>
    <row r="13" spans="1:56" ht="57.75" customHeight="1" x14ac:dyDescent="0.25">
      <c r="A13" s="7" t="s">
        <v>58</v>
      </c>
      <c r="B13" s="2" t="s">
        <v>216</v>
      </c>
      <c r="C13" s="2" t="s">
        <v>217</v>
      </c>
      <c r="D13" s="2" t="s">
        <v>218</v>
      </c>
      <c r="F13" s="3" t="s">
        <v>58</v>
      </c>
      <c r="G13" s="3" t="s">
        <v>59</v>
      </c>
      <c r="H13" s="3" t="s">
        <v>58</v>
      </c>
      <c r="I13" s="3" t="s">
        <v>58</v>
      </c>
      <c r="J13" s="3" t="s">
        <v>60</v>
      </c>
      <c r="K13" s="2" t="s">
        <v>219</v>
      </c>
      <c r="L13" s="2" t="s">
        <v>220</v>
      </c>
      <c r="M13" s="3" t="s">
        <v>83</v>
      </c>
      <c r="O13" s="3" t="s">
        <v>64</v>
      </c>
      <c r="P13" s="3" t="s">
        <v>65</v>
      </c>
      <c r="R13" s="3" t="s">
        <v>66</v>
      </c>
      <c r="S13" s="4">
        <v>1</v>
      </c>
      <c r="T13" s="4">
        <v>1</v>
      </c>
      <c r="U13" s="5" t="s">
        <v>207</v>
      </c>
      <c r="V13" s="5" t="s">
        <v>207</v>
      </c>
      <c r="W13" s="5" t="s">
        <v>221</v>
      </c>
      <c r="X13" s="5" t="s">
        <v>221</v>
      </c>
      <c r="Y13" s="4">
        <v>47</v>
      </c>
      <c r="Z13" s="4">
        <v>42</v>
      </c>
      <c r="AA13" s="4">
        <v>684</v>
      </c>
      <c r="AB13" s="4">
        <v>1</v>
      </c>
      <c r="AC13" s="4">
        <v>4</v>
      </c>
      <c r="AD13" s="4">
        <v>1</v>
      </c>
      <c r="AE13" s="4">
        <v>24</v>
      </c>
      <c r="AF13" s="4">
        <v>0</v>
      </c>
      <c r="AG13" s="4">
        <v>10</v>
      </c>
      <c r="AH13" s="4">
        <v>0</v>
      </c>
      <c r="AI13" s="4">
        <v>5</v>
      </c>
      <c r="AJ13" s="4">
        <v>1</v>
      </c>
      <c r="AK13" s="4">
        <v>11</v>
      </c>
      <c r="AL13" s="4">
        <v>0</v>
      </c>
      <c r="AM13" s="4">
        <v>3</v>
      </c>
      <c r="AN13" s="4">
        <v>0</v>
      </c>
      <c r="AO13" s="4">
        <v>0</v>
      </c>
      <c r="AP13" s="3" t="s">
        <v>58</v>
      </c>
      <c r="AQ13" s="3" t="s">
        <v>58</v>
      </c>
      <c r="AS13" s="6" t="str">
        <f>HYPERLINK("https://creighton-primo.hosted.exlibrisgroup.com/primo-explore/search?tab=default_tab&amp;search_scope=EVERYTHING&amp;vid=01CRU&amp;lang=en_US&amp;offset=0&amp;query=any,contains,991002130959702656","Catalog Record")</f>
        <v>Catalog Record</v>
      </c>
      <c r="AT13" s="6" t="str">
        <f>HYPERLINK("http://www.worldcat.org/oclc/27302361","WorldCat Record")</f>
        <v>WorldCat Record</v>
      </c>
      <c r="AU13" s="3" t="s">
        <v>222</v>
      </c>
      <c r="AV13" s="3" t="s">
        <v>223</v>
      </c>
      <c r="AW13" s="3" t="s">
        <v>224</v>
      </c>
      <c r="AX13" s="3" t="s">
        <v>224</v>
      </c>
      <c r="AY13" s="3" t="s">
        <v>225</v>
      </c>
      <c r="AZ13" s="3" t="s">
        <v>74</v>
      </c>
      <c r="BC13" s="3" t="s">
        <v>226</v>
      </c>
      <c r="BD13" s="3" t="s">
        <v>227</v>
      </c>
    </row>
    <row r="14" spans="1:56" ht="57.75" customHeight="1" x14ac:dyDescent="0.25">
      <c r="A14" s="7" t="s">
        <v>58</v>
      </c>
      <c r="B14" s="2" t="s">
        <v>228</v>
      </c>
      <c r="C14" s="2" t="s">
        <v>229</v>
      </c>
      <c r="D14" s="2" t="s">
        <v>230</v>
      </c>
      <c r="F14" s="3" t="s">
        <v>58</v>
      </c>
      <c r="G14" s="3" t="s">
        <v>59</v>
      </c>
      <c r="H14" s="3" t="s">
        <v>58</v>
      </c>
      <c r="I14" s="3" t="s">
        <v>58</v>
      </c>
      <c r="J14" s="3" t="s">
        <v>60</v>
      </c>
      <c r="K14" s="2" t="s">
        <v>231</v>
      </c>
      <c r="L14" s="2" t="s">
        <v>232</v>
      </c>
      <c r="M14" s="3" t="s">
        <v>233</v>
      </c>
      <c r="O14" s="3" t="s">
        <v>64</v>
      </c>
      <c r="P14" s="3" t="s">
        <v>234</v>
      </c>
      <c r="Q14" s="2" t="s">
        <v>235</v>
      </c>
      <c r="R14" s="3" t="s">
        <v>66</v>
      </c>
      <c r="S14" s="4">
        <v>5</v>
      </c>
      <c r="T14" s="4">
        <v>5</v>
      </c>
      <c r="U14" s="5" t="s">
        <v>207</v>
      </c>
      <c r="V14" s="5" t="s">
        <v>207</v>
      </c>
      <c r="W14" s="5" t="s">
        <v>236</v>
      </c>
      <c r="X14" s="5" t="s">
        <v>236</v>
      </c>
      <c r="Y14" s="4">
        <v>273</v>
      </c>
      <c r="Z14" s="4">
        <v>211</v>
      </c>
      <c r="AA14" s="4">
        <v>216</v>
      </c>
      <c r="AB14" s="4">
        <v>3</v>
      </c>
      <c r="AC14" s="4">
        <v>3</v>
      </c>
      <c r="AD14" s="4">
        <v>3</v>
      </c>
      <c r="AE14" s="4">
        <v>3</v>
      </c>
      <c r="AF14" s="4">
        <v>1</v>
      </c>
      <c r="AG14" s="4">
        <v>1</v>
      </c>
      <c r="AH14" s="4">
        <v>2</v>
      </c>
      <c r="AI14" s="4">
        <v>2</v>
      </c>
      <c r="AJ14" s="4">
        <v>1</v>
      </c>
      <c r="AK14" s="4">
        <v>1</v>
      </c>
      <c r="AL14" s="4">
        <v>1</v>
      </c>
      <c r="AM14" s="4">
        <v>1</v>
      </c>
      <c r="AN14" s="4">
        <v>0</v>
      </c>
      <c r="AO14" s="4">
        <v>0</v>
      </c>
      <c r="AP14" s="3" t="s">
        <v>58</v>
      </c>
      <c r="AQ14" s="3" t="s">
        <v>58</v>
      </c>
      <c r="AS14" s="6" t="str">
        <f>HYPERLINK("https://creighton-primo.hosted.exlibrisgroup.com/primo-explore/search?tab=default_tab&amp;search_scope=EVERYTHING&amp;vid=01CRU&amp;lang=en_US&amp;offset=0&amp;query=any,contains,991005334029702656","Catalog Record")</f>
        <v>Catalog Record</v>
      </c>
      <c r="AT14" s="6" t="str">
        <f>HYPERLINK("http://www.worldcat.org/oclc/30802793","WorldCat Record")</f>
        <v>WorldCat Record</v>
      </c>
      <c r="AU14" s="3" t="s">
        <v>237</v>
      </c>
      <c r="AV14" s="3" t="s">
        <v>238</v>
      </c>
      <c r="AW14" s="3" t="s">
        <v>239</v>
      </c>
      <c r="AX14" s="3" t="s">
        <v>239</v>
      </c>
      <c r="AY14" s="3" t="s">
        <v>240</v>
      </c>
      <c r="AZ14" s="3" t="s">
        <v>74</v>
      </c>
      <c r="BB14" s="3" t="s">
        <v>241</v>
      </c>
      <c r="BC14" s="3" t="s">
        <v>242</v>
      </c>
      <c r="BD14" s="3" t="s">
        <v>243</v>
      </c>
    </row>
    <row r="15" spans="1:56" ht="57.75" customHeight="1" x14ac:dyDescent="0.25">
      <c r="A15" s="7" t="s">
        <v>58</v>
      </c>
      <c r="B15" s="2" t="s">
        <v>244</v>
      </c>
      <c r="C15" s="2" t="s">
        <v>245</v>
      </c>
      <c r="D15" s="2" t="s">
        <v>246</v>
      </c>
      <c r="F15" s="3" t="s">
        <v>58</v>
      </c>
      <c r="G15" s="3" t="s">
        <v>59</v>
      </c>
      <c r="H15" s="3" t="s">
        <v>58</v>
      </c>
      <c r="I15" s="3" t="s">
        <v>58</v>
      </c>
      <c r="J15" s="3" t="s">
        <v>60</v>
      </c>
      <c r="K15" s="2" t="s">
        <v>247</v>
      </c>
      <c r="L15" s="2" t="s">
        <v>248</v>
      </c>
      <c r="M15" s="3" t="s">
        <v>249</v>
      </c>
      <c r="O15" s="3" t="s">
        <v>64</v>
      </c>
      <c r="P15" s="3" t="s">
        <v>250</v>
      </c>
      <c r="R15" s="3" t="s">
        <v>66</v>
      </c>
      <c r="S15" s="4">
        <v>1</v>
      </c>
      <c r="T15" s="4">
        <v>1</v>
      </c>
      <c r="U15" s="5" t="s">
        <v>251</v>
      </c>
      <c r="V15" s="5" t="s">
        <v>251</v>
      </c>
      <c r="W15" s="5" t="s">
        <v>251</v>
      </c>
      <c r="X15" s="5" t="s">
        <v>251</v>
      </c>
      <c r="Y15" s="4">
        <v>305</v>
      </c>
      <c r="Z15" s="4">
        <v>271</v>
      </c>
      <c r="AA15" s="4">
        <v>273</v>
      </c>
      <c r="AB15" s="4">
        <v>4</v>
      </c>
      <c r="AC15" s="4">
        <v>4</v>
      </c>
      <c r="AD15" s="4">
        <v>12</v>
      </c>
      <c r="AE15" s="4">
        <v>12</v>
      </c>
      <c r="AF15" s="4">
        <v>3</v>
      </c>
      <c r="AG15" s="4">
        <v>3</v>
      </c>
      <c r="AH15" s="4">
        <v>2</v>
      </c>
      <c r="AI15" s="4">
        <v>2</v>
      </c>
      <c r="AJ15" s="4">
        <v>5</v>
      </c>
      <c r="AK15" s="4">
        <v>5</v>
      </c>
      <c r="AL15" s="4">
        <v>3</v>
      </c>
      <c r="AM15" s="4">
        <v>3</v>
      </c>
      <c r="AN15" s="4">
        <v>0</v>
      </c>
      <c r="AO15" s="4">
        <v>0</v>
      </c>
      <c r="AP15" s="3" t="s">
        <v>58</v>
      </c>
      <c r="AQ15" s="3" t="s">
        <v>69</v>
      </c>
      <c r="AR15" s="6" t="str">
        <f>HYPERLINK("http://catalog.hathitrust.org/Record/004763646","HathiTrust Record")</f>
        <v>HathiTrust Record</v>
      </c>
      <c r="AS15" s="6" t="str">
        <f>HYPERLINK("https://creighton-primo.hosted.exlibrisgroup.com/primo-explore/search?tab=default_tab&amp;search_scope=EVERYTHING&amp;vid=01CRU&amp;lang=en_US&amp;offset=0&amp;query=any,contains,991004495669702656","Catalog Record")</f>
        <v>Catalog Record</v>
      </c>
      <c r="AT15" s="6" t="str">
        <f>HYPERLINK("http://www.worldcat.org/oclc/54960195","WorldCat Record")</f>
        <v>WorldCat Record</v>
      </c>
      <c r="AU15" s="3" t="s">
        <v>252</v>
      </c>
      <c r="AV15" s="3" t="s">
        <v>253</v>
      </c>
      <c r="AW15" s="3" t="s">
        <v>254</v>
      </c>
      <c r="AX15" s="3" t="s">
        <v>254</v>
      </c>
      <c r="AY15" s="3" t="s">
        <v>255</v>
      </c>
      <c r="AZ15" s="3" t="s">
        <v>74</v>
      </c>
      <c r="BB15" s="3" t="s">
        <v>256</v>
      </c>
      <c r="BC15" s="3" t="s">
        <v>257</v>
      </c>
      <c r="BD15" s="3" t="s">
        <v>258</v>
      </c>
    </row>
    <row r="16" spans="1:56" ht="57.75" customHeight="1" x14ac:dyDescent="0.25">
      <c r="A16" s="7" t="s">
        <v>58</v>
      </c>
      <c r="B16" s="2" t="s">
        <v>259</v>
      </c>
      <c r="C16" s="2" t="s">
        <v>260</v>
      </c>
      <c r="D16" s="2" t="s">
        <v>261</v>
      </c>
      <c r="F16" s="3" t="s">
        <v>58</v>
      </c>
      <c r="G16" s="3" t="s">
        <v>59</v>
      </c>
      <c r="H16" s="3" t="s">
        <v>58</v>
      </c>
      <c r="I16" s="3" t="s">
        <v>58</v>
      </c>
      <c r="J16" s="3" t="s">
        <v>60</v>
      </c>
      <c r="K16" s="2" t="s">
        <v>262</v>
      </c>
      <c r="L16" s="2" t="s">
        <v>263</v>
      </c>
      <c r="M16" s="3" t="s">
        <v>98</v>
      </c>
      <c r="O16" s="3" t="s">
        <v>64</v>
      </c>
      <c r="P16" s="3" t="s">
        <v>250</v>
      </c>
      <c r="R16" s="3" t="s">
        <v>66</v>
      </c>
      <c r="S16" s="4">
        <v>3</v>
      </c>
      <c r="T16" s="4">
        <v>3</v>
      </c>
      <c r="U16" s="5" t="s">
        <v>264</v>
      </c>
      <c r="V16" s="5" t="s">
        <v>264</v>
      </c>
      <c r="W16" s="5" t="s">
        <v>126</v>
      </c>
      <c r="X16" s="5" t="s">
        <v>126</v>
      </c>
      <c r="Y16" s="4">
        <v>352</v>
      </c>
      <c r="Z16" s="4">
        <v>322</v>
      </c>
      <c r="AA16" s="4">
        <v>323</v>
      </c>
      <c r="AB16" s="4">
        <v>3</v>
      </c>
      <c r="AC16" s="4">
        <v>3</v>
      </c>
      <c r="AD16" s="4">
        <v>12</v>
      </c>
      <c r="AE16" s="4">
        <v>12</v>
      </c>
      <c r="AF16" s="4">
        <v>3</v>
      </c>
      <c r="AG16" s="4">
        <v>3</v>
      </c>
      <c r="AH16" s="4">
        <v>2</v>
      </c>
      <c r="AI16" s="4">
        <v>2</v>
      </c>
      <c r="AJ16" s="4">
        <v>9</v>
      </c>
      <c r="AK16" s="4">
        <v>9</v>
      </c>
      <c r="AL16" s="4">
        <v>2</v>
      </c>
      <c r="AM16" s="4">
        <v>2</v>
      </c>
      <c r="AN16" s="4">
        <v>0</v>
      </c>
      <c r="AO16" s="4">
        <v>0</v>
      </c>
      <c r="AP16" s="3" t="s">
        <v>58</v>
      </c>
      <c r="AQ16" s="3" t="s">
        <v>58</v>
      </c>
      <c r="AS16" s="6" t="str">
        <f>HYPERLINK("https://creighton-primo.hosted.exlibrisgroup.com/primo-explore/search?tab=default_tab&amp;search_scope=EVERYTHING&amp;vid=01CRU&amp;lang=en_US&amp;offset=0&amp;query=any,contains,991003070789702656","Catalog Record")</f>
        <v>Catalog Record</v>
      </c>
      <c r="AT16" s="6" t="str">
        <f>HYPERLINK("http://www.worldcat.org/oclc/625216","WorldCat Record")</f>
        <v>WorldCat Record</v>
      </c>
      <c r="AU16" s="3" t="s">
        <v>265</v>
      </c>
      <c r="AV16" s="3" t="s">
        <v>266</v>
      </c>
      <c r="AW16" s="3" t="s">
        <v>267</v>
      </c>
      <c r="AX16" s="3" t="s">
        <v>267</v>
      </c>
      <c r="AY16" s="3" t="s">
        <v>268</v>
      </c>
      <c r="AZ16" s="3" t="s">
        <v>74</v>
      </c>
      <c r="BB16" s="3" t="s">
        <v>269</v>
      </c>
      <c r="BC16" s="3" t="s">
        <v>270</v>
      </c>
      <c r="BD16" s="3" t="s">
        <v>271</v>
      </c>
    </row>
    <row r="17" spans="1:56" ht="57.75" customHeight="1" x14ac:dyDescent="0.25">
      <c r="A17" s="7" t="s">
        <v>58</v>
      </c>
      <c r="B17" s="2" t="s">
        <v>272</v>
      </c>
      <c r="C17" s="2" t="s">
        <v>273</v>
      </c>
      <c r="D17" s="2" t="s">
        <v>274</v>
      </c>
      <c r="F17" s="3" t="s">
        <v>58</v>
      </c>
      <c r="G17" s="3" t="s">
        <v>59</v>
      </c>
      <c r="H17" s="3" t="s">
        <v>58</v>
      </c>
      <c r="I17" s="3" t="s">
        <v>58</v>
      </c>
      <c r="J17" s="3" t="s">
        <v>60</v>
      </c>
      <c r="K17" s="2" t="s">
        <v>275</v>
      </c>
      <c r="L17" s="2" t="s">
        <v>276</v>
      </c>
      <c r="M17" s="3" t="s">
        <v>277</v>
      </c>
      <c r="O17" s="3" t="s">
        <v>64</v>
      </c>
      <c r="P17" s="3" t="s">
        <v>278</v>
      </c>
      <c r="R17" s="3" t="s">
        <v>66</v>
      </c>
      <c r="S17" s="4">
        <v>2</v>
      </c>
      <c r="T17" s="4">
        <v>2</v>
      </c>
      <c r="U17" s="5" t="s">
        <v>279</v>
      </c>
      <c r="V17" s="5" t="s">
        <v>279</v>
      </c>
      <c r="W17" s="5" t="s">
        <v>280</v>
      </c>
      <c r="X17" s="5" t="s">
        <v>280</v>
      </c>
      <c r="Y17" s="4">
        <v>394</v>
      </c>
      <c r="Z17" s="4">
        <v>294</v>
      </c>
      <c r="AA17" s="4">
        <v>296</v>
      </c>
      <c r="AB17" s="4">
        <v>4</v>
      </c>
      <c r="AC17" s="4">
        <v>4</v>
      </c>
      <c r="AD17" s="4">
        <v>11</v>
      </c>
      <c r="AE17" s="4">
        <v>11</v>
      </c>
      <c r="AF17" s="4">
        <v>3</v>
      </c>
      <c r="AG17" s="4">
        <v>3</v>
      </c>
      <c r="AH17" s="4">
        <v>4</v>
      </c>
      <c r="AI17" s="4">
        <v>4</v>
      </c>
      <c r="AJ17" s="4">
        <v>4</v>
      </c>
      <c r="AK17" s="4">
        <v>4</v>
      </c>
      <c r="AL17" s="4">
        <v>2</v>
      </c>
      <c r="AM17" s="4">
        <v>2</v>
      </c>
      <c r="AN17" s="4">
        <v>0</v>
      </c>
      <c r="AO17" s="4">
        <v>0</v>
      </c>
      <c r="AP17" s="3" t="s">
        <v>58</v>
      </c>
      <c r="AQ17" s="3" t="s">
        <v>58</v>
      </c>
      <c r="AS17" s="6" t="str">
        <f>HYPERLINK("https://creighton-primo.hosted.exlibrisgroup.com/primo-explore/search?tab=default_tab&amp;search_scope=EVERYTHING&amp;vid=01CRU&amp;lang=en_US&amp;offset=0&amp;query=any,contains,991001274949702656","Catalog Record")</f>
        <v>Catalog Record</v>
      </c>
      <c r="AT17" s="6" t="str">
        <f>HYPERLINK("http://www.worldcat.org/oclc/17873168","WorldCat Record")</f>
        <v>WorldCat Record</v>
      </c>
      <c r="AU17" s="3" t="s">
        <v>281</v>
      </c>
      <c r="AV17" s="3" t="s">
        <v>282</v>
      </c>
      <c r="AW17" s="3" t="s">
        <v>283</v>
      </c>
      <c r="AX17" s="3" t="s">
        <v>283</v>
      </c>
      <c r="AY17" s="3" t="s">
        <v>284</v>
      </c>
      <c r="AZ17" s="3" t="s">
        <v>74</v>
      </c>
      <c r="BB17" s="3" t="s">
        <v>285</v>
      </c>
      <c r="BC17" s="3" t="s">
        <v>286</v>
      </c>
      <c r="BD17" s="3" t="s">
        <v>287</v>
      </c>
    </row>
    <row r="18" spans="1:56" ht="57.75" customHeight="1" x14ac:dyDescent="0.25">
      <c r="A18" s="7" t="s">
        <v>58</v>
      </c>
      <c r="B18" s="2" t="s">
        <v>288</v>
      </c>
      <c r="C18" s="2" t="s">
        <v>289</v>
      </c>
      <c r="D18" s="2" t="s">
        <v>290</v>
      </c>
      <c r="F18" s="3" t="s">
        <v>58</v>
      </c>
      <c r="G18" s="3" t="s">
        <v>59</v>
      </c>
      <c r="H18" s="3" t="s">
        <v>58</v>
      </c>
      <c r="I18" s="3" t="s">
        <v>58</v>
      </c>
      <c r="J18" s="3" t="s">
        <v>60</v>
      </c>
      <c r="K18" s="2" t="s">
        <v>291</v>
      </c>
      <c r="L18" s="2" t="s">
        <v>292</v>
      </c>
      <c r="M18" s="3" t="s">
        <v>293</v>
      </c>
      <c r="O18" s="3" t="s">
        <v>64</v>
      </c>
      <c r="P18" s="3" t="s">
        <v>65</v>
      </c>
      <c r="R18" s="3" t="s">
        <v>66</v>
      </c>
      <c r="S18" s="4">
        <v>2</v>
      </c>
      <c r="T18" s="4">
        <v>2</v>
      </c>
      <c r="U18" s="5" t="s">
        <v>294</v>
      </c>
      <c r="V18" s="5" t="s">
        <v>294</v>
      </c>
      <c r="W18" s="5" t="s">
        <v>126</v>
      </c>
      <c r="X18" s="5" t="s">
        <v>126</v>
      </c>
      <c r="Y18" s="4">
        <v>401</v>
      </c>
      <c r="Z18" s="4">
        <v>333</v>
      </c>
      <c r="AA18" s="4">
        <v>334</v>
      </c>
      <c r="AB18" s="4">
        <v>3</v>
      </c>
      <c r="AC18" s="4">
        <v>3</v>
      </c>
      <c r="AD18" s="4">
        <v>13</v>
      </c>
      <c r="AE18" s="4">
        <v>13</v>
      </c>
      <c r="AF18" s="4">
        <v>3</v>
      </c>
      <c r="AG18" s="4">
        <v>3</v>
      </c>
      <c r="AH18" s="4">
        <v>3</v>
      </c>
      <c r="AI18" s="4">
        <v>3</v>
      </c>
      <c r="AJ18" s="4">
        <v>6</v>
      </c>
      <c r="AK18" s="4">
        <v>6</v>
      </c>
      <c r="AL18" s="4">
        <v>2</v>
      </c>
      <c r="AM18" s="4">
        <v>2</v>
      </c>
      <c r="AN18" s="4">
        <v>0</v>
      </c>
      <c r="AO18" s="4">
        <v>0</v>
      </c>
      <c r="AP18" s="3" t="s">
        <v>58</v>
      </c>
      <c r="AQ18" s="3" t="s">
        <v>69</v>
      </c>
      <c r="AR18" s="6" t="str">
        <f>HYPERLINK("http://catalog.hathitrust.org/Record/001470266","HathiTrust Record")</f>
        <v>HathiTrust Record</v>
      </c>
      <c r="AS18" s="6" t="str">
        <f>HYPERLINK("https://creighton-primo.hosted.exlibrisgroup.com/primo-explore/search?tab=default_tab&amp;search_scope=EVERYTHING&amp;vid=01CRU&amp;lang=en_US&amp;offset=0&amp;query=any,contains,991000835269702656","Catalog Record")</f>
        <v>Catalog Record</v>
      </c>
      <c r="AT18" s="6" t="str">
        <f>HYPERLINK("http://www.worldcat.org/oclc/148563","WorldCat Record")</f>
        <v>WorldCat Record</v>
      </c>
      <c r="AU18" s="3" t="s">
        <v>295</v>
      </c>
      <c r="AV18" s="3" t="s">
        <v>296</v>
      </c>
      <c r="AW18" s="3" t="s">
        <v>297</v>
      </c>
      <c r="AX18" s="3" t="s">
        <v>297</v>
      </c>
      <c r="AY18" s="3" t="s">
        <v>298</v>
      </c>
      <c r="AZ18" s="3" t="s">
        <v>74</v>
      </c>
      <c r="BB18" s="3" t="s">
        <v>299</v>
      </c>
      <c r="BC18" s="3" t="s">
        <v>300</v>
      </c>
      <c r="BD18" s="3" t="s">
        <v>301</v>
      </c>
    </row>
    <row r="19" spans="1:56" ht="57.75" customHeight="1" x14ac:dyDescent="0.25">
      <c r="A19" s="7" t="s">
        <v>58</v>
      </c>
      <c r="B19" s="2" t="s">
        <v>302</v>
      </c>
      <c r="C19" s="2" t="s">
        <v>303</v>
      </c>
      <c r="D19" s="2" t="s">
        <v>304</v>
      </c>
      <c r="E19" s="3" t="s">
        <v>305</v>
      </c>
      <c r="F19" s="3" t="s">
        <v>69</v>
      </c>
      <c r="G19" s="3" t="s">
        <v>59</v>
      </c>
      <c r="H19" s="3" t="s">
        <v>58</v>
      </c>
      <c r="I19" s="3" t="s">
        <v>58</v>
      </c>
      <c r="J19" s="3" t="s">
        <v>60</v>
      </c>
      <c r="K19" s="2" t="s">
        <v>306</v>
      </c>
      <c r="L19" s="2" t="s">
        <v>307</v>
      </c>
      <c r="M19" s="3" t="s">
        <v>293</v>
      </c>
      <c r="O19" s="3" t="s">
        <v>64</v>
      </c>
      <c r="P19" s="3" t="s">
        <v>278</v>
      </c>
      <c r="R19" s="3" t="s">
        <v>66</v>
      </c>
      <c r="S19" s="4">
        <v>2</v>
      </c>
      <c r="T19" s="4">
        <v>9</v>
      </c>
      <c r="U19" s="5" t="s">
        <v>308</v>
      </c>
      <c r="V19" s="5" t="s">
        <v>309</v>
      </c>
      <c r="W19" s="5" t="s">
        <v>310</v>
      </c>
      <c r="X19" s="5" t="s">
        <v>310</v>
      </c>
      <c r="Y19" s="4">
        <v>274</v>
      </c>
      <c r="Z19" s="4">
        <v>233</v>
      </c>
      <c r="AA19" s="4">
        <v>547</v>
      </c>
      <c r="AB19" s="4">
        <v>2</v>
      </c>
      <c r="AC19" s="4">
        <v>5</v>
      </c>
      <c r="AD19" s="4">
        <v>12</v>
      </c>
      <c r="AE19" s="4">
        <v>24</v>
      </c>
      <c r="AF19" s="4">
        <v>2</v>
      </c>
      <c r="AG19" s="4">
        <v>8</v>
      </c>
      <c r="AH19" s="4">
        <v>6</v>
      </c>
      <c r="AI19" s="4">
        <v>8</v>
      </c>
      <c r="AJ19" s="4">
        <v>5</v>
      </c>
      <c r="AK19" s="4">
        <v>10</v>
      </c>
      <c r="AL19" s="4">
        <v>1</v>
      </c>
      <c r="AM19" s="4">
        <v>2</v>
      </c>
      <c r="AN19" s="4">
        <v>0</v>
      </c>
      <c r="AO19" s="4">
        <v>0</v>
      </c>
      <c r="AP19" s="3" t="s">
        <v>58</v>
      </c>
      <c r="AQ19" s="3" t="s">
        <v>69</v>
      </c>
      <c r="AR19" s="6" t="str">
        <f>HYPERLINK("http://catalog.hathitrust.org/Record/004505496","HathiTrust Record")</f>
        <v>HathiTrust Record</v>
      </c>
      <c r="AS19" s="6" t="str">
        <f>HYPERLINK("https://creighton-primo.hosted.exlibrisgroup.com/primo-explore/search?tab=default_tab&amp;search_scope=EVERYTHING&amp;vid=01CRU&amp;lang=en_US&amp;offset=0&amp;query=any,contains,991000730109702656","Catalog Record")</f>
        <v>Catalog Record</v>
      </c>
      <c r="AT19" s="6" t="str">
        <f>HYPERLINK("http://www.worldcat.org/oclc/128369","WorldCat Record")</f>
        <v>WorldCat Record</v>
      </c>
      <c r="AU19" s="3" t="s">
        <v>311</v>
      </c>
      <c r="AV19" s="3" t="s">
        <v>312</v>
      </c>
      <c r="AW19" s="3" t="s">
        <v>313</v>
      </c>
      <c r="AX19" s="3" t="s">
        <v>313</v>
      </c>
      <c r="AY19" s="3" t="s">
        <v>314</v>
      </c>
      <c r="AZ19" s="3" t="s">
        <v>74</v>
      </c>
      <c r="BB19" s="3" t="s">
        <v>315</v>
      </c>
      <c r="BC19" s="3" t="s">
        <v>316</v>
      </c>
      <c r="BD19" s="3" t="s">
        <v>317</v>
      </c>
    </row>
    <row r="20" spans="1:56" ht="57.75" customHeight="1" x14ac:dyDescent="0.25">
      <c r="A20" s="7" t="s">
        <v>58</v>
      </c>
      <c r="B20" s="2" t="s">
        <v>318</v>
      </c>
      <c r="C20" s="2" t="s">
        <v>319</v>
      </c>
      <c r="D20" s="2" t="s">
        <v>320</v>
      </c>
      <c r="F20" s="3" t="s">
        <v>58</v>
      </c>
      <c r="G20" s="3" t="s">
        <v>59</v>
      </c>
      <c r="H20" s="3" t="s">
        <v>58</v>
      </c>
      <c r="I20" s="3" t="s">
        <v>58</v>
      </c>
      <c r="J20" s="3" t="s">
        <v>60</v>
      </c>
      <c r="K20" s="2" t="s">
        <v>321</v>
      </c>
      <c r="L20" s="2" t="s">
        <v>322</v>
      </c>
      <c r="M20" s="3" t="s">
        <v>323</v>
      </c>
      <c r="O20" s="3" t="s">
        <v>64</v>
      </c>
      <c r="P20" s="3" t="s">
        <v>65</v>
      </c>
      <c r="Q20" s="2" t="s">
        <v>324</v>
      </c>
      <c r="R20" s="3" t="s">
        <v>66</v>
      </c>
      <c r="S20" s="4">
        <v>3</v>
      </c>
      <c r="T20" s="4">
        <v>3</v>
      </c>
      <c r="U20" s="5" t="s">
        <v>308</v>
      </c>
      <c r="V20" s="5" t="s">
        <v>308</v>
      </c>
      <c r="W20" s="5" t="s">
        <v>325</v>
      </c>
      <c r="X20" s="5" t="s">
        <v>325</v>
      </c>
      <c r="Y20" s="4">
        <v>484</v>
      </c>
      <c r="Z20" s="4">
        <v>391</v>
      </c>
      <c r="AA20" s="4">
        <v>396</v>
      </c>
      <c r="AB20" s="4">
        <v>5</v>
      </c>
      <c r="AC20" s="4">
        <v>5</v>
      </c>
      <c r="AD20" s="4">
        <v>16</v>
      </c>
      <c r="AE20" s="4">
        <v>16</v>
      </c>
      <c r="AF20" s="4">
        <v>7</v>
      </c>
      <c r="AG20" s="4">
        <v>7</v>
      </c>
      <c r="AH20" s="4">
        <v>4</v>
      </c>
      <c r="AI20" s="4">
        <v>4</v>
      </c>
      <c r="AJ20" s="4">
        <v>7</v>
      </c>
      <c r="AK20" s="4">
        <v>7</v>
      </c>
      <c r="AL20" s="4">
        <v>3</v>
      </c>
      <c r="AM20" s="4">
        <v>3</v>
      </c>
      <c r="AN20" s="4">
        <v>0</v>
      </c>
      <c r="AO20" s="4">
        <v>0</v>
      </c>
      <c r="AP20" s="3" t="s">
        <v>58</v>
      </c>
      <c r="AQ20" s="3" t="s">
        <v>58</v>
      </c>
      <c r="AS20" s="6" t="str">
        <f>HYPERLINK("https://creighton-primo.hosted.exlibrisgroup.com/primo-explore/search?tab=default_tab&amp;search_scope=EVERYTHING&amp;vid=01CRU&amp;lang=en_US&amp;offset=0&amp;query=any,contains,991001335459702656","Catalog Record")</f>
        <v>Catalog Record</v>
      </c>
      <c r="AT20" s="6" t="str">
        <f>HYPERLINK("http://www.worldcat.org/oclc/18351158","WorldCat Record")</f>
        <v>WorldCat Record</v>
      </c>
      <c r="AU20" s="3" t="s">
        <v>326</v>
      </c>
      <c r="AV20" s="3" t="s">
        <v>327</v>
      </c>
      <c r="AW20" s="3" t="s">
        <v>328</v>
      </c>
      <c r="AX20" s="3" t="s">
        <v>328</v>
      </c>
      <c r="AY20" s="3" t="s">
        <v>329</v>
      </c>
      <c r="AZ20" s="3" t="s">
        <v>74</v>
      </c>
      <c r="BB20" s="3" t="s">
        <v>330</v>
      </c>
      <c r="BC20" s="3" t="s">
        <v>331</v>
      </c>
      <c r="BD20" s="3" t="s">
        <v>332</v>
      </c>
    </row>
    <row r="21" spans="1:56" ht="57.75" customHeight="1" x14ac:dyDescent="0.25">
      <c r="A21" s="7" t="s">
        <v>58</v>
      </c>
      <c r="B21" s="2" t="s">
        <v>333</v>
      </c>
      <c r="C21" s="2" t="s">
        <v>334</v>
      </c>
      <c r="D21" s="2" t="s">
        <v>335</v>
      </c>
      <c r="F21" s="3" t="s">
        <v>58</v>
      </c>
      <c r="G21" s="3" t="s">
        <v>59</v>
      </c>
      <c r="H21" s="3" t="s">
        <v>58</v>
      </c>
      <c r="I21" s="3" t="s">
        <v>58</v>
      </c>
      <c r="J21" s="3" t="s">
        <v>60</v>
      </c>
      <c r="K21" s="2" t="s">
        <v>336</v>
      </c>
      <c r="L21" s="2" t="s">
        <v>337</v>
      </c>
      <c r="M21" s="3" t="s">
        <v>323</v>
      </c>
      <c r="O21" s="3" t="s">
        <v>338</v>
      </c>
      <c r="P21" s="3" t="s">
        <v>339</v>
      </c>
      <c r="R21" s="3" t="s">
        <v>66</v>
      </c>
      <c r="S21" s="4">
        <v>4</v>
      </c>
      <c r="T21" s="4">
        <v>4</v>
      </c>
      <c r="U21" s="5" t="s">
        <v>309</v>
      </c>
      <c r="V21" s="5" t="s">
        <v>309</v>
      </c>
      <c r="W21" s="5" t="s">
        <v>340</v>
      </c>
      <c r="X21" s="5" t="s">
        <v>340</v>
      </c>
      <c r="Y21" s="4">
        <v>93</v>
      </c>
      <c r="Z21" s="4">
        <v>73</v>
      </c>
      <c r="AA21" s="4">
        <v>75</v>
      </c>
      <c r="AB21" s="4">
        <v>2</v>
      </c>
      <c r="AC21" s="4">
        <v>2</v>
      </c>
      <c r="AD21" s="4">
        <v>2</v>
      </c>
      <c r="AE21" s="4">
        <v>2</v>
      </c>
      <c r="AF21" s="4">
        <v>0</v>
      </c>
      <c r="AG21" s="4">
        <v>0</v>
      </c>
      <c r="AH21" s="4">
        <v>1</v>
      </c>
      <c r="AI21" s="4">
        <v>1</v>
      </c>
      <c r="AJ21" s="4">
        <v>0</v>
      </c>
      <c r="AK21" s="4">
        <v>0</v>
      </c>
      <c r="AL21" s="4">
        <v>1</v>
      </c>
      <c r="AM21" s="4">
        <v>1</v>
      </c>
      <c r="AN21" s="4">
        <v>0</v>
      </c>
      <c r="AO21" s="4">
        <v>0</v>
      </c>
      <c r="AP21" s="3" t="s">
        <v>58</v>
      </c>
      <c r="AQ21" s="3" t="s">
        <v>69</v>
      </c>
      <c r="AR21" s="6" t="str">
        <f>HYPERLINK("http://catalog.hathitrust.org/Record/002169303","HathiTrust Record")</f>
        <v>HathiTrust Record</v>
      </c>
      <c r="AS21" s="6" t="str">
        <f>HYPERLINK("https://creighton-primo.hosted.exlibrisgroup.com/primo-explore/search?tab=default_tab&amp;search_scope=EVERYTHING&amp;vid=01CRU&amp;lang=en_US&amp;offset=0&amp;query=any,contains,991001740559702656","Catalog Record")</f>
        <v>Catalog Record</v>
      </c>
      <c r="AT21" s="6" t="str">
        <f>HYPERLINK("http://www.worldcat.org/oclc/22003504","WorldCat Record")</f>
        <v>WorldCat Record</v>
      </c>
      <c r="AU21" s="3" t="s">
        <v>341</v>
      </c>
      <c r="AV21" s="3" t="s">
        <v>342</v>
      </c>
      <c r="AW21" s="3" t="s">
        <v>343</v>
      </c>
      <c r="AX21" s="3" t="s">
        <v>343</v>
      </c>
      <c r="AY21" s="3" t="s">
        <v>344</v>
      </c>
      <c r="AZ21" s="3" t="s">
        <v>74</v>
      </c>
      <c r="BB21" s="3" t="s">
        <v>345</v>
      </c>
      <c r="BC21" s="3" t="s">
        <v>346</v>
      </c>
      <c r="BD21" s="3" t="s">
        <v>347</v>
      </c>
    </row>
    <row r="22" spans="1:56" ht="57.75" customHeight="1" x14ac:dyDescent="0.25">
      <c r="A22" s="7" t="s">
        <v>58</v>
      </c>
      <c r="B22" s="2" t="s">
        <v>348</v>
      </c>
      <c r="C22" s="2" t="s">
        <v>349</v>
      </c>
      <c r="D22" s="2" t="s">
        <v>304</v>
      </c>
      <c r="E22" s="3" t="s">
        <v>350</v>
      </c>
      <c r="F22" s="3" t="s">
        <v>69</v>
      </c>
      <c r="G22" s="3" t="s">
        <v>59</v>
      </c>
      <c r="H22" s="3" t="s">
        <v>58</v>
      </c>
      <c r="I22" s="3" t="s">
        <v>58</v>
      </c>
      <c r="J22" s="3" t="s">
        <v>60</v>
      </c>
      <c r="K22" s="2" t="s">
        <v>306</v>
      </c>
      <c r="L22" s="2" t="s">
        <v>307</v>
      </c>
      <c r="M22" s="3" t="s">
        <v>293</v>
      </c>
      <c r="O22" s="3" t="s">
        <v>64</v>
      </c>
      <c r="P22" s="3" t="s">
        <v>278</v>
      </c>
      <c r="R22" s="3" t="s">
        <v>66</v>
      </c>
      <c r="S22" s="4">
        <v>7</v>
      </c>
      <c r="T22" s="4">
        <v>9</v>
      </c>
      <c r="U22" s="5" t="s">
        <v>309</v>
      </c>
      <c r="V22" s="5" t="s">
        <v>309</v>
      </c>
      <c r="W22" s="5" t="s">
        <v>310</v>
      </c>
      <c r="X22" s="5" t="s">
        <v>310</v>
      </c>
      <c r="Y22" s="4">
        <v>274</v>
      </c>
      <c r="Z22" s="4">
        <v>233</v>
      </c>
      <c r="AA22" s="4">
        <v>547</v>
      </c>
      <c r="AB22" s="4">
        <v>2</v>
      </c>
      <c r="AC22" s="4">
        <v>5</v>
      </c>
      <c r="AD22" s="4">
        <v>12</v>
      </c>
      <c r="AE22" s="4">
        <v>24</v>
      </c>
      <c r="AF22" s="4">
        <v>2</v>
      </c>
      <c r="AG22" s="4">
        <v>8</v>
      </c>
      <c r="AH22" s="4">
        <v>6</v>
      </c>
      <c r="AI22" s="4">
        <v>8</v>
      </c>
      <c r="AJ22" s="4">
        <v>5</v>
      </c>
      <c r="AK22" s="4">
        <v>10</v>
      </c>
      <c r="AL22" s="4">
        <v>1</v>
      </c>
      <c r="AM22" s="4">
        <v>2</v>
      </c>
      <c r="AN22" s="4">
        <v>0</v>
      </c>
      <c r="AO22" s="4">
        <v>0</v>
      </c>
      <c r="AP22" s="3" t="s">
        <v>58</v>
      </c>
      <c r="AQ22" s="3" t="s">
        <v>69</v>
      </c>
      <c r="AR22" s="6" t="str">
        <f>HYPERLINK("http://catalog.hathitrust.org/Record/004505496","HathiTrust Record")</f>
        <v>HathiTrust Record</v>
      </c>
      <c r="AS22" s="6" t="str">
        <f>HYPERLINK("https://creighton-primo.hosted.exlibrisgroup.com/primo-explore/search?tab=default_tab&amp;search_scope=EVERYTHING&amp;vid=01CRU&amp;lang=en_US&amp;offset=0&amp;query=any,contains,991000730109702656","Catalog Record")</f>
        <v>Catalog Record</v>
      </c>
      <c r="AT22" s="6" t="str">
        <f>HYPERLINK("http://www.worldcat.org/oclc/128369","WorldCat Record")</f>
        <v>WorldCat Record</v>
      </c>
      <c r="AU22" s="3" t="s">
        <v>311</v>
      </c>
      <c r="AV22" s="3" t="s">
        <v>312</v>
      </c>
      <c r="AW22" s="3" t="s">
        <v>313</v>
      </c>
      <c r="AX22" s="3" t="s">
        <v>313</v>
      </c>
      <c r="AY22" s="3" t="s">
        <v>314</v>
      </c>
      <c r="AZ22" s="3" t="s">
        <v>74</v>
      </c>
      <c r="BB22" s="3" t="s">
        <v>315</v>
      </c>
      <c r="BC22" s="3" t="s">
        <v>351</v>
      </c>
      <c r="BD22" s="3" t="s">
        <v>352</v>
      </c>
    </row>
    <row r="23" spans="1:56" ht="57.75" customHeight="1" x14ac:dyDescent="0.25">
      <c r="A23" s="7" t="s">
        <v>58</v>
      </c>
      <c r="B23" s="2" t="s">
        <v>353</v>
      </c>
      <c r="C23" s="2" t="s">
        <v>354</v>
      </c>
      <c r="D23" s="2" t="s">
        <v>355</v>
      </c>
      <c r="F23" s="3" t="s">
        <v>58</v>
      </c>
      <c r="G23" s="3" t="s">
        <v>59</v>
      </c>
      <c r="H23" s="3" t="s">
        <v>58</v>
      </c>
      <c r="I23" s="3" t="s">
        <v>58</v>
      </c>
      <c r="J23" s="3" t="s">
        <v>60</v>
      </c>
      <c r="K23" s="2" t="s">
        <v>356</v>
      </c>
      <c r="L23" s="2" t="s">
        <v>357</v>
      </c>
      <c r="M23" s="3" t="s">
        <v>358</v>
      </c>
      <c r="O23" s="3" t="s">
        <v>64</v>
      </c>
      <c r="P23" s="3" t="s">
        <v>65</v>
      </c>
      <c r="R23" s="3" t="s">
        <v>66</v>
      </c>
      <c r="S23" s="4">
        <v>3</v>
      </c>
      <c r="T23" s="4">
        <v>3</v>
      </c>
      <c r="U23" s="5" t="s">
        <v>112</v>
      </c>
      <c r="V23" s="5" t="s">
        <v>112</v>
      </c>
      <c r="W23" s="5" t="s">
        <v>359</v>
      </c>
      <c r="X23" s="5" t="s">
        <v>359</v>
      </c>
      <c r="Y23" s="4">
        <v>877</v>
      </c>
      <c r="Z23" s="4">
        <v>812</v>
      </c>
      <c r="AA23" s="4">
        <v>848</v>
      </c>
      <c r="AB23" s="4">
        <v>5</v>
      </c>
      <c r="AC23" s="4">
        <v>5</v>
      </c>
      <c r="AD23" s="4">
        <v>27</v>
      </c>
      <c r="AE23" s="4">
        <v>30</v>
      </c>
      <c r="AF23" s="4">
        <v>12</v>
      </c>
      <c r="AG23" s="4">
        <v>12</v>
      </c>
      <c r="AH23" s="4">
        <v>5</v>
      </c>
      <c r="AI23" s="4">
        <v>7</v>
      </c>
      <c r="AJ23" s="4">
        <v>11</v>
      </c>
      <c r="AK23" s="4">
        <v>13</v>
      </c>
      <c r="AL23" s="4">
        <v>3</v>
      </c>
      <c r="AM23" s="4">
        <v>3</v>
      </c>
      <c r="AN23" s="4">
        <v>0</v>
      </c>
      <c r="AO23" s="4">
        <v>0</v>
      </c>
      <c r="AP23" s="3" t="s">
        <v>58</v>
      </c>
      <c r="AQ23" s="3" t="s">
        <v>58</v>
      </c>
      <c r="AS23" s="6" t="str">
        <f>HYPERLINK("https://creighton-primo.hosted.exlibrisgroup.com/primo-explore/search?tab=default_tab&amp;search_scope=EVERYTHING&amp;vid=01CRU&amp;lang=en_US&amp;offset=0&amp;query=any,contains,991002905759702656","Catalog Record")</f>
        <v>Catalog Record</v>
      </c>
      <c r="AT23" s="6" t="str">
        <f>HYPERLINK("http://www.worldcat.org/oclc/519350","WorldCat Record")</f>
        <v>WorldCat Record</v>
      </c>
      <c r="AU23" s="3" t="s">
        <v>360</v>
      </c>
      <c r="AV23" s="3" t="s">
        <v>361</v>
      </c>
      <c r="AW23" s="3" t="s">
        <v>362</v>
      </c>
      <c r="AX23" s="3" t="s">
        <v>362</v>
      </c>
      <c r="AY23" s="3" t="s">
        <v>363</v>
      </c>
      <c r="AZ23" s="3" t="s">
        <v>74</v>
      </c>
      <c r="BC23" s="3" t="s">
        <v>364</v>
      </c>
      <c r="BD23" s="3" t="s">
        <v>365</v>
      </c>
    </row>
    <row r="24" spans="1:56" ht="57.75" customHeight="1" x14ac:dyDescent="0.25">
      <c r="A24" s="7" t="s">
        <v>58</v>
      </c>
      <c r="B24" s="2" t="s">
        <v>366</v>
      </c>
      <c r="C24" s="2" t="s">
        <v>367</v>
      </c>
      <c r="D24" s="2" t="s">
        <v>368</v>
      </c>
      <c r="F24" s="3" t="s">
        <v>58</v>
      </c>
      <c r="G24" s="3" t="s">
        <v>59</v>
      </c>
      <c r="H24" s="3" t="s">
        <v>58</v>
      </c>
      <c r="I24" s="3" t="s">
        <v>58</v>
      </c>
      <c r="J24" s="3" t="s">
        <v>60</v>
      </c>
      <c r="K24" s="2" t="s">
        <v>356</v>
      </c>
      <c r="L24" s="2" t="s">
        <v>369</v>
      </c>
      <c r="M24" s="3" t="s">
        <v>370</v>
      </c>
      <c r="O24" s="3" t="s">
        <v>64</v>
      </c>
      <c r="P24" s="3" t="s">
        <v>278</v>
      </c>
      <c r="R24" s="3" t="s">
        <v>66</v>
      </c>
      <c r="S24" s="4">
        <v>2</v>
      </c>
      <c r="T24" s="4">
        <v>2</v>
      </c>
      <c r="U24" s="5" t="s">
        <v>371</v>
      </c>
      <c r="V24" s="5" t="s">
        <v>371</v>
      </c>
      <c r="W24" s="5" t="s">
        <v>372</v>
      </c>
      <c r="X24" s="5" t="s">
        <v>372</v>
      </c>
      <c r="Y24" s="4">
        <v>546</v>
      </c>
      <c r="Z24" s="4">
        <v>490</v>
      </c>
      <c r="AA24" s="4">
        <v>492</v>
      </c>
      <c r="AB24" s="4">
        <v>3</v>
      </c>
      <c r="AC24" s="4">
        <v>3</v>
      </c>
      <c r="AD24" s="4">
        <v>16</v>
      </c>
      <c r="AE24" s="4">
        <v>16</v>
      </c>
      <c r="AF24" s="4">
        <v>8</v>
      </c>
      <c r="AG24" s="4">
        <v>8</v>
      </c>
      <c r="AH24" s="4">
        <v>5</v>
      </c>
      <c r="AI24" s="4">
        <v>5</v>
      </c>
      <c r="AJ24" s="4">
        <v>7</v>
      </c>
      <c r="AK24" s="4">
        <v>7</v>
      </c>
      <c r="AL24" s="4">
        <v>1</v>
      </c>
      <c r="AM24" s="4">
        <v>1</v>
      </c>
      <c r="AN24" s="4">
        <v>0</v>
      </c>
      <c r="AO24" s="4">
        <v>0</v>
      </c>
      <c r="AP24" s="3" t="s">
        <v>58</v>
      </c>
      <c r="AQ24" s="3" t="s">
        <v>69</v>
      </c>
      <c r="AR24" s="6" t="str">
        <f>HYPERLINK("http://catalog.hathitrust.org/Record/001470289","HathiTrust Record")</f>
        <v>HathiTrust Record</v>
      </c>
      <c r="AS24" s="6" t="str">
        <f>HYPERLINK("https://creighton-primo.hosted.exlibrisgroup.com/primo-explore/search?tab=default_tab&amp;search_scope=EVERYTHING&amp;vid=01CRU&amp;lang=en_US&amp;offset=0&amp;query=any,contains,991000146809702656","Catalog Record")</f>
        <v>Catalog Record</v>
      </c>
      <c r="AT24" s="6" t="str">
        <f>HYPERLINK("http://www.worldcat.org/oclc/59029","WorldCat Record")</f>
        <v>WorldCat Record</v>
      </c>
      <c r="AU24" s="3" t="s">
        <v>373</v>
      </c>
      <c r="AV24" s="3" t="s">
        <v>374</v>
      </c>
      <c r="AW24" s="3" t="s">
        <v>375</v>
      </c>
      <c r="AX24" s="3" t="s">
        <v>375</v>
      </c>
      <c r="AY24" s="3" t="s">
        <v>376</v>
      </c>
      <c r="AZ24" s="3" t="s">
        <v>74</v>
      </c>
      <c r="BC24" s="3" t="s">
        <v>377</v>
      </c>
      <c r="BD24" s="3" t="s">
        <v>378</v>
      </c>
    </row>
    <row r="25" spans="1:56" ht="57.75" customHeight="1" x14ac:dyDescent="0.25">
      <c r="A25" s="7" t="s">
        <v>58</v>
      </c>
      <c r="B25" s="2" t="s">
        <v>379</v>
      </c>
      <c r="C25" s="2" t="s">
        <v>380</v>
      </c>
      <c r="D25" s="2" t="s">
        <v>381</v>
      </c>
      <c r="F25" s="3" t="s">
        <v>58</v>
      </c>
      <c r="G25" s="3" t="s">
        <v>59</v>
      </c>
      <c r="H25" s="3" t="s">
        <v>58</v>
      </c>
      <c r="I25" s="3" t="s">
        <v>58</v>
      </c>
      <c r="J25" s="3" t="s">
        <v>60</v>
      </c>
      <c r="K25" s="2" t="s">
        <v>382</v>
      </c>
      <c r="L25" s="2" t="s">
        <v>383</v>
      </c>
      <c r="M25" s="3" t="s">
        <v>384</v>
      </c>
      <c r="O25" s="3" t="s">
        <v>64</v>
      </c>
      <c r="P25" s="3" t="s">
        <v>385</v>
      </c>
      <c r="R25" s="3" t="s">
        <v>66</v>
      </c>
      <c r="S25" s="4">
        <v>2</v>
      </c>
      <c r="T25" s="4">
        <v>2</v>
      </c>
      <c r="U25" s="5" t="s">
        <v>386</v>
      </c>
      <c r="V25" s="5" t="s">
        <v>386</v>
      </c>
      <c r="W25" s="5" t="s">
        <v>372</v>
      </c>
      <c r="X25" s="5" t="s">
        <v>372</v>
      </c>
      <c r="Y25" s="4">
        <v>745</v>
      </c>
      <c r="Z25" s="4">
        <v>685</v>
      </c>
      <c r="AA25" s="4">
        <v>860</v>
      </c>
      <c r="AB25" s="4">
        <v>6</v>
      </c>
      <c r="AC25" s="4">
        <v>9</v>
      </c>
      <c r="AD25" s="4">
        <v>22</v>
      </c>
      <c r="AE25" s="4">
        <v>29</v>
      </c>
      <c r="AF25" s="4">
        <v>9</v>
      </c>
      <c r="AG25" s="4">
        <v>12</v>
      </c>
      <c r="AH25" s="4">
        <v>5</v>
      </c>
      <c r="AI25" s="4">
        <v>5</v>
      </c>
      <c r="AJ25" s="4">
        <v>8</v>
      </c>
      <c r="AK25" s="4">
        <v>10</v>
      </c>
      <c r="AL25" s="4">
        <v>4</v>
      </c>
      <c r="AM25" s="4">
        <v>7</v>
      </c>
      <c r="AN25" s="4">
        <v>0</v>
      </c>
      <c r="AO25" s="4">
        <v>0</v>
      </c>
      <c r="AP25" s="3" t="s">
        <v>58</v>
      </c>
      <c r="AQ25" s="3" t="s">
        <v>69</v>
      </c>
      <c r="AR25" s="6" t="str">
        <f>HYPERLINK("http://catalog.hathitrust.org/Record/000268217","HathiTrust Record")</f>
        <v>HathiTrust Record</v>
      </c>
      <c r="AS25" s="6" t="str">
        <f>HYPERLINK("https://creighton-primo.hosted.exlibrisgroup.com/primo-explore/search?tab=default_tab&amp;search_scope=EVERYTHING&amp;vid=01CRU&amp;lang=en_US&amp;offset=0&amp;query=any,contains,991002872859702656","Catalog Record")</f>
        <v>Catalog Record</v>
      </c>
      <c r="AT25" s="6" t="str">
        <f>HYPERLINK("http://www.worldcat.org/oclc/46462503","WorldCat Record")</f>
        <v>WorldCat Record</v>
      </c>
      <c r="AU25" s="3" t="s">
        <v>387</v>
      </c>
      <c r="AV25" s="3" t="s">
        <v>388</v>
      </c>
      <c r="AW25" s="3" t="s">
        <v>389</v>
      </c>
      <c r="AX25" s="3" t="s">
        <v>389</v>
      </c>
      <c r="AY25" s="3" t="s">
        <v>390</v>
      </c>
      <c r="AZ25" s="3" t="s">
        <v>74</v>
      </c>
      <c r="BC25" s="3" t="s">
        <v>391</v>
      </c>
      <c r="BD25" s="3" t="s">
        <v>392</v>
      </c>
    </row>
    <row r="26" spans="1:56" ht="57.75" customHeight="1" x14ac:dyDescent="0.25">
      <c r="A26" s="7" t="s">
        <v>58</v>
      </c>
      <c r="B26" s="2" t="s">
        <v>393</v>
      </c>
      <c r="C26" s="2" t="s">
        <v>394</v>
      </c>
      <c r="D26" s="2" t="s">
        <v>395</v>
      </c>
      <c r="F26" s="3" t="s">
        <v>58</v>
      </c>
      <c r="G26" s="3" t="s">
        <v>59</v>
      </c>
      <c r="H26" s="3" t="s">
        <v>58</v>
      </c>
      <c r="I26" s="3" t="s">
        <v>58</v>
      </c>
      <c r="J26" s="3" t="s">
        <v>60</v>
      </c>
      <c r="K26" s="2" t="s">
        <v>396</v>
      </c>
      <c r="L26" s="2" t="s">
        <v>397</v>
      </c>
      <c r="M26" s="3" t="s">
        <v>83</v>
      </c>
      <c r="O26" s="3" t="s">
        <v>64</v>
      </c>
      <c r="P26" s="3" t="s">
        <v>65</v>
      </c>
      <c r="R26" s="3" t="s">
        <v>66</v>
      </c>
      <c r="S26" s="4">
        <v>1</v>
      </c>
      <c r="T26" s="4">
        <v>1</v>
      </c>
      <c r="U26" s="5" t="s">
        <v>398</v>
      </c>
      <c r="V26" s="5" t="s">
        <v>398</v>
      </c>
      <c r="W26" s="5" t="s">
        <v>399</v>
      </c>
      <c r="X26" s="5" t="s">
        <v>399</v>
      </c>
      <c r="Y26" s="4">
        <v>156</v>
      </c>
      <c r="Z26" s="4">
        <v>143</v>
      </c>
      <c r="AA26" s="4">
        <v>143</v>
      </c>
      <c r="AB26" s="4">
        <v>2</v>
      </c>
      <c r="AC26" s="4">
        <v>2</v>
      </c>
      <c r="AD26" s="4">
        <v>5</v>
      </c>
      <c r="AE26" s="4">
        <v>5</v>
      </c>
      <c r="AF26" s="4">
        <v>1</v>
      </c>
      <c r="AG26" s="4">
        <v>1</v>
      </c>
      <c r="AH26" s="4">
        <v>2</v>
      </c>
      <c r="AI26" s="4">
        <v>2</v>
      </c>
      <c r="AJ26" s="4">
        <v>1</v>
      </c>
      <c r="AK26" s="4">
        <v>1</v>
      </c>
      <c r="AL26" s="4">
        <v>1</v>
      </c>
      <c r="AM26" s="4">
        <v>1</v>
      </c>
      <c r="AN26" s="4">
        <v>0</v>
      </c>
      <c r="AO26" s="4">
        <v>0</v>
      </c>
      <c r="AP26" s="3" t="s">
        <v>58</v>
      </c>
      <c r="AQ26" s="3" t="s">
        <v>58</v>
      </c>
      <c r="AS26" s="6" t="str">
        <f>HYPERLINK("https://creighton-primo.hosted.exlibrisgroup.com/primo-explore/search?tab=default_tab&amp;search_scope=EVERYTHING&amp;vid=01CRU&amp;lang=en_US&amp;offset=0&amp;query=any,contains,991002100209702656","Catalog Record")</f>
        <v>Catalog Record</v>
      </c>
      <c r="AT26" s="6" t="str">
        <f>HYPERLINK("http://www.worldcat.org/oclc/29798534","WorldCat Record")</f>
        <v>WorldCat Record</v>
      </c>
      <c r="AU26" s="3" t="s">
        <v>400</v>
      </c>
      <c r="AV26" s="3" t="s">
        <v>401</v>
      </c>
      <c r="AW26" s="3" t="s">
        <v>402</v>
      </c>
      <c r="AX26" s="3" t="s">
        <v>402</v>
      </c>
      <c r="AY26" s="3" t="s">
        <v>403</v>
      </c>
      <c r="AZ26" s="3" t="s">
        <v>74</v>
      </c>
      <c r="BB26" s="3" t="s">
        <v>404</v>
      </c>
      <c r="BC26" s="3" t="s">
        <v>405</v>
      </c>
      <c r="BD26" s="3" t="s">
        <v>406</v>
      </c>
    </row>
    <row r="27" spans="1:56" ht="57.75" customHeight="1" x14ac:dyDescent="0.25">
      <c r="A27" s="7" t="s">
        <v>58</v>
      </c>
      <c r="B27" s="2" t="s">
        <v>407</v>
      </c>
      <c r="C27" s="2" t="s">
        <v>408</v>
      </c>
      <c r="D27" s="2" t="s">
        <v>409</v>
      </c>
      <c r="F27" s="3" t="s">
        <v>58</v>
      </c>
      <c r="G27" s="3" t="s">
        <v>59</v>
      </c>
      <c r="H27" s="3" t="s">
        <v>58</v>
      </c>
      <c r="I27" s="3" t="s">
        <v>58</v>
      </c>
      <c r="J27" s="3" t="s">
        <v>60</v>
      </c>
      <c r="K27" s="2" t="s">
        <v>410</v>
      </c>
      <c r="L27" s="2" t="s">
        <v>411</v>
      </c>
      <c r="M27" s="3" t="s">
        <v>293</v>
      </c>
      <c r="O27" s="3" t="s">
        <v>64</v>
      </c>
      <c r="P27" s="3" t="s">
        <v>412</v>
      </c>
      <c r="R27" s="3" t="s">
        <v>66</v>
      </c>
      <c r="S27" s="4">
        <v>5</v>
      </c>
      <c r="T27" s="4">
        <v>5</v>
      </c>
      <c r="U27" s="5" t="s">
        <v>413</v>
      </c>
      <c r="V27" s="5" t="s">
        <v>413</v>
      </c>
      <c r="W27" s="5" t="s">
        <v>372</v>
      </c>
      <c r="X27" s="5" t="s">
        <v>372</v>
      </c>
      <c r="Y27" s="4">
        <v>172</v>
      </c>
      <c r="Z27" s="4">
        <v>57</v>
      </c>
      <c r="AA27" s="4">
        <v>735</v>
      </c>
      <c r="AB27" s="4">
        <v>1</v>
      </c>
      <c r="AC27" s="4">
        <v>8</v>
      </c>
      <c r="AD27" s="4">
        <v>0</v>
      </c>
      <c r="AE27" s="4">
        <v>22</v>
      </c>
      <c r="AF27" s="4">
        <v>0</v>
      </c>
      <c r="AG27" s="4">
        <v>8</v>
      </c>
      <c r="AH27" s="4">
        <v>0</v>
      </c>
      <c r="AI27" s="4">
        <v>5</v>
      </c>
      <c r="AJ27" s="4">
        <v>0</v>
      </c>
      <c r="AK27" s="4">
        <v>10</v>
      </c>
      <c r="AL27" s="4">
        <v>0</v>
      </c>
      <c r="AM27" s="4">
        <v>4</v>
      </c>
      <c r="AN27" s="4">
        <v>0</v>
      </c>
      <c r="AO27" s="4">
        <v>0</v>
      </c>
      <c r="AP27" s="3" t="s">
        <v>58</v>
      </c>
      <c r="AQ27" s="3" t="s">
        <v>69</v>
      </c>
      <c r="AR27" s="6" t="str">
        <f>HYPERLINK("http://catalog.hathitrust.org/Record/001470368","HathiTrust Record")</f>
        <v>HathiTrust Record</v>
      </c>
      <c r="AS27" s="6" t="str">
        <f>HYPERLINK("https://creighton-primo.hosted.exlibrisgroup.com/primo-explore/search?tab=default_tab&amp;search_scope=EVERYTHING&amp;vid=01CRU&amp;lang=en_US&amp;offset=0&amp;query=any,contains,991000759279702656","Catalog Record")</f>
        <v>Catalog Record</v>
      </c>
      <c r="AT27" s="6" t="str">
        <f>HYPERLINK("http://www.worldcat.org/oclc/130721","WorldCat Record")</f>
        <v>WorldCat Record</v>
      </c>
      <c r="AU27" s="3" t="s">
        <v>414</v>
      </c>
      <c r="AV27" s="3" t="s">
        <v>415</v>
      </c>
      <c r="AW27" s="3" t="s">
        <v>416</v>
      </c>
      <c r="AX27" s="3" t="s">
        <v>416</v>
      </c>
      <c r="AY27" s="3" t="s">
        <v>417</v>
      </c>
      <c r="AZ27" s="3" t="s">
        <v>74</v>
      </c>
      <c r="BB27" s="3" t="s">
        <v>418</v>
      </c>
      <c r="BC27" s="3" t="s">
        <v>419</v>
      </c>
      <c r="BD27" s="3" t="s">
        <v>420</v>
      </c>
    </row>
    <row r="28" spans="1:56" ht="57.75" customHeight="1" x14ac:dyDescent="0.25">
      <c r="A28" s="7" t="s">
        <v>58</v>
      </c>
      <c r="B28" s="2" t="s">
        <v>421</v>
      </c>
      <c r="C28" s="2" t="s">
        <v>422</v>
      </c>
      <c r="D28" s="2" t="s">
        <v>423</v>
      </c>
      <c r="F28" s="3" t="s">
        <v>58</v>
      </c>
      <c r="G28" s="3" t="s">
        <v>59</v>
      </c>
      <c r="H28" s="3" t="s">
        <v>58</v>
      </c>
      <c r="I28" s="3" t="s">
        <v>58</v>
      </c>
      <c r="J28" s="3" t="s">
        <v>60</v>
      </c>
      <c r="K28" s="2" t="s">
        <v>424</v>
      </c>
      <c r="L28" s="2" t="s">
        <v>425</v>
      </c>
      <c r="M28" s="3" t="s">
        <v>205</v>
      </c>
      <c r="O28" s="3" t="s">
        <v>64</v>
      </c>
      <c r="P28" s="3" t="s">
        <v>65</v>
      </c>
      <c r="R28" s="3" t="s">
        <v>66</v>
      </c>
      <c r="S28" s="4">
        <v>21</v>
      </c>
      <c r="T28" s="4">
        <v>21</v>
      </c>
      <c r="U28" s="5" t="s">
        <v>426</v>
      </c>
      <c r="V28" s="5" t="s">
        <v>426</v>
      </c>
      <c r="W28" s="5" t="s">
        <v>68</v>
      </c>
      <c r="X28" s="5" t="s">
        <v>68</v>
      </c>
      <c r="Y28" s="4">
        <v>818</v>
      </c>
      <c r="Z28" s="4">
        <v>772</v>
      </c>
      <c r="AA28" s="4">
        <v>817</v>
      </c>
      <c r="AB28" s="4">
        <v>8</v>
      </c>
      <c r="AC28" s="4">
        <v>8</v>
      </c>
      <c r="AD28" s="4">
        <v>16</v>
      </c>
      <c r="AE28" s="4">
        <v>17</v>
      </c>
      <c r="AF28" s="4">
        <v>7</v>
      </c>
      <c r="AG28" s="4">
        <v>7</v>
      </c>
      <c r="AH28" s="4">
        <v>4</v>
      </c>
      <c r="AI28" s="4">
        <v>4</v>
      </c>
      <c r="AJ28" s="4">
        <v>7</v>
      </c>
      <c r="AK28" s="4">
        <v>8</v>
      </c>
      <c r="AL28" s="4">
        <v>1</v>
      </c>
      <c r="AM28" s="4">
        <v>1</v>
      </c>
      <c r="AN28" s="4">
        <v>0</v>
      </c>
      <c r="AO28" s="4">
        <v>0</v>
      </c>
      <c r="AP28" s="3" t="s">
        <v>58</v>
      </c>
      <c r="AQ28" s="3" t="s">
        <v>58</v>
      </c>
      <c r="AS28" s="6" t="str">
        <f>HYPERLINK("https://creighton-primo.hosted.exlibrisgroup.com/primo-explore/search?tab=default_tab&amp;search_scope=EVERYTHING&amp;vid=01CRU&amp;lang=en_US&amp;offset=0&amp;query=any,contains,991005379349702656","Catalog Record")</f>
        <v>Catalog Record</v>
      </c>
      <c r="AT28" s="6" t="str">
        <f>HYPERLINK("http://www.worldcat.org/oclc/20358380","WorldCat Record")</f>
        <v>WorldCat Record</v>
      </c>
      <c r="AU28" s="3" t="s">
        <v>427</v>
      </c>
      <c r="AV28" s="3" t="s">
        <v>428</v>
      </c>
      <c r="AW28" s="3" t="s">
        <v>429</v>
      </c>
      <c r="AX28" s="3" t="s">
        <v>429</v>
      </c>
      <c r="AY28" s="3" t="s">
        <v>430</v>
      </c>
      <c r="AZ28" s="3" t="s">
        <v>74</v>
      </c>
      <c r="BB28" s="3" t="s">
        <v>431</v>
      </c>
      <c r="BC28" s="3" t="s">
        <v>432</v>
      </c>
      <c r="BD28" s="3" t="s">
        <v>433</v>
      </c>
    </row>
    <row r="29" spans="1:56" ht="57.75" customHeight="1" x14ac:dyDescent="0.25">
      <c r="A29" s="7" t="s">
        <v>58</v>
      </c>
      <c r="B29" s="2" t="s">
        <v>434</v>
      </c>
      <c r="C29" s="2" t="s">
        <v>435</v>
      </c>
      <c r="D29" s="2" t="s">
        <v>436</v>
      </c>
      <c r="F29" s="3" t="s">
        <v>58</v>
      </c>
      <c r="G29" s="3" t="s">
        <v>59</v>
      </c>
      <c r="H29" s="3" t="s">
        <v>58</v>
      </c>
      <c r="I29" s="3" t="s">
        <v>58</v>
      </c>
      <c r="J29" s="3" t="s">
        <v>60</v>
      </c>
      <c r="K29" s="2" t="s">
        <v>437</v>
      </c>
      <c r="L29" s="2" t="s">
        <v>438</v>
      </c>
      <c r="M29" s="3" t="s">
        <v>323</v>
      </c>
      <c r="O29" s="3" t="s">
        <v>64</v>
      </c>
      <c r="P29" s="3" t="s">
        <v>65</v>
      </c>
      <c r="R29" s="3" t="s">
        <v>66</v>
      </c>
      <c r="S29" s="4">
        <v>3</v>
      </c>
      <c r="T29" s="4">
        <v>3</v>
      </c>
      <c r="U29" s="5" t="s">
        <v>439</v>
      </c>
      <c r="V29" s="5" t="s">
        <v>439</v>
      </c>
      <c r="W29" s="5" t="s">
        <v>440</v>
      </c>
      <c r="X29" s="5" t="s">
        <v>440</v>
      </c>
      <c r="Y29" s="4">
        <v>582</v>
      </c>
      <c r="Z29" s="4">
        <v>483</v>
      </c>
      <c r="AA29" s="4">
        <v>534</v>
      </c>
      <c r="AB29" s="4">
        <v>5</v>
      </c>
      <c r="AC29" s="4">
        <v>5</v>
      </c>
      <c r="AD29" s="4">
        <v>18</v>
      </c>
      <c r="AE29" s="4">
        <v>18</v>
      </c>
      <c r="AF29" s="4">
        <v>6</v>
      </c>
      <c r="AG29" s="4">
        <v>6</v>
      </c>
      <c r="AH29" s="4">
        <v>4</v>
      </c>
      <c r="AI29" s="4">
        <v>4</v>
      </c>
      <c r="AJ29" s="4">
        <v>9</v>
      </c>
      <c r="AK29" s="4">
        <v>9</v>
      </c>
      <c r="AL29" s="4">
        <v>3</v>
      </c>
      <c r="AM29" s="4">
        <v>3</v>
      </c>
      <c r="AN29" s="4">
        <v>0</v>
      </c>
      <c r="AO29" s="4">
        <v>0</v>
      </c>
      <c r="AP29" s="3" t="s">
        <v>58</v>
      </c>
      <c r="AQ29" s="3" t="s">
        <v>69</v>
      </c>
      <c r="AR29" s="6" t="str">
        <f>HYPERLINK("http://catalog.hathitrust.org/Record/001954984","HathiTrust Record")</f>
        <v>HathiTrust Record</v>
      </c>
      <c r="AS29" s="6" t="str">
        <f>HYPERLINK("https://creighton-primo.hosted.exlibrisgroup.com/primo-explore/search?tab=default_tab&amp;search_scope=EVERYTHING&amp;vid=01CRU&amp;lang=en_US&amp;offset=0&amp;query=any,contains,991001541559702656","Catalog Record")</f>
        <v>Catalog Record</v>
      </c>
      <c r="AT29" s="6" t="str">
        <f>HYPERLINK("http://www.worldcat.org/oclc/20131149","WorldCat Record")</f>
        <v>WorldCat Record</v>
      </c>
      <c r="AU29" s="3" t="s">
        <v>441</v>
      </c>
      <c r="AV29" s="3" t="s">
        <v>442</v>
      </c>
      <c r="AW29" s="3" t="s">
        <v>443</v>
      </c>
      <c r="AX29" s="3" t="s">
        <v>443</v>
      </c>
      <c r="AY29" s="3" t="s">
        <v>444</v>
      </c>
      <c r="AZ29" s="3" t="s">
        <v>74</v>
      </c>
      <c r="BB29" s="3" t="s">
        <v>445</v>
      </c>
      <c r="BC29" s="3" t="s">
        <v>446</v>
      </c>
      <c r="BD29" s="3" t="s">
        <v>447</v>
      </c>
    </row>
    <row r="30" spans="1:56" ht="57.75" customHeight="1" x14ac:dyDescent="0.25">
      <c r="A30" s="7" t="s">
        <v>58</v>
      </c>
      <c r="B30" s="2" t="s">
        <v>448</v>
      </c>
      <c r="C30" s="2" t="s">
        <v>449</v>
      </c>
      <c r="D30" s="2" t="s">
        <v>450</v>
      </c>
      <c r="F30" s="3" t="s">
        <v>58</v>
      </c>
      <c r="G30" s="3" t="s">
        <v>59</v>
      </c>
      <c r="H30" s="3" t="s">
        <v>58</v>
      </c>
      <c r="I30" s="3" t="s">
        <v>58</v>
      </c>
      <c r="J30" s="3" t="s">
        <v>60</v>
      </c>
      <c r="K30" s="2" t="s">
        <v>451</v>
      </c>
      <c r="L30" s="2" t="s">
        <v>452</v>
      </c>
      <c r="M30" s="3" t="s">
        <v>293</v>
      </c>
      <c r="O30" s="3" t="s">
        <v>64</v>
      </c>
      <c r="P30" s="3" t="s">
        <v>453</v>
      </c>
      <c r="R30" s="3" t="s">
        <v>66</v>
      </c>
      <c r="S30" s="4">
        <v>6</v>
      </c>
      <c r="T30" s="4">
        <v>6</v>
      </c>
      <c r="U30" s="5" t="s">
        <v>454</v>
      </c>
      <c r="V30" s="5" t="s">
        <v>454</v>
      </c>
      <c r="W30" s="5" t="s">
        <v>455</v>
      </c>
      <c r="X30" s="5" t="s">
        <v>455</v>
      </c>
      <c r="Y30" s="4">
        <v>561</v>
      </c>
      <c r="Z30" s="4">
        <v>536</v>
      </c>
      <c r="AA30" s="4">
        <v>541</v>
      </c>
      <c r="AB30" s="4">
        <v>5</v>
      </c>
      <c r="AC30" s="4">
        <v>5</v>
      </c>
      <c r="AD30" s="4">
        <v>16</v>
      </c>
      <c r="AE30" s="4">
        <v>16</v>
      </c>
      <c r="AF30" s="4">
        <v>5</v>
      </c>
      <c r="AG30" s="4">
        <v>5</v>
      </c>
      <c r="AH30" s="4">
        <v>5</v>
      </c>
      <c r="AI30" s="4">
        <v>5</v>
      </c>
      <c r="AJ30" s="4">
        <v>7</v>
      </c>
      <c r="AK30" s="4">
        <v>7</v>
      </c>
      <c r="AL30" s="4">
        <v>4</v>
      </c>
      <c r="AM30" s="4">
        <v>4</v>
      </c>
      <c r="AN30" s="4">
        <v>0</v>
      </c>
      <c r="AO30" s="4">
        <v>0</v>
      </c>
      <c r="AP30" s="3" t="s">
        <v>58</v>
      </c>
      <c r="AQ30" s="3" t="s">
        <v>69</v>
      </c>
      <c r="AR30" s="6" t="str">
        <f>HYPERLINK("http://catalog.hathitrust.org/Record/001470384","HathiTrust Record")</f>
        <v>HathiTrust Record</v>
      </c>
      <c r="AS30" s="6" t="str">
        <f>HYPERLINK("https://creighton-primo.hosted.exlibrisgroup.com/primo-explore/search?tab=default_tab&amp;search_scope=EVERYTHING&amp;vid=01CRU&amp;lang=en_US&amp;offset=0&amp;query=any,contains,991000625329702656","Catalog Record")</f>
        <v>Catalog Record</v>
      </c>
      <c r="AT30" s="6" t="str">
        <f>HYPERLINK("http://www.worldcat.org/oclc/104024","WorldCat Record")</f>
        <v>WorldCat Record</v>
      </c>
      <c r="AU30" s="3" t="s">
        <v>456</v>
      </c>
      <c r="AV30" s="3" t="s">
        <v>457</v>
      </c>
      <c r="AW30" s="3" t="s">
        <v>458</v>
      </c>
      <c r="AX30" s="3" t="s">
        <v>458</v>
      </c>
      <c r="AY30" s="3" t="s">
        <v>459</v>
      </c>
      <c r="AZ30" s="3" t="s">
        <v>74</v>
      </c>
      <c r="BC30" s="3" t="s">
        <v>460</v>
      </c>
      <c r="BD30" s="3" t="s">
        <v>461</v>
      </c>
    </row>
    <row r="31" spans="1:56" ht="57.75" customHeight="1" x14ac:dyDescent="0.25">
      <c r="A31" s="7" t="s">
        <v>58</v>
      </c>
      <c r="B31" s="2" t="s">
        <v>462</v>
      </c>
      <c r="C31" s="2" t="s">
        <v>463</v>
      </c>
      <c r="D31" s="2" t="s">
        <v>464</v>
      </c>
      <c r="F31" s="3" t="s">
        <v>58</v>
      </c>
      <c r="G31" s="3" t="s">
        <v>59</v>
      </c>
      <c r="H31" s="3" t="s">
        <v>58</v>
      </c>
      <c r="I31" s="3" t="s">
        <v>58</v>
      </c>
      <c r="J31" s="3" t="s">
        <v>60</v>
      </c>
      <c r="K31" s="2" t="s">
        <v>465</v>
      </c>
      <c r="L31" s="2" t="s">
        <v>466</v>
      </c>
      <c r="M31" s="3" t="s">
        <v>323</v>
      </c>
      <c r="O31" s="3" t="s">
        <v>64</v>
      </c>
      <c r="P31" s="3" t="s">
        <v>234</v>
      </c>
      <c r="R31" s="3" t="s">
        <v>66</v>
      </c>
      <c r="S31" s="4">
        <v>5</v>
      </c>
      <c r="T31" s="4">
        <v>5</v>
      </c>
      <c r="U31" s="5" t="s">
        <v>467</v>
      </c>
      <c r="V31" s="5" t="s">
        <v>467</v>
      </c>
      <c r="W31" s="5" t="s">
        <v>468</v>
      </c>
      <c r="X31" s="5" t="s">
        <v>468</v>
      </c>
      <c r="Y31" s="4">
        <v>149</v>
      </c>
      <c r="Z31" s="4">
        <v>133</v>
      </c>
      <c r="AA31" s="4">
        <v>134</v>
      </c>
      <c r="AB31" s="4">
        <v>2</v>
      </c>
      <c r="AC31" s="4">
        <v>2</v>
      </c>
      <c r="AD31" s="4">
        <v>2</v>
      </c>
      <c r="AE31" s="4">
        <v>2</v>
      </c>
      <c r="AF31" s="4">
        <v>1</v>
      </c>
      <c r="AG31" s="4">
        <v>1</v>
      </c>
      <c r="AH31" s="4">
        <v>1</v>
      </c>
      <c r="AI31" s="4">
        <v>1</v>
      </c>
      <c r="AJ31" s="4">
        <v>1</v>
      </c>
      <c r="AK31" s="4">
        <v>1</v>
      </c>
      <c r="AL31" s="4">
        <v>0</v>
      </c>
      <c r="AM31" s="4">
        <v>0</v>
      </c>
      <c r="AN31" s="4">
        <v>0</v>
      </c>
      <c r="AO31" s="4">
        <v>0</v>
      </c>
      <c r="AP31" s="3" t="s">
        <v>58</v>
      </c>
      <c r="AQ31" s="3" t="s">
        <v>58</v>
      </c>
      <c r="AS31" s="6" t="str">
        <f>HYPERLINK("https://creighton-primo.hosted.exlibrisgroup.com/primo-explore/search?tab=default_tab&amp;search_scope=EVERYTHING&amp;vid=01CRU&amp;lang=en_US&amp;offset=0&amp;query=any,contains,991001504979702656","Catalog Record")</f>
        <v>Catalog Record</v>
      </c>
      <c r="AT31" s="6" t="str">
        <f>HYPERLINK("http://www.worldcat.org/oclc/19819225","WorldCat Record")</f>
        <v>WorldCat Record</v>
      </c>
      <c r="AU31" s="3" t="s">
        <v>469</v>
      </c>
      <c r="AV31" s="3" t="s">
        <v>470</v>
      </c>
      <c r="AW31" s="3" t="s">
        <v>471</v>
      </c>
      <c r="AX31" s="3" t="s">
        <v>471</v>
      </c>
      <c r="AY31" s="3" t="s">
        <v>472</v>
      </c>
      <c r="AZ31" s="3" t="s">
        <v>74</v>
      </c>
      <c r="BB31" s="3" t="s">
        <v>473</v>
      </c>
      <c r="BC31" s="3" t="s">
        <v>474</v>
      </c>
      <c r="BD31" s="3" t="s">
        <v>475</v>
      </c>
    </row>
    <row r="32" spans="1:56" ht="57.75" customHeight="1" x14ac:dyDescent="0.25">
      <c r="A32" s="7" t="s">
        <v>58</v>
      </c>
      <c r="B32" s="2" t="s">
        <v>476</v>
      </c>
      <c r="C32" s="2" t="s">
        <v>477</v>
      </c>
      <c r="D32" s="2" t="s">
        <v>478</v>
      </c>
      <c r="F32" s="3" t="s">
        <v>58</v>
      </c>
      <c r="G32" s="3" t="s">
        <v>59</v>
      </c>
      <c r="H32" s="3" t="s">
        <v>58</v>
      </c>
      <c r="I32" s="3" t="s">
        <v>58</v>
      </c>
      <c r="J32" s="3" t="s">
        <v>60</v>
      </c>
      <c r="K32" s="2" t="s">
        <v>479</v>
      </c>
      <c r="L32" s="2" t="s">
        <v>480</v>
      </c>
      <c r="M32" s="3" t="s">
        <v>63</v>
      </c>
      <c r="N32" s="2" t="s">
        <v>481</v>
      </c>
      <c r="O32" s="3" t="s">
        <v>64</v>
      </c>
      <c r="P32" s="3" t="s">
        <v>453</v>
      </c>
      <c r="R32" s="3" t="s">
        <v>66</v>
      </c>
      <c r="S32" s="4">
        <v>2</v>
      </c>
      <c r="T32" s="4">
        <v>2</v>
      </c>
      <c r="U32" s="5" t="s">
        <v>482</v>
      </c>
      <c r="V32" s="5" t="s">
        <v>482</v>
      </c>
      <c r="W32" s="5" t="s">
        <v>483</v>
      </c>
      <c r="X32" s="5" t="s">
        <v>483</v>
      </c>
      <c r="Y32" s="4">
        <v>473</v>
      </c>
      <c r="Z32" s="4">
        <v>406</v>
      </c>
      <c r="AA32" s="4">
        <v>408</v>
      </c>
      <c r="AB32" s="4">
        <v>5</v>
      </c>
      <c r="AC32" s="4">
        <v>5</v>
      </c>
      <c r="AD32" s="4">
        <v>14</v>
      </c>
      <c r="AE32" s="4">
        <v>14</v>
      </c>
      <c r="AF32" s="4">
        <v>4</v>
      </c>
      <c r="AG32" s="4">
        <v>4</v>
      </c>
      <c r="AH32" s="4">
        <v>3</v>
      </c>
      <c r="AI32" s="4">
        <v>3</v>
      </c>
      <c r="AJ32" s="4">
        <v>5</v>
      </c>
      <c r="AK32" s="4">
        <v>5</v>
      </c>
      <c r="AL32" s="4">
        <v>4</v>
      </c>
      <c r="AM32" s="4">
        <v>4</v>
      </c>
      <c r="AN32" s="4">
        <v>0</v>
      </c>
      <c r="AO32" s="4">
        <v>0</v>
      </c>
      <c r="AP32" s="3" t="s">
        <v>58</v>
      </c>
      <c r="AQ32" s="3" t="s">
        <v>69</v>
      </c>
      <c r="AR32" s="6" t="str">
        <f>HYPERLINK("http://catalog.hathitrust.org/Record/000751484","HathiTrust Record")</f>
        <v>HathiTrust Record</v>
      </c>
      <c r="AS32" s="6" t="str">
        <f>HYPERLINK("https://creighton-primo.hosted.exlibrisgroup.com/primo-explore/search?tab=default_tab&amp;search_scope=EVERYTHING&amp;vid=01CRU&amp;lang=en_US&amp;offset=0&amp;query=any,contains,991004426579702656","Catalog Record")</f>
        <v>Catalog Record</v>
      </c>
      <c r="AT32" s="6" t="str">
        <f>HYPERLINK("http://www.worldcat.org/oclc/3401274","WorldCat Record")</f>
        <v>WorldCat Record</v>
      </c>
      <c r="AU32" s="3" t="s">
        <v>484</v>
      </c>
      <c r="AV32" s="3" t="s">
        <v>485</v>
      </c>
      <c r="AW32" s="3" t="s">
        <v>486</v>
      </c>
      <c r="AX32" s="3" t="s">
        <v>486</v>
      </c>
      <c r="AY32" s="3" t="s">
        <v>487</v>
      </c>
      <c r="AZ32" s="3" t="s">
        <v>74</v>
      </c>
      <c r="BB32" s="3" t="s">
        <v>488</v>
      </c>
      <c r="BC32" s="3" t="s">
        <v>489</v>
      </c>
      <c r="BD32" s="3" t="s">
        <v>490</v>
      </c>
    </row>
    <row r="33" spans="1:56" ht="57.75" customHeight="1" x14ac:dyDescent="0.25">
      <c r="A33" s="7" t="s">
        <v>58</v>
      </c>
      <c r="B33" s="2" t="s">
        <v>491</v>
      </c>
      <c r="C33" s="2" t="s">
        <v>492</v>
      </c>
      <c r="D33" s="2" t="s">
        <v>493</v>
      </c>
      <c r="F33" s="3" t="s">
        <v>58</v>
      </c>
      <c r="G33" s="3" t="s">
        <v>59</v>
      </c>
      <c r="H33" s="3" t="s">
        <v>58</v>
      </c>
      <c r="I33" s="3" t="s">
        <v>58</v>
      </c>
      <c r="J33" s="3" t="s">
        <v>60</v>
      </c>
      <c r="K33" s="2" t="s">
        <v>494</v>
      </c>
      <c r="L33" s="2" t="s">
        <v>495</v>
      </c>
      <c r="M33" s="3" t="s">
        <v>496</v>
      </c>
      <c r="O33" s="3" t="s">
        <v>64</v>
      </c>
      <c r="P33" s="3" t="s">
        <v>65</v>
      </c>
      <c r="R33" s="3" t="s">
        <v>66</v>
      </c>
      <c r="S33" s="4">
        <v>1</v>
      </c>
      <c r="T33" s="4">
        <v>1</v>
      </c>
      <c r="U33" s="5" t="s">
        <v>497</v>
      </c>
      <c r="V33" s="5" t="s">
        <v>497</v>
      </c>
      <c r="W33" s="5" t="s">
        <v>498</v>
      </c>
      <c r="X33" s="5" t="s">
        <v>498</v>
      </c>
      <c r="Y33" s="4">
        <v>374</v>
      </c>
      <c r="Z33" s="4">
        <v>311</v>
      </c>
      <c r="AA33" s="4">
        <v>318</v>
      </c>
      <c r="AB33" s="4">
        <v>3</v>
      </c>
      <c r="AC33" s="4">
        <v>4</v>
      </c>
      <c r="AD33" s="4">
        <v>6</v>
      </c>
      <c r="AE33" s="4">
        <v>7</v>
      </c>
      <c r="AF33" s="4">
        <v>2</v>
      </c>
      <c r="AG33" s="4">
        <v>2</v>
      </c>
      <c r="AH33" s="4">
        <v>2</v>
      </c>
      <c r="AI33" s="4">
        <v>2</v>
      </c>
      <c r="AJ33" s="4">
        <v>4</v>
      </c>
      <c r="AK33" s="4">
        <v>4</v>
      </c>
      <c r="AL33" s="4">
        <v>0</v>
      </c>
      <c r="AM33" s="4">
        <v>1</v>
      </c>
      <c r="AN33" s="4">
        <v>0</v>
      </c>
      <c r="AO33" s="4">
        <v>0</v>
      </c>
      <c r="AP33" s="3" t="s">
        <v>58</v>
      </c>
      <c r="AQ33" s="3" t="s">
        <v>69</v>
      </c>
      <c r="AR33" s="6" t="str">
        <f>HYPERLINK("http://catalog.hathitrust.org/Record/008544538","HathiTrust Record")</f>
        <v>HathiTrust Record</v>
      </c>
      <c r="AS33" s="6" t="str">
        <f>HYPERLINK("https://creighton-primo.hosted.exlibrisgroup.com/primo-explore/search?tab=default_tab&amp;search_scope=EVERYTHING&amp;vid=01CRU&amp;lang=en_US&amp;offset=0&amp;query=any,contains,991004575369702656","Catalog Record")</f>
        <v>Catalog Record</v>
      </c>
      <c r="AT33" s="6" t="str">
        <f>HYPERLINK("http://www.worldcat.org/oclc/4037284","WorldCat Record")</f>
        <v>WorldCat Record</v>
      </c>
      <c r="AU33" s="3" t="s">
        <v>499</v>
      </c>
      <c r="AV33" s="3" t="s">
        <v>500</v>
      </c>
      <c r="AW33" s="3" t="s">
        <v>501</v>
      </c>
      <c r="AX33" s="3" t="s">
        <v>501</v>
      </c>
      <c r="AY33" s="3" t="s">
        <v>502</v>
      </c>
      <c r="AZ33" s="3" t="s">
        <v>74</v>
      </c>
      <c r="BB33" s="3" t="s">
        <v>503</v>
      </c>
      <c r="BC33" s="3" t="s">
        <v>504</v>
      </c>
      <c r="BD33" s="3" t="s">
        <v>505</v>
      </c>
    </row>
    <row r="34" spans="1:56" ht="57.75" customHeight="1" x14ac:dyDescent="0.25">
      <c r="A34" s="7" t="s">
        <v>58</v>
      </c>
      <c r="B34" s="2" t="s">
        <v>506</v>
      </c>
      <c r="C34" s="2" t="s">
        <v>507</v>
      </c>
      <c r="D34" s="2" t="s">
        <v>508</v>
      </c>
      <c r="F34" s="3" t="s">
        <v>58</v>
      </c>
      <c r="G34" s="3" t="s">
        <v>59</v>
      </c>
      <c r="H34" s="3" t="s">
        <v>58</v>
      </c>
      <c r="I34" s="3" t="s">
        <v>58</v>
      </c>
      <c r="J34" s="3" t="s">
        <v>60</v>
      </c>
      <c r="K34" s="2" t="s">
        <v>509</v>
      </c>
      <c r="L34" s="2" t="s">
        <v>510</v>
      </c>
      <c r="M34" s="3" t="s">
        <v>511</v>
      </c>
      <c r="N34" s="2" t="s">
        <v>512</v>
      </c>
      <c r="O34" s="3" t="s">
        <v>64</v>
      </c>
      <c r="P34" s="3" t="s">
        <v>65</v>
      </c>
      <c r="R34" s="3" t="s">
        <v>66</v>
      </c>
      <c r="S34" s="4">
        <v>1</v>
      </c>
      <c r="T34" s="4">
        <v>1</v>
      </c>
      <c r="U34" s="5" t="s">
        <v>513</v>
      </c>
      <c r="V34" s="5" t="s">
        <v>513</v>
      </c>
      <c r="W34" s="5" t="s">
        <v>513</v>
      </c>
      <c r="X34" s="5" t="s">
        <v>513</v>
      </c>
      <c r="Y34" s="4">
        <v>48</v>
      </c>
      <c r="Z34" s="4">
        <v>48</v>
      </c>
      <c r="AA34" s="4">
        <v>237</v>
      </c>
      <c r="AB34" s="4">
        <v>1</v>
      </c>
      <c r="AC34" s="4">
        <v>3</v>
      </c>
      <c r="AD34" s="4">
        <v>2</v>
      </c>
      <c r="AE34" s="4">
        <v>4</v>
      </c>
      <c r="AF34" s="4">
        <v>0</v>
      </c>
      <c r="AG34" s="4">
        <v>1</v>
      </c>
      <c r="AH34" s="4">
        <v>2</v>
      </c>
      <c r="AI34" s="4">
        <v>2</v>
      </c>
      <c r="AJ34" s="4">
        <v>1</v>
      </c>
      <c r="AK34" s="4">
        <v>1</v>
      </c>
      <c r="AL34" s="4">
        <v>0</v>
      </c>
      <c r="AM34" s="4">
        <v>1</v>
      </c>
      <c r="AN34" s="4">
        <v>0</v>
      </c>
      <c r="AO34" s="4">
        <v>0</v>
      </c>
      <c r="AP34" s="3" t="s">
        <v>58</v>
      </c>
      <c r="AQ34" s="3" t="s">
        <v>58</v>
      </c>
      <c r="AS34" s="6" t="str">
        <f>HYPERLINK("https://creighton-primo.hosted.exlibrisgroup.com/primo-explore/search?tab=default_tab&amp;search_scope=EVERYTHING&amp;vid=01CRU&amp;lang=en_US&amp;offset=0&amp;query=any,contains,991004680039702656","Catalog Record")</f>
        <v>Catalog Record</v>
      </c>
      <c r="AT34" s="6" t="str">
        <f>HYPERLINK("http://www.worldcat.org/oclc/9101588","WorldCat Record")</f>
        <v>WorldCat Record</v>
      </c>
      <c r="AU34" s="3" t="s">
        <v>514</v>
      </c>
      <c r="AV34" s="3" t="s">
        <v>515</v>
      </c>
      <c r="AW34" s="3" t="s">
        <v>516</v>
      </c>
      <c r="AX34" s="3" t="s">
        <v>516</v>
      </c>
      <c r="AY34" s="3" t="s">
        <v>517</v>
      </c>
      <c r="AZ34" s="3" t="s">
        <v>74</v>
      </c>
      <c r="BC34" s="3" t="s">
        <v>518</v>
      </c>
      <c r="BD34" s="3" t="s">
        <v>519</v>
      </c>
    </row>
    <row r="35" spans="1:56" ht="57.75" customHeight="1" x14ac:dyDescent="0.25">
      <c r="A35" s="7" t="s">
        <v>58</v>
      </c>
      <c r="B35" s="2" t="s">
        <v>520</v>
      </c>
      <c r="C35" s="2" t="s">
        <v>521</v>
      </c>
      <c r="D35" s="2" t="s">
        <v>522</v>
      </c>
      <c r="F35" s="3" t="s">
        <v>58</v>
      </c>
      <c r="G35" s="3" t="s">
        <v>59</v>
      </c>
      <c r="H35" s="3" t="s">
        <v>58</v>
      </c>
      <c r="I35" s="3" t="s">
        <v>58</v>
      </c>
      <c r="J35" s="3" t="s">
        <v>60</v>
      </c>
      <c r="K35" s="2" t="s">
        <v>523</v>
      </c>
      <c r="L35" s="2" t="s">
        <v>524</v>
      </c>
      <c r="M35" s="3" t="s">
        <v>525</v>
      </c>
      <c r="O35" s="3" t="s">
        <v>64</v>
      </c>
      <c r="P35" s="3" t="s">
        <v>65</v>
      </c>
      <c r="R35" s="3" t="s">
        <v>66</v>
      </c>
      <c r="S35" s="4">
        <v>6</v>
      </c>
      <c r="T35" s="4">
        <v>6</v>
      </c>
      <c r="U35" s="5" t="s">
        <v>526</v>
      </c>
      <c r="V35" s="5" t="s">
        <v>526</v>
      </c>
      <c r="W35" s="5" t="s">
        <v>527</v>
      </c>
      <c r="X35" s="5" t="s">
        <v>527</v>
      </c>
      <c r="Y35" s="4">
        <v>2077</v>
      </c>
      <c r="Z35" s="4">
        <v>1970</v>
      </c>
      <c r="AA35" s="4">
        <v>2202</v>
      </c>
      <c r="AB35" s="4">
        <v>16</v>
      </c>
      <c r="AC35" s="4">
        <v>17</v>
      </c>
      <c r="AD35" s="4">
        <v>49</v>
      </c>
      <c r="AE35" s="4">
        <v>54</v>
      </c>
      <c r="AF35" s="4">
        <v>26</v>
      </c>
      <c r="AG35" s="4">
        <v>27</v>
      </c>
      <c r="AH35" s="4">
        <v>8</v>
      </c>
      <c r="AI35" s="4">
        <v>9</v>
      </c>
      <c r="AJ35" s="4">
        <v>19</v>
      </c>
      <c r="AK35" s="4">
        <v>23</v>
      </c>
      <c r="AL35" s="4">
        <v>6</v>
      </c>
      <c r="AM35" s="4">
        <v>7</v>
      </c>
      <c r="AN35" s="4">
        <v>0</v>
      </c>
      <c r="AO35" s="4">
        <v>0</v>
      </c>
      <c r="AP35" s="3" t="s">
        <v>58</v>
      </c>
      <c r="AQ35" s="3" t="s">
        <v>69</v>
      </c>
      <c r="AR35" s="6" t="str">
        <f>HYPERLINK("http://catalog.hathitrust.org/Record/007122054","HathiTrust Record")</f>
        <v>HathiTrust Record</v>
      </c>
      <c r="AS35" s="6" t="str">
        <f>HYPERLINK("https://creighton-primo.hosted.exlibrisgroup.com/primo-explore/search?tab=default_tab&amp;search_scope=EVERYTHING&amp;vid=01CRU&amp;lang=en_US&amp;offset=0&amp;query=any,contains,991005353529702656","Catalog Record")</f>
        <v>Catalog Record</v>
      </c>
      <c r="AT35" s="6" t="str">
        <f>HYPERLINK("http://www.worldcat.org/oclc/171756","WorldCat Record")</f>
        <v>WorldCat Record</v>
      </c>
      <c r="AU35" s="3" t="s">
        <v>528</v>
      </c>
      <c r="AV35" s="3" t="s">
        <v>529</v>
      </c>
      <c r="AW35" s="3" t="s">
        <v>530</v>
      </c>
      <c r="AX35" s="3" t="s">
        <v>530</v>
      </c>
      <c r="AY35" s="3" t="s">
        <v>531</v>
      </c>
      <c r="AZ35" s="3" t="s">
        <v>74</v>
      </c>
      <c r="BC35" s="3" t="s">
        <v>532</v>
      </c>
      <c r="BD35" s="3" t="s">
        <v>533</v>
      </c>
    </row>
    <row r="36" spans="1:56" ht="57.75" customHeight="1" x14ac:dyDescent="0.25">
      <c r="A36" s="7" t="s">
        <v>58</v>
      </c>
      <c r="B36" s="2" t="s">
        <v>534</v>
      </c>
      <c r="C36" s="2" t="s">
        <v>535</v>
      </c>
      <c r="D36" s="2" t="s">
        <v>536</v>
      </c>
      <c r="F36" s="3" t="s">
        <v>58</v>
      </c>
      <c r="G36" s="3" t="s">
        <v>59</v>
      </c>
      <c r="H36" s="3" t="s">
        <v>58</v>
      </c>
      <c r="I36" s="3" t="s">
        <v>58</v>
      </c>
      <c r="J36" s="3" t="s">
        <v>60</v>
      </c>
      <c r="K36" s="2" t="s">
        <v>537</v>
      </c>
      <c r="L36" s="2" t="s">
        <v>538</v>
      </c>
      <c r="M36" s="3" t="s">
        <v>539</v>
      </c>
      <c r="O36" s="3" t="s">
        <v>64</v>
      </c>
      <c r="P36" s="3" t="s">
        <v>540</v>
      </c>
      <c r="R36" s="3" t="s">
        <v>66</v>
      </c>
      <c r="S36" s="4">
        <v>8</v>
      </c>
      <c r="T36" s="4">
        <v>8</v>
      </c>
      <c r="U36" s="5" t="s">
        <v>426</v>
      </c>
      <c r="V36" s="5" t="s">
        <v>426</v>
      </c>
      <c r="W36" s="5" t="s">
        <v>541</v>
      </c>
      <c r="X36" s="5" t="s">
        <v>541</v>
      </c>
      <c r="Y36" s="4">
        <v>850</v>
      </c>
      <c r="Z36" s="4">
        <v>834</v>
      </c>
      <c r="AA36" s="4">
        <v>1288</v>
      </c>
      <c r="AB36" s="4">
        <v>9</v>
      </c>
      <c r="AC36" s="4">
        <v>11</v>
      </c>
      <c r="AD36" s="4">
        <v>17</v>
      </c>
      <c r="AE36" s="4">
        <v>30</v>
      </c>
      <c r="AF36" s="4">
        <v>6</v>
      </c>
      <c r="AG36" s="4">
        <v>13</v>
      </c>
      <c r="AH36" s="4">
        <v>3</v>
      </c>
      <c r="AI36" s="4">
        <v>7</v>
      </c>
      <c r="AJ36" s="4">
        <v>7</v>
      </c>
      <c r="AK36" s="4">
        <v>14</v>
      </c>
      <c r="AL36" s="4">
        <v>3</v>
      </c>
      <c r="AM36" s="4">
        <v>3</v>
      </c>
      <c r="AN36" s="4">
        <v>0</v>
      </c>
      <c r="AO36" s="4">
        <v>0</v>
      </c>
      <c r="AP36" s="3" t="s">
        <v>58</v>
      </c>
      <c r="AQ36" s="3" t="s">
        <v>69</v>
      </c>
      <c r="AR36" s="6" t="str">
        <f>HYPERLINK("http://catalog.hathitrust.org/Record/001470397","HathiTrust Record")</f>
        <v>HathiTrust Record</v>
      </c>
      <c r="AS36" s="6" t="str">
        <f>HYPERLINK("https://creighton-primo.hosted.exlibrisgroup.com/primo-explore/search?tab=default_tab&amp;search_scope=EVERYTHING&amp;vid=01CRU&amp;lang=en_US&amp;offset=0&amp;query=any,contains,991005355429702656","Catalog Record")</f>
        <v>Catalog Record</v>
      </c>
      <c r="AT36" s="6" t="str">
        <f>HYPERLINK("http://www.worldcat.org/oclc/438103","WorldCat Record")</f>
        <v>WorldCat Record</v>
      </c>
      <c r="AU36" s="3" t="s">
        <v>542</v>
      </c>
      <c r="AV36" s="3" t="s">
        <v>543</v>
      </c>
      <c r="AW36" s="3" t="s">
        <v>544</v>
      </c>
      <c r="AX36" s="3" t="s">
        <v>544</v>
      </c>
      <c r="AY36" s="3" t="s">
        <v>545</v>
      </c>
      <c r="AZ36" s="3" t="s">
        <v>74</v>
      </c>
      <c r="BC36" s="3" t="s">
        <v>546</v>
      </c>
      <c r="BD36" s="3" t="s">
        <v>547</v>
      </c>
    </row>
    <row r="37" spans="1:56" ht="57.75" customHeight="1" x14ac:dyDescent="0.25">
      <c r="A37" s="7" t="s">
        <v>58</v>
      </c>
      <c r="B37" s="2" t="s">
        <v>548</v>
      </c>
      <c r="C37" s="2" t="s">
        <v>549</v>
      </c>
      <c r="D37" s="2" t="s">
        <v>550</v>
      </c>
      <c r="F37" s="3" t="s">
        <v>58</v>
      </c>
      <c r="G37" s="3" t="s">
        <v>59</v>
      </c>
      <c r="H37" s="3" t="s">
        <v>58</v>
      </c>
      <c r="I37" s="3" t="s">
        <v>58</v>
      </c>
      <c r="J37" s="3" t="s">
        <v>60</v>
      </c>
      <c r="K37" s="2" t="s">
        <v>424</v>
      </c>
      <c r="L37" s="2" t="s">
        <v>551</v>
      </c>
      <c r="M37" s="3" t="s">
        <v>552</v>
      </c>
      <c r="O37" s="3" t="s">
        <v>64</v>
      </c>
      <c r="P37" s="3" t="s">
        <v>65</v>
      </c>
      <c r="R37" s="3" t="s">
        <v>66</v>
      </c>
      <c r="S37" s="4">
        <v>12</v>
      </c>
      <c r="T37" s="4">
        <v>12</v>
      </c>
      <c r="U37" s="5" t="s">
        <v>426</v>
      </c>
      <c r="V37" s="5" t="s">
        <v>426</v>
      </c>
      <c r="W37" s="5" t="s">
        <v>541</v>
      </c>
      <c r="X37" s="5" t="s">
        <v>541</v>
      </c>
      <c r="Y37" s="4">
        <v>1221</v>
      </c>
      <c r="Z37" s="4">
        <v>1169</v>
      </c>
      <c r="AA37" s="4">
        <v>1286</v>
      </c>
      <c r="AB37" s="4">
        <v>7</v>
      </c>
      <c r="AC37" s="4">
        <v>8</v>
      </c>
      <c r="AD37" s="4">
        <v>22</v>
      </c>
      <c r="AE37" s="4">
        <v>22</v>
      </c>
      <c r="AF37" s="4">
        <v>7</v>
      </c>
      <c r="AG37" s="4">
        <v>7</v>
      </c>
      <c r="AH37" s="4">
        <v>5</v>
      </c>
      <c r="AI37" s="4">
        <v>5</v>
      </c>
      <c r="AJ37" s="4">
        <v>11</v>
      </c>
      <c r="AK37" s="4">
        <v>11</v>
      </c>
      <c r="AL37" s="4">
        <v>3</v>
      </c>
      <c r="AM37" s="4">
        <v>3</v>
      </c>
      <c r="AN37" s="4">
        <v>0</v>
      </c>
      <c r="AO37" s="4">
        <v>0</v>
      </c>
      <c r="AP37" s="3" t="s">
        <v>58</v>
      </c>
      <c r="AQ37" s="3" t="s">
        <v>58</v>
      </c>
      <c r="AS37" s="6" t="str">
        <f>HYPERLINK("https://creighton-primo.hosted.exlibrisgroup.com/primo-explore/search?tab=default_tab&amp;search_scope=EVERYTHING&amp;vid=01CRU&amp;lang=en_US&amp;offset=0&amp;query=any,contains,991005357829702656","Catalog Record")</f>
        <v>Catalog Record</v>
      </c>
      <c r="AT37" s="6" t="str">
        <f>HYPERLINK("http://www.worldcat.org/oclc/1112660","WorldCat Record")</f>
        <v>WorldCat Record</v>
      </c>
      <c r="AU37" s="3" t="s">
        <v>553</v>
      </c>
      <c r="AV37" s="3" t="s">
        <v>554</v>
      </c>
      <c r="AW37" s="3" t="s">
        <v>555</v>
      </c>
      <c r="AX37" s="3" t="s">
        <v>555</v>
      </c>
      <c r="AY37" s="3" t="s">
        <v>556</v>
      </c>
      <c r="AZ37" s="3" t="s">
        <v>74</v>
      </c>
      <c r="BC37" s="3" t="s">
        <v>557</v>
      </c>
      <c r="BD37" s="3" t="s">
        <v>558</v>
      </c>
    </row>
    <row r="38" spans="1:56" ht="57.75" customHeight="1" x14ac:dyDescent="0.25">
      <c r="A38" s="7" t="s">
        <v>58</v>
      </c>
      <c r="B38" s="2" t="s">
        <v>559</v>
      </c>
      <c r="C38" s="2" t="s">
        <v>560</v>
      </c>
      <c r="D38" s="2" t="s">
        <v>561</v>
      </c>
      <c r="F38" s="3" t="s">
        <v>58</v>
      </c>
      <c r="G38" s="3" t="s">
        <v>59</v>
      </c>
      <c r="H38" s="3" t="s">
        <v>58</v>
      </c>
      <c r="I38" s="3" t="s">
        <v>58</v>
      </c>
      <c r="J38" s="3" t="s">
        <v>60</v>
      </c>
      <c r="K38" s="2" t="s">
        <v>562</v>
      </c>
      <c r="L38" s="2" t="s">
        <v>563</v>
      </c>
      <c r="M38" s="3" t="s">
        <v>564</v>
      </c>
      <c r="O38" s="3" t="s">
        <v>64</v>
      </c>
      <c r="P38" s="3" t="s">
        <v>234</v>
      </c>
      <c r="R38" s="3" t="s">
        <v>66</v>
      </c>
      <c r="S38" s="4">
        <v>1</v>
      </c>
      <c r="T38" s="4">
        <v>1</v>
      </c>
      <c r="U38" s="5" t="s">
        <v>565</v>
      </c>
      <c r="V38" s="5" t="s">
        <v>565</v>
      </c>
      <c r="W38" s="5" t="s">
        <v>372</v>
      </c>
      <c r="X38" s="5" t="s">
        <v>372</v>
      </c>
      <c r="Y38" s="4">
        <v>1134</v>
      </c>
      <c r="Z38" s="4">
        <v>972</v>
      </c>
      <c r="AA38" s="4">
        <v>1044</v>
      </c>
      <c r="AB38" s="4">
        <v>9</v>
      </c>
      <c r="AC38" s="4">
        <v>9</v>
      </c>
      <c r="AD38" s="4">
        <v>32</v>
      </c>
      <c r="AE38" s="4">
        <v>33</v>
      </c>
      <c r="AF38" s="4">
        <v>14</v>
      </c>
      <c r="AG38" s="4">
        <v>15</v>
      </c>
      <c r="AH38" s="4">
        <v>5</v>
      </c>
      <c r="AI38" s="4">
        <v>5</v>
      </c>
      <c r="AJ38" s="4">
        <v>13</v>
      </c>
      <c r="AK38" s="4">
        <v>13</v>
      </c>
      <c r="AL38" s="4">
        <v>7</v>
      </c>
      <c r="AM38" s="4">
        <v>7</v>
      </c>
      <c r="AN38" s="4">
        <v>0</v>
      </c>
      <c r="AO38" s="4">
        <v>0</v>
      </c>
      <c r="AP38" s="3" t="s">
        <v>58</v>
      </c>
      <c r="AQ38" s="3" t="s">
        <v>69</v>
      </c>
      <c r="AR38" s="6" t="str">
        <f>HYPERLINK("http://catalog.hathitrust.org/Record/001470416","HathiTrust Record")</f>
        <v>HathiTrust Record</v>
      </c>
      <c r="AS38" s="6" t="str">
        <f>HYPERLINK("https://creighton-primo.hosted.exlibrisgroup.com/primo-explore/search?tab=default_tab&amp;search_scope=EVERYTHING&amp;vid=01CRU&amp;lang=en_US&amp;offset=0&amp;query=any,contains,991001235639702656","Catalog Record")</f>
        <v>Catalog Record</v>
      </c>
      <c r="AT38" s="6" t="str">
        <f>HYPERLINK("http://www.worldcat.org/oclc/205837","WorldCat Record")</f>
        <v>WorldCat Record</v>
      </c>
      <c r="AU38" s="3" t="s">
        <v>566</v>
      </c>
      <c r="AV38" s="3" t="s">
        <v>567</v>
      </c>
      <c r="AW38" s="3" t="s">
        <v>568</v>
      </c>
      <c r="AX38" s="3" t="s">
        <v>568</v>
      </c>
      <c r="AY38" s="3" t="s">
        <v>569</v>
      </c>
      <c r="AZ38" s="3" t="s">
        <v>74</v>
      </c>
      <c r="BB38" s="3" t="s">
        <v>570</v>
      </c>
      <c r="BC38" s="3" t="s">
        <v>571</v>
      </c>
      <c r="BD38" s="3" t="s">
        <v>572</v>
      </c>
    </row>
    <row r="39" spans="1:56" ht="57.75" customHeight="1" x14ac:dyDescent="0.25">
      <c r="A39" s="7" t="s">
        <v>58</v>
      </c>
      <c r="B39" s="2" t="s">
        <v>573</v>
      </c>
      <c r="C39" s="2" t="s">
        <v>574</v>
      </c>
      <c r="D39" s="2" t="s">
        <v>575</v>
      </c>
      <c r="F39" s="3" t="s">
        <v>58</v>
      </c>
      <c r="G39" s="3" t="s">
        <v>59</v>
      </c>
      <c r="H39" s="3" t="s">
        <v>58</v>
      </c>
      <c r="I39" s="3" t="s">
        <v>58</v>
      </c>
      <c r="J39" s="3" t="s">
        <v>60</v>
      </c>
      <c r="K39" s="2" t="s">
        <v>81</v>
      </c>
      <c r="L39" s="2" t="s">
        <v>576</v>
      </c>
      <c r="M39" s="3" t="s">
        <v>577</v>
      </c>
      <c r="O39" s="3" t="s">
        <v>64</v>
      </c>
      <c r="P39" s="3" t="s">
        <v>65</v>
      </c>
      <c r="R39" s="3" t="s">
        <v>66</v>
      </c>
      <c r="S39" s="4">
        <v>8</v>
      </c>
      <c r="T39" s="4">
        <v>8</v>
      </c>
      <c r="U39" s="5" t="s">
        <v>578</v>
      </c>
      <c r="V39" s="5" t="s">
        <v>578</v>
      </c>
      <c r="W39" s="5" t="s">
        <v>579</v>
      </c>
      <c r="X39" s="5" t="s">
        <v>579</v>
      </c>
      <c r="Y39" s="4">
        <v>1174</v>
      </c>
      <c r="Z39" s="4">
        <v>1064</v>
      </c>
      <c r="AA39" s="4">
        <v>1131</v>
      </c>
      <c r="AB39" s="4">
        <v>15</v>
      </c>
      <c r="AC39" s="4">
        <v>15</v>
      </c>
      <c r="AD39" s="4">
        <v>36</v>
      </c>
      <c r="AE39" s="4">
        <v>39</v>
      </c>
      <c r="AF39" s="4">
        <v>13</v>
      </c>
      <c r="AG39" s="4">
        <v>14</v>
      </c>
      <c r="AH39" s="4">
        <v>8</v>
      </c>
      <c r="AI39" s="4">
        <v>8</v>
      </c>
      <c r="AJ39" s="4">
        <v>13</v>
      </c>
      <c r="AK39" s="4">
        <v>16</v>
      </c>
      <c r="AL39" s="4">
        <v>9</v>
      </c>
      <c r="AM39" s="4">
        <v>9</v>
      </c>
      <c r="AN39" s="4">
        <v>0</v>
      </c>
      <c r="AO39" s="4">
        <v>0</v>
      </c>
      <c r="AP39" s="3" t="s">
        <v>58</v>
      </c>
      <c r="AQ39" s="3" t="s">
        <v>69</v>
      </c>
      <c r="AR39" s="6" t="str">
        <f>HYPERLINK("http://catalog.hathitrust.org/Record/000017610","HathiTrust Record")</f>
        <v>HathiTrust Record</v>
      </c>
      <c r="AS39" s="6" t="str">
        <f>HYPERLINK("https://creighton-primo.hosted.exlibrisgroup.com/primo-explore/search?tab=default_tab&amp;search_scope=EVERYTHING&amp;vid=01CRU&amp;lang=en_US&amp;offset=0&amp;query=any,contains,991003485069702656","Catalog Record")</f>
        <v>Catalog Record</v>
      </c>
      <c r="AT39" s="6" t="str">
        <f>HYPERLINK("http://www.worldcat.org/oclc/1032275","WorldCat Record")</f>
        <v>WorldCat Record</v>
      </c>
      <c r="AU39" s="3" t="s">
        <v>580</v>
      </c>
      <c r="AV39" s="3" t="s">
        <v>581</v>
      </c>
      <c r="AW39" s="3" t="s">
        <v>582</v>
      </c>
      <c r="AX39" s="3" t="s">
        <v>582</v>
      </c>
      <c r="AY39" s="3" t="s">
        <v>583</v>
      </c>
      <c r="AZ39" s="3" t="s">
        <v>74</v>
      </c>
      <c r="BB39" s="3" t="s">
        <v>584</v>
      </c>
      <c r="BC39" s="3" t="s">
        <v>585</v>
      </c>
      <c r="BD39" s="3" t="s">
        <v>586</v>
      </c>
    </row>
    <row r="40" spans="1:56" ht="57.75" customHeight="1" x14ac:dyDescent="0.25">
      <c r="A40" s="7" t="s">
        <v>58</v>
      </c>
      <c r="B40" s="2" t="s">
        <v>587</v>
      </c>
      <c r="C40" s="2" t="s">
        <v>588</v>
      </c>
      <c r="D40" s="2" t="s">
        <v>589</v>
      </c>
      <c r="F40" s="3" t="s">
        <v>58</v>
      </c>
      <c r="G40" s="3" t="s">
        <v>59</v>
      </c>
      <c r="H40" s="3" t="s">
        <v>58</v>
      </c>
      <c r="I40" s="3" t="s">
        <v>58</v>
      </c>
      <c r="J40" s="3" t="s">
        <v>60</v>
      </c>
      <c r="K40" s="2" t="s">
        <v>590</v>
      </c>
      <c r="L40" s="2" t="s">
        <v>591</v>
      </c>
      <c r="M40" s="3" t="s">
        <v>564</v>
      </c>
      <c r="O40" s="3" t="s">
        <v>64</v>
      </c>
      <c r="P40" s="3" t="s">
        <v>65</v>
      </c>
      <c r="R40" s="3" t="s">
        <v>66</v>
      </c>
      <c r="S40" s="4">
        <v>4</v>
      </c>
      <c r="T40" s="4">
        <v>4</v>
      </c>
      <c r="U40" s="5" t="s">
        <v>413</v>
      </c>
      <c r="V40" s="5" t="s">
        <v>413</v>
      </c>
      <c r="W40" s="5" t="s">
        <v>592</v>
      </c>
      <c r="X40" s="5" t="s">
        <v>592</v>
      </c>
      <c r="Y40" s="4">
        <v>1229</v>
      </c>
      <c r="Z40" s="4">
        <v>1062</v>
      </c>
      <c r="AA40" s="4">
        <v>1203</v>
      </c>
      <c r="AB40" s="4">
        <v>8</v>
      </c>
      <c r="AC40" s="4">
        <v>9</v>
      </c>
      <c r="AD40" s="4">
        <v>39</v>
      </c>
      <c r="AE40" s="4">
        <v>42</v>
      </c>
      <c r="AF40" s="4">
        <v>14</v>
      </c>
      <c r="AG40" s="4">
        <v>16</v>
      </c>
      <c r="AH40" s="4">
        <v>10</v>
      </c>
      <c r="AI40" s="4">
        <v>10</v>
      </c>
      <c r="AJ40" s="4">
        <v>18</v>
      </c>
      <c r="AK40" s="4">
        <v>18</v>
      </c>
      <c r="AL40" s="4">
        <v>6</v>
      </c>
      <c r="AM40" s="4">
        <v>7</v>
      </c>
      <c r="AN40" s="4">
        <v>0</v>
      </c>
      <c r="AO40" s="4">
        <v>0</v>
      </c>
      <c r="AP40" s="3" t="s">
        <v>58</v>
      </c>
      <c r="AQ40" s="3" t="s">
        <v>69</v>
      </c>
      <c r="AR40" s="6" t="str">
        <f>HYPERLINK("http://catalog.hathitrust.org/Record/001469641","HathiTrust Record")</f>
        <v>HathiTrust Record</v>
      </c>
      <c r="AS40" s="6" t="str">
        <f>HYPERLINK("https://creighton-primo.hosted.exlibrisgroup.com/primo-explore/search?tab=default_tab&amp;search_scope=EVERYTHING&amp;vid=01CRU&amp;lang=en_US&amp;offset=0&amp;query=any,contains,991001385469702656","Catalog Record")</f>
        <v>Catalog Record</v>
      </c>
      <c r="AT40" s="6" t="str">
        <f>HYPERLINK("http://www.worldcat.org/oclc/226680","WorldCat Record")</f>
        <v>WorldCat Record</v>
      </c>
      <c r="AU40" s="3" t="s">
        <v>593</v>
      </c>
      <c r="AV40" s="3" t="s">
        <v>594</v>
      </c>
      <c r="AW40" s="3" t="s">
        <v>595</v>
      </c>
      <c r="AX40" s="3" t="s">
        <v>595</v>
      </c>
      <c r="AY40" s="3" t="s">
        <v>596</v>
      </c>
      <c r="AZ40" s="3" t="s">
        <v>74</v>
      </c>
      <c r="BB40" s="3" t="s">
        <v>597</v>
      </c>
      <c r="BC40" s="3" t="s">
        <v>598</v>
      </c>
      <c r="BD40" s="3" t="s">
        <v>599</v>
      </c>
    </row>
    <row r="41" spans="1:56" ht="57.75" customHeight="1" x14ac:dyDescent="0.25">
      <c r="A41" s="7" t="s">
        <v>58</v>
      </c>
      <c r="B41" s="2" t="s">
        <v>600</v>
      </c>
      <c r="C41" s="2" t="s">
        <v>601</v>
      </c>
      <c r="D41" s="2" t="s">
        <v>602</v>
      </c>
      <c r="F41" s="3" t="s">
        <v>58</v>
      </c>
      <c r="G41" s="3" t="s">
        <v>59</v>
      </c>
      <c r="H41" s="3" t="s">
        <v>58</v>
      </c>
      <c r="I41" s="3" t="s">
        <v>58</v>
      </c>
      <c r="J41" s="3" t="s">
        <v>60</v>
      </c>
      <c r="K41" s="2" t="s">
        <v>603</v>
      </c>
      <c r="L41" s="2" t="s">
        <v>604</v>
      </c>
      <c r="M41" s="3" t="s">
        <v>605</v>
      </c>
      <c r="N41" s="2" t="s">
        <v>606</v>
      </c>
      <c r="O41" s="3" t="s">
        <v>64</v>
      </c>
      <c r="P41" s="3" t="s">
        <v>65</v>
      </c>
      <c r="R41" s="3" t="s">
        <v>66</v>
      </c>
      <c r="S41" s="4">
        <v>2</v>
      </c>
      <c r="T41" s="4">
        <v>2</v>
      </c>
      <c r="U41" s="5" t="s">
        <v>607</v>
      </c>
      <c r="V41" s="5" t="s">
        <v>607</v>
      </c>
      <c r="W41" s="5" t="s">
        <v>608</v>
      </c>
      <c r="X41" s="5" t="s">
        <v>608</v>
      </c>
      <c r="Y41" s="4">
        <v>871</v>
      </c>
      <c r="Z41" s="4">
        <v>771</v>
      </c>
      <c r="AA41" s="4">
        <v>779</v>
      </c>
      <c r="AB41" s="4">
        <v>6</v>
      </c>
      <c r="AC41" s="4">
        <v>6</v>
      </c>
      <c r="AD41" s="4">
        <v>27</v>
      </c>
      <c r="AE41" s="4">
        <v>27</v>
      </c>
      <c r="AF41" s="4">
        <v>12</v>
      </c>
      <c r="AG41" s="4">
        <v>12</v>
      </c>
      <c r="AH41" s="4">
        <v>5</v>
      </c>
      <c r="AI41" s="4">
        <v>5</v>
      </c>
      <c r="AJ41" s="4">
        <v>12</v>
      </c>
      <c r="AK41" s="4">
        <v>12</v>
      </c>
      <c r="AL41" s="4">
        <v>4</v>
      </c>
      <c r="AM41" s="4">
        <v>4</v>
      </c>
      <c r="AN41" s="4">
        <v>0</v>
      </c>
      <c r="AO41" s="4">
        <v>0</v>
      </c>
      <c r="AP41" s="3" t="s">
        <v>58</v>
      </c>
      <c r="AQ41" s="3" t="s">
        <v>69</v>
      </c>
      <c r="AR41" s="6" t="str">
        <f>HYPERLINK("http://catalog.hathitrust.org/Record/004133816","HathiTrust Record")</f>
        <v>HathiTrust Record</v>
      </c>
      <c r="AS41" s="6" t="str">
        <f>HYPERLINK("https://creighton-primo.hosted.exlibrisgroup.com/primo-explore/search?tab=default_tab&amp;search_scope=EVERYTHING&amp;vid=01CRU&amp;lang=en_US&amp;offset=0&amp;query=any,contains,991003782169702656","Catalog Record")</f>
        <v>Catalog Record</v>
      </c>
      <c r="AT41" s="6" t="str">
        <f>HYPERLINK("http://www.worldcat.org/oclc/44266175","WorldCat Record")</f>
        <v>WorldCat Record</v>
      </c>
      <c r="AU41" s="3" t="s">
        <v>609</v>
      </c>
      <c r="AV41" s="3" t="s">
        <v>610</v>
      </c>
      <c r="AW41" s="3" t="s">
        <v>611</v>
      </c>
      <c r="AX41" s="3" t="s">
        <v>611</v>
      </c>
      <c r="AY41" s="3" t="s">
        <v>612</v>
      </c>
      <c r="AZ41" s="3" t="s">
        <v>74</v>
      </c>
      <c r="BB41" s="3" t="s">
        <v>613</v>
      </c>
      <c r="BC41" s="3" t="s">
        <v>614</v>
      </c>
      <c r="BD41" s="3" t="s">
        <v>615</v>
      </c>
    </row>
    <row r="42" spans="1:56" ht="57.75" customHeight="1" x14ac:dyDescent="0.25">
      <c r="A42" s="7" t="s">
        <v>58</v>
      </c>
      <c r="B42" s="2" t="s">
        <v>616</v>
      </c>
      <c r="C42" s="2" t="s">
        <v>617</v>
      </c>
      <c r="D42" s="2" t="s">
        <v>618</v>
      </c>
      <c r="F42" s="3" t="s">
        <v>58</v>
      </c>
      <c r="G42" s="3" t="s">
        <v>59</v>
      </c>
      <c r="H42" s="3" t="s">
        <v>58</v>
      </c>
      <c r="I42" s="3" t="s">
        <v>58</v>
      </c>
      <c r="J42" s="3" t="s">
        <v>60</v>
      </c>
      <c r="K42" s="2" t="s">
        <v>619</v>
      </c>
      <c r="L42" s="2" t="s">
        <v>620</v>
      </c>
      <c r="M42" s="3" t="s">
        <v>621</v>
      </c>
      <c r="O42" s="3" t="s">
        <v>64</v>
      </c>
      <c r="P42" s="3" t="s">
        <v>65</v>
      </c>
      <c r="R42" s="3" t="s">
        <v>66</v>
      </c>
      <c r="S42" s="4">
        <v>7</v>
      </c>
      <c r="T42" s="4">
        <v>7</v>
      </c>
      <c r="U42" s="5" t="s">
        <v>622</v>
      </c>
      <c r="V42" s="5" t="s">
        <v>622</v>
      </c>
      <c r="W42" s="5" t="s">
        <v>623</v>
      </c>
      <c r="X42" s="5" t="s">
        <v>623</v>
      </c>
      <c r="Y42" s="4">
        <v>965</v>
      </c>
      <c r="Z42" s="4">
        <v>908</v>
      </c>
      <c r="AA42" s="4">
        <v>935</v>
      </c>
      <c r="AB42" s="4">
        <v>7</v>
      </c>
      <c r="AC42" s="4">
        <v>7</v>
      </c>
      <c r="AD42" s="4">
        <v>24</v>
      </c>
      <c r="AE42" s="4">
        <v>24</v>
      </c>
      <c r="AF42" s="4">
        <v>11</v>
      </c>
      <c r="AG42" s="4">
        <v>11</v>
      </c>
      <c r="AH42" s="4">
        <v>7</v>
      </c>
      <c r="AI42" s="4">
        <v>7</v>
      </c>
      <c r="AJ42" s="4">
        <v>10</v>
      </c>
      <c r="AK42" s="4">
        <v>10</v>
      </c>
      <c r="AL42" s="4">
        <v>2</v>
      </c>
      <c r="AM42" s="4">
        <v>2</v>
      </c>
      <c r="AN42" s="4">
        <v>0</v>
      </c>
      <c r="AO42" s="4">
        <v>0</v>
      </c>
      <c r="AP42" s="3" t="s">
        <v>58</v>
      </c>
      <c r="AQ42" s="3" t="s">
        <v>69</v>
      </c>
      <c r="AR42" s="6" t="str">
        <f>HYPERLINK("http://catalog.hathitrust.org/Record/001469643","HathiTrust Record")</f>
        <v>HathiTrust Record</v>
      </c>
      <c r="AS42" s="6" t="str">
        <f>HYPERLINK("https://creighton-primo.hosted.exlibrisgroup.com/primo-explore/search?tab=default_tab&amp;search_scope=EVERYTHING&amp;vid=01CRU&amp;lang=en_US&amp;offset=0&amp;query=any,contains,991002917169702656","Catalog Record")</f>
        <v>Catalog Record</v>
      </c>
      <c r="AT42" s="6" t="str">
        <f>HYPERLINK("http://www.worldcat.org/oclc/524404","WorldCat Record")</f>
        <v>WorldCat Record</v>
      </c>
      <c r="AU42" s="3" t="s">
        <v>624</v>
      </c>
      <c r="AV42" s="3" t="s">
        <v>625</v>
      </c>
      <c r="AW42" s="3" t="s">
        <v>626</v>
      </c>
      <c r="AX42" s="3" t="s">
        <v>626</v>
      </c>
      <c r="AY42" s="3" t="s">
        <v>627</v>
      </c>
      <c r="AZ42" s="3" t="s">
        <v>74</v>
      </c>
      <c r="BB42" s="3" t="s">
        <v>628</v>
      </c>
      <c r="BC42" s="3" t="s">
        <v>629</v>
      </c>
      <c r="BD42" s="3" t="s">
        <v>630</v>
      </c>
    </row>
    <row r="43" spans="1:56" ht="57.75" customHeight="1" x14ac:dyDescent="0.25">
      <c r="A43" s="7" t="s">
        <v>58</v>
      </c>
      <c r="B43" s="2" t="s">
        <v>631</v>
      </c>
      <c r="C43" s="2" t="s">
        <v>632</v>
      </c>
      <c r="D43" s="2" t="s">
        <v>633</v>
      </c>
      <c r="F43" s="3" t="s">
        <v>58</v>
      </c>
      <c r="G43" s="3" t="s">
        <v>59</v>
      </c>
      <c r="H43" s="3" t="s">
        <v>58</v>
      </c>
      <c r="I43" s="3" t="s">
        <v>58</v>
      </c>
      <c r="J43" s="3" t="s">
        <v>60</v>
      </c>
      <c r="K43" s="2" t="s">
        <v>634</v>
      </c>
      <c r="L43" s="2" t="s">
        <v>635</v>
      </c>
      <c r="M43" s="3" t="s">
        <v>636</v>
      </c>
      <c r="O43" s="3" t="s">
        <v>64</v>
      </c>
      <c r="P43" s="3" t="s">
        <v>637</v>
      </c>
      <c r="R43" s="3" t="s">
        <v>66</v>
      </c>
      <c r="S43" s="4">
        <v>3</v>
      </c>
      <c r="T43" s="4">
        <v>3</v>
      </c>
      <c r="U43" s="5" t="s">
        <v>638</v>
      </c>
      <c r="V43" s="5" t="s">
        <v>638</v>
      </c>
      <c r="W43" s="5" t="s">
        <v>639</v>
      </c>
      <c r="X43" s="5" t="s">
        <v>639</v>
      </c>
      <c r="Y43" s="4">
        <v>354</v>
      </c>
      <c r="Z43" s="4">
        <v>307</v>
      </c>
      <c r="AA43" s="4">
        <v>366</v>
      </c>
      <c r="AB43" s="4">
        <v>2</v>
      </c>
      <c r="AC43" s="4">
        <v>2</v>
      </c>
      <c r="AD43" s="4">
        <v>9</v>
      </c>
      <c r="AE43" s="4">
        <v>11</v>
      </c>
      <c r="AF43" s="4">
        <v>4</v>
      </c>
      <c r="AG43" s="4">
        <v>4</v>
      </c>
      <c r="AH43" s="4">
        <v>3</v>
      </c>
      <c r="AI43" s="4">
        <v>3</v>
      </c>
      <c r="AJ43" s="4">
        <v>4</v>
      </c>
      <c r="AK43" s="4">
        <v>6</v>
      </c>
      <c r="AL43" s="4">
        <v>1</v>
      </c>
      <c r="AM43" s="4">
        <v>1</v>
      </c>
      <c r="AN43" s="4">
        <v>0</v>
      </c>
      <c r="AO43" s="4">
        <v>0</v>
      </c>
      <c r="AP43" s="3" t="s">
        <v>58</v>
      </c>
      <c r="AQ43" s="3" t="s">
        <v>69</v>
      </c>
      <c r="AR43" s="6" t="str">
        <f>HYPERLINK("http://catalog.hathitrust.org/Record/004209024","HathiTrust Record")</f>
        <v>HathiTrust Record</v>
      </c>
      <c r="AS43" s="6" t="str">
        <f>HYPERLINK("https://creighton-primo.hosted.exlibrisgroup.com/primo-explore/search?tab=default_tab&amp;search_scope=EVERYTHING&amp;vid=01CRU&amp;lang=en_US&amp;offset=0&amp;query=any,contains,991003667529702656","Catalog Record")</f>
        <v>Catalog Record</v>
      </c>
      <c r="AT43" s="6" t="str">
        <f>HYPERLINK("http://www.worldcat.org/oclc/45756231","WorldCat Record")</f>
        <v>WorldCat Record</v>
      </c>
      <c r="AU43" s="3" t="s">
        <v>640</v>
      </c>
      <c r="AV43" s="3" t="s">
        <v>641</v>
      </c>
      <c r="AW43" s="3" t="s">
        <v>642</v>
      </c>
      <c r="AX43" s="3" t="s">
        <v>642</v>
      </c>
      <c r="AY43" s="3" t="s">
        <v>643</v>
      </c>
      <c r="AZ43" s="3" t="s">
        <v>74</v>
      </c>
      <c r="BB43" s="3" t="s">
        <v>644</v>
      </c>
      <c r="BC43" s="3" t="s">
        <v>645</v>
      </c>
      <c r="BD43" s="3" t="s">
        <v>646</v>
      </c>
    </row>
    <row r="44" spans="1:56" ht="57.75" customHeight="1" x14ac:dyDescent="0.25">
      <c r="A44" s="7" t="s">
        <v>58</v>
      </c>
      <c r="B44" s="2" t="s">
        <v>647</v>
      </c>
      <c r="C44" s="2" t="s">
        <v>648</v>
      </c>
      <c r="D44" s="2" t="s">
        <v>649</v>
      </c>
      <c r="F44" s="3" t="s">
        <v>58</v>
      </c>
      <c r="G44" s="3" t="s">
        <v>59</v>
      </c>
      <c r="H44" s="3" t="s">
        <v>58</v>
      </c>
      <c r="I44" s="3" t="s">
        <v>58</v>
      </c>
      <c r="J44" s="3" t="s">
        <v>60</v>
      </c>
      <c r="K44" s="2" t="s">
        <v>650</v>
      </c>
      <c r="L44" s="2" t="s">
        <v>651</v>
      </c>
      <c r="M44" s="3" t="s">
        <v>233</v>
      </c>
      <c r="O44" s="3" t="s">
        <v>64</v>
      </c>
      <c r="P44" s="3" t="s">
        <v>278</v>
      </c>
      <c r="R44" s="3" t="s">
        <v>66</v>
      </c>
      <c r="S44" s="4">
        <v>1</v>
      </c>
      <c r="T44" s="4">
        <v>1</v>
      </c>
      <c r="U44" s="5" t="s">
        <v>652</v>
      </c>
      <c r="V44" s="5" t="s">
        <v>652</v>
      </c>
      <c r="W44" s="5" t="s">
        <v>653</v>
      </c>
      <c r="X44" s="5" t="s">
        <v>653</v>
      </c>
      <c r="Y44" s="4">
        <v>931</v>
      </c>
      <c r="Z44" s="4">
        <v>743</v>
      </c>
      <c r="AA44" s="4">
        <v>770</v>
      </c>
      <c r="AB44" s="4">
        <v>7</v>
      </c>
      <c r="AC44" s="4">
        <v>7</v>
      </c>
      <c r="AD44" s="4">
        <v>38</v>
      </c>
      <c r="AE44" s="4">
        <v>40</v>
      </c>
      <c r="AF44" s="4">
        <v>19</v>
      </c>
      <c r="AG44" s="4">
        <v>20</v>
      </c>
      <c r="AH44" s="4">
        <v>8</v>
      </c>
      <c r="AI44" s="4">
        <v>9</v>
      </c>
      <c r="AJ44" s="4">
        <v>17</v>
      </c>
      <c r="AK44" s="4">
        <v>17</v>
      </c>
      <c r="AL44" s="4">
        <v>5</v>
      </c>
      <c r="AM44" s="4">
        <v>5</v>
      </c>
      <c r="AN44" s="4">
        <v>0</v>
      </c>
      <c r="AO44" s="4">
        <v>0</v>
      </c>
      <c r="AP44" s="3" t="s">
        <v>58</v>
      </c>
      <c r="AQ44" s="3" t="s">
        <v>58</v>
      </c>
      <c r="AS44" s="6" t="str">
        <f>HYPERLINK("https://creighton-primo.hosted.exlibrisgroup.com/primo-explore/search?tab=default_tab&amp;search_scope=EVERYTHING&amp;vid=01CRU&amp;lang=en_US&amp;offset=0&amp;query=any,contains,991002212809702656","Catalog Record")</f>
        <v>Catalog Record</v>
      </c>
      <c r="AT44" s="6" t="str">
        <f>HYPERLINK("http://www.worldcat.org/oclc/28495351","WorldCat Record")</f>
        <v>WorldCat Record</v>
      </c>
      <c r="AU44" s="3" t="s">
        <v>654</v>
      </c>
      <c r="AV44" s="3" t="s">
        <v>655</v>
      </c>
      <c r="AW44" s="3" t="s">
        <v>656</v>
      </c>
      <c r="AX44" s="3" t="s">
        <v>656</v>
      </c>
      <c r="AY44" s="3" t="s">
        <v>657</v>
      </c>
      <c r="AZ44" s="3" t="s">
        <v>74</v>
      </c>
      <c r="BB44" s="3" t="s">
        <v>658</v>
      </c>
      <c r="BC44" s="3" t="s">
        <v>659</v>
      </c>
      <c r="BD44" s="3" t="s">
        <v>660</v>
      </c>
    </row>
    <row r="45" spans="1:56" ht="57.75" customHeight="1" x14ac:dyDescent="0.25">
      <c r="A45" s="7" t="s">
        <v>58</v>
      </c>
      <c r="B45" s="2" t="s">
        <v>661</v>
      </c>
      <c r="C45" s="2" t="s">
        <v>662</v>
      </c>
      <c r="D45" s="2" t="s">
        <v>663</v>
      </c>
      <c r="F45" s="3" t="s">
        <v>58</v>
      </c>
      <c r="G45" s="3" t="s">
        <v>59</v>
      </c>
      <c r="H45" s="3" t="s">
        <v>58</v>
      </c>
      <c r="I45" s="3" t="s">
        <v>58</v>
      </c>
      <c r="J45" s="3" t="s">
        <v>60</v>
      </c>
      <c r="K45" s="2" t="s">
        <v>664</v>
      </c>
      <c r="L45" s="2" t="s">
        <v>665</v>
      </c>
      <c r="M45" s="3" t="s">
        <v>496</v>
      </c>
      <c r="O45" s="3" t="s">
        <v>64</v>
      </c>
      <c r="P45" s="3" t="s">
        <v>453</v>
      </c>
      <c r="R45" s="3" t="s">
        <v>66</v>
      </c>
      <c r="S45" s="4">
        <v>3</v>
      </c>
      <c r="T45" s="4">
        <v>3</v>
      </c>
      <c r="U45" s="5" t="s">
        <v>526</v>
      </c>
      <c r="V45" s="5" t="s">
        <v>526</v>
      </c>
      <c r="W45" s="5" t="s">
        <v>68</v>
      </c>
      <c r="X45" s="5" t="s">
        <v>68</v>
      </c>
      <c r="Y45" s="4">
        <v>357</v>
      </c>
      <c r="Z45" s="4">
        <v>327</v>
      </c>
      <c r="AA45" s="4">
        <v>336</v>
      </c>
      <c r="AB45" s="4">
        <v>4</v>
      </c>
      <c r="AC45" s="4">
        <v>4</v>
      </c>
      <c r="AD45" s="4">
        <v>12</v>
      </c>
      <c r="AE45" s="4">
        <v>12</v>
      </c>
      <c r="AF45" s="4">
        <v>1</v>
      </c>
      <c r="AG45" s="4">
        <v>1</v>
      </c>
      <c r="AH45" s="4">
        <v>4</v>
      </c>
      <c r="AI45" s="4">
        <v>4</v>
      </c>
      <c r="AJ45" s="4">
        <v>6</v>
      </c>
      <c r="AK45" s="4">
        <v>6</v>
      </c>
      <c r="AL45" s="4">
        <v>2</v>
      </c>
      <c r="AM45" s="4">
        <v>2</v>
      </c>
      <c r="AN45" s="4">
        <v>0</v>
      </c>
      <c r="AO45" s="4">
        <v>0</v>
      </c>
      <c r="AP45" s="3" t="s">
        <v>58</v>
      </c>
      <c r="AQ45" s="3" t="s">
        <v>69</v>
      </c>
      <c r="AR45" s="6" t="str">
        <f>HYPERLINK("http://catalog.hathitrust.org/Record/000297430","HathiTrust Record")</f>
        <v>HathiTrust Record</v>
      </c>
      <c r="AS45" s="6" t="str">
        <f>HYPERLINK("https://creighton-primo.hosted.exlibrisgroup.com/primo-explore/search?tab=default_tab&amp;search_scope=EVERYTHING&amp;vid=01CRU&amp;lang=en_US&amp;offset=0&amp;query=any,contains,991005374419702656","Catalog Record")</f>
        <v>Catalog Record</v>
      </c>
      <c r="AT45" s="6" t="str">
        <f>HYPERLINK("http://www.worldcat.org/oclc/4768263","WorldCat Record")</f>
        <v>WorldCat Record</v>
      </c>
      <c r="AU45" s="3" t="s">
        <v>666</v>
      </c>
      <c r="AV45" s="3" t="s">
        <v>667</v>
      </c>
      <c r="AW45" s="3" t="s">
        <v>668</v>
      </c>
      <c r="AX45" s="3" t="s">
        <v>668</v>
      </c>
      <c r="AY45" s="3" t="s">
        <v>669</v>
      </c>
      <c r="AZ45" s="3" t="s">
        <v>74</v>
      </c>
      <c r="BB45" s="3" t="s">
        <v>670</v>
      </c>
      <c r="BC45" s="3" t="s">
        <v>671</v>
      </c>
      <c r="BD45" s="3" t="s">
        <v>672</v>
      </c>
    </row>
    <row r="46" spans="1:56" ht="57.75" customHeight="1" x14ac:dyDescent="0.25">
      <c r="A46" s="7" t="s">
        <v>58</v>
      </c>
      <c r="B46" s="2" t="s">
        <v>673</v>
      </c>
      <c r="C46" s="2" t="s">
        <v>674</v>
      </c>
      <c r="D46" s="2" t="s">
        <v>675</v>
      </c>
      <c r="F46" s="3" t="s">
        <v>58</v>
      </c>
      <c r="G46" s="3" t="s">
        <v>59</v>
      </c>
      <c r="H46" s="3" t="s">
        <v>58</v>
      </c>
      <c r="I46" s="3" t="s">
        <v>58</v>
      </c>
      <c r="J46" s="3" t="s">
        <v>60</v>
      </c>
      <c r="K46" s="2" t="s">
        <v>676</v>
      </c>
      <c r="L46" s="2" t="s">
        <v>677</v>
      </c>
      <c r="M46" s="3" t="s">
        <v>678</v>
      </c>
      <c r="O46" s="3" t="s">
        <v>64</v>
      </c>
      <c r="P46" s="3" t="s">
        <v>679</v>
      </c>
      <c r="R46" s="3" t="s">
        <v>66</v>
      </c>
      <c r="S46" s="4">
        <v>3</v>
      </c>
      <c r="T46" s="4">
        <v>3</v>
      </c>
      <c r="U46" s="5" t="s">
        <v>680</v>
      </c>
      <c r="V46" s="5" t="s">
        <v>680</v>
      </c>
      <c r="W46" s="5" t="s">
        <v>68</v>
      </c>
      <c r="X46" s="5" t="s">
        <v>68</v>
      </c>
      <c r="Y46" s="4">
        <v>1002</v>
      </c>
      <c r="Z46" s="4">
        <v>885</v>
      </c>
      <c r="AA46" s="4">
        <v>890</v>
      </c>
      <c r="AB46" s="4">
        <v>6</v>
      </c>
      <c r="AC46" s="4">
        <v>6</v>
      </c>
      <c r="AD46" s="4">
        <v>30</v>
      </c>
      <c r="AE46" s="4">
        <v>30</v>
      </c>
      <c r="AF46" s="4">
        <v>18</v>
      </c>
      <c r="AG46" s="4">
        <v>18</v>
      </c>
      <c r="AH46" s="4">
        <v>4</v>
      </c>
      <c r="AI46" s="4">
        <v>4</v>
      </c>
      <c r="AJ46" s="4">
        <v>12</v>
      </c>
      <c r="AK46" s="4">
        <v>12</v>
      </c>
      <c r="AL46" s="4">
        <v>4</v>
      </c>
      <c r="AM46" s="4">
        <v>4</v>
      </c>
      <c r="AN46" s="4">
        <v>0</v>
      </c>
      <c r="AO46" s="4">
        <v>0</v>
      </c>
      <c r="AP46" s="3" t="s">
        <v>58</v>
      </c>
      <c r="AQ46" s="3" t="s">
        <v>69</v>
      </c>
      <c r="AR46" s="6" t="str">
        <f>HYPERLINK("http://catalog.hathitrust.org/Record/000244146","HathiTrust Record")</f>
        <v>HathiTrust Record</v>
      </c>
      <c r="AS46" s="6" t="str">
        <f>HYPERLINK("https://creighton-primo.hosted.exlibrisgroup.com/primo-explore/search?tab=default_tab&amp;search_scope=EVERYTHING&amp;vid=01CRU&amp;lang=en_US&amp;offset=0&amp;query=any,contains,991000282029702656","Catalog Record")</f>
        <v>Catalog Record</v>
      </c>
      <c r="AT46" s="6" t="str">
        <f>HYPERLINK("http://www.worldcat.org/oclc/9919144","WorldCat Record")</f>
        <v>WorldCat Record</v>
      </c>
      <c r="AU46" s="3" t="s">
        <v>681</v>
      </c>
      <c r="AV46" s="3" t="s">
        <v>682</v>
      </c>
      <c r="AW46" s="3" t="s">
        <v>683</v>
      </c>
      <c r="AX46" s="3" t="s">
        <v>683</v>
      </c>
      <c r="AY46" s="3" t="s">
        <v>684</v>
      </c>
      <c r="AZ46" s="3" t="s">
        <v>74</v>
      </c>
      <c r="BB46" s="3" t="s">
        <v>685</v>
      </c>
      <c r="BC46" s="3" t="s">
        <v>686</v>
      </c>
      <c r="BD46" s="3" t="s">
        <v>687</v>
      </c>
    </row>
    <row r="47" spans="1:56" ht="57.75" customHeight="1" x14ac:dyDescent="0.25">
      <c r="A47" s="7" t="s">
        <v>58</v>
      </c>
      <c r="B47" s="2" t="s">
        <v>688</v>
      </c>
      <c r="C47" s="2" t="s">
        <v>689</v>
      </c>
      <c r="D47" s="2" t="s">
        <v>690</v>
      </c>
      <c r="F47" s="3" t="s">
        <v>58</v>
      </c>
      <c r="G47" s="3" t="s">
        <v>59</v>
      </c>
      <c r="H47" s="3" t="s">
        <v>58</v>
      </c>
      <c r="I47" s="3" t="s">
        <v>58</v>
      </c>
      <c r="J47" s="3" t="s">
        <v>60</v>
      </c>
      <c r="K47" s="2" t="s">
        <v>691</v>
      </c>
      <c r="L47" s="2" t="s">
        <v>692</v>
      </c>
      <c r="M47" s="3" t="s">
        <v>678</v>
      </c>
      <c r="O47" s="3" t="s">
        <v>64</v>
      </c>
      <c r="P47" s="3" t="s">
        <v>65</v>
      </c>
      <c r="R47" s="3" t="s">
        <v>66</v>
      </c>
      <c r="S47" s="4">
        <v>7</v>
      </c>
      <c r="T47" s="4">
        <v>7</v>
      </c>
      <c r="U47" s="5" t="s">
        <v>125</v>
      </c>
      <c r="V47" s="5" t="s">
        <v>125</v>
      </c>
      <c r="W47" s="5" t="s">
        <v>693</v>
      </c>
      <c r="X47" s="5" t="s">
        <v>693</v>
      </c>
      <c r="Y47" s="4">
        <v>291</v>
      </c>
      <c r="Z47" s="4">
        <v>261</v>
      </c>
      <c r="AA47" s="4">
        <v>264</v>
      </c>
      <c r="AB47" s="4">
        <v>5</v>
      </c>
      <c r="AC47" s="4">
        <v>5</v>
      </c>
      <c r="AD47" s="4">
        <v>8</v>
      </c>
      <c r="AE47" s="4">
        <v>8</v>
      </c>
      <c r="AF47" s="4">
        <v>2</v>
      </c>
      <c r="AG47" s="4">
        <v>2</v>
      </c>
      <c r="AH47" s="4">
        <v>2</v>
      </c>
      <c r="AI47" s="4">
        <v>2</v>
      </c>
      <c r="AJ47" s="4">
        <v>2</v>
      </c>
      <c r="AK47" s="4">
        <v>2</v>
      </c>
      <c r="AL47" s="4">
        <v>3</v>
      </c>
      <c r="AM47" s="4">
        <v>3</v>
      </c>
      <c r="AN47" s="4">
        <v>0</v>
      </c>
      <c r="AO47" s="4">
        <v>0</v>
      </c>
      <c r="AP47" s="3" t="s">
        <v>58</v>
      </c>
      <c r="AQ47" s="3" t="s">
        <v>69</v>
      </c>
      <c r="AR47" s="6" t="str">
        <f>HYPERLINK("http://catalog.hathitrust.org/Record/100024242","HathiTrust Record")</f>
        <v>HathiTrust Record</v>
      </c>
      <c r="AS47" s="6" t="str">
        <f>HYPERLINK("https://creighton-primo.hosted.exlibrisgroup.com/primo-explore/search?tab=default_tab&amp;search_scope=EVERYTHING&amp;vid=01CRU&amp;lang=en_US&amp;offset=0&amp;query=any,contains,991000303479702656","Catalog Record")</f>
        <v>Catalog Record</v>
      </c>
      <c r="AT47" s="6" t="str">
        <f>HYPERLINK("http://www.worldcat.org/oclc/10045639","WorldCat Record")</f>
        <v>WorldCat Record</v>
      </c>
      <c r="AU47" s="3" t="s">
        <v>694</v>
      </c>
      <c r="AV47" s="3" t="s">
        <v>695</v>
      </c>
      <c r="AW47" s="3" t="s">
        <v>696</v>
      </c>
      <c r="AX47" s="3" t="s">
        <v>696</v>
      </c>
      <c r="AY47" s="3" t="s">
        <v>697</v>
      </c>
      <c r="AZ47" s="3" t="s">
        <v>74</v>
      </c>
      <c r="BB47" s="3" t="s">
        <v>698</v>
      </c>
      <c r="BC47" s="3" t="s">
        <v>699</v>
      </c>
      <c r="BD47" s="3" t="s">
        <v>700</v>
      </c>
    </row>
    <row r="48" spans="1:56" ht="57.75" customHeight="1" x14ac:dyDescent="0.25">
      <c r="A48" s="7" t="s">
        <v>58</v>
      </c>
      <c r="B48" s="2" t="s">
        <v>701</v>
      </c>
      <c r="C48" s="2" t="s">
        <v>702</v>
      </c>
      <c r="D48" s="2" t="s">
        <v>703</v>
      </c>
      <c r="F48" s="3" t="s">
        <v>58</v>
      </c>
      <c r="G48" s="3" t="s">
        <v>59</v>
      </c>
      <c r="H48" s="3" t="s">
        <v>58</v>
      </c>
      <c r="I48" s="3" t="s">
        <v>58</v>
      </c>
      <c r="J48" s="3" t="s">
        <v>60</v>
      </c>
      <c r="K48" s="2" t="s">
        <v>704</v>
      </c>
      <c r="L48" s="2" t="s">
        <v>705</v>
      </c>
      <c r="M48" s="3" t="s">
        <v>205</v>
      </c>
      <c r="N48" s="2" t="s">
        <v>706</v>
      </c>
      <c r="O48" s="3" t="s">
        <v>64</v>
      </c>
      <c r="P48" s="3" t="s">
        <v>637</v>
      </c>
      <c r="R48" s="3" t="s">
        <v>66</v>
      </c>
      <c r="S48" s="4">
        <v>2</v>
      </c>
      <c r="T48" s="4">
        <v>2</v>
      </c>
      <c r="U48" s="5" t="s">
        <v>707</v>
      </c>
      <c r="V48" s="5" t="s">
        <v>707</v>
      </c>
      <c r="W48" s="5" t="s">
        <v>708</v>
      </c>
      <c r="X48" s="5" t="s">
        <v>708</v>
      </c>
      <c r="Y48" s="4">
        <v>741</v>
      </c>
      <c r="Z48" s="4">
        <v>653</v>
      </c>
      <c r="AA48" s="4">
        <v>662</v>
      </c>
      <c r="AB48" s="4">
        <v>6</v>
      </c>
      <c r="AC48" s="4">
        <v>6</v>
      </c>
      <c r="AD48" s="4">
        <v>24</v>
      </c>
      <c r="AE48" s="4">
        <v>24</v>
      </c>
      <c r="AF48" s="4">
        <v>8</v>
      </c>
      <c r="AG48" s="4">
        <v>8</v>
      </c>
      <c r="AH48" s="4">
        <v>6</v>
      </c>
      <c r="AI48" s="4">
        <v>6</v>
      </c>
      <c r="AJ48" s="4">
        <v>12</v>
      </c>
      <c r="AK48" s="4">
        <v>12</v>
      </c>
      <c r="AL48" s="4">
        <v>4</v>
      </c>
      <c r="AM48" s="4">
        <v>4</v>
      </c>
      <c r="AN48" s="4">
        <v>0</v>
      </c>
      <c r="AO48" s="4">
        <v>0</v>
      </c>
      <c r="AP48" s="3" t="s">
        <v>58</v>
      </c>
      <c r="AQ48" s="3" t="s">
        <v>69</v>
      </c>
      <c r="AR48" s="6" t="str">
        <f>HYPERLINK("http://catalog.hathitrust.org/Record/000041808","HathiTrust Record")</f>
        <v>HathiTrust Record</v>
      </c>
      <c r="AS48" s="6" t="str">
        <f>HYPERLINK("https://creighton-primo.hosted.exlibrisgroup.com/primo-explore/search?tab=default_tab&amp;search_scope=EVERYTHING&amp;vid=01CRU&amp;lang=en_US&amp;offset=0&amp;query=any,contains,991004686639702656","Catalog Record")</f>
        <v>Catalog Record</v>
      </c>
      <c r="AT48" s="6" t="str">
        <f>HYPERLINK("http://www.worldcat.org/oclc/4593214","WorldCat Record")</f>
        <v>WorldCat Record</v>
      </c>
      <c r="AU48" s="3" t="s">
        <v>709</v>
      </c>
      <c r="AV48" s="3" t="s">
        <v>710</v>
      </c>
      <c r="AW48" s="3" t="s">
        <v>711</v>
      </c>
      <c r="AX48" s="3" t="s">
        <v>711</v>
      </c>
      <c r="AY48" s="3" t="s">
        <v>712</v>
      </c>
      <c r="AZ48" s="3" t="s">
        <v>74</v>
      </c>
      <c r="BB48" s="3" t="s">
        <v>713</v>
      </c>
      <c r="BC48" s="3" t="s">
        <v>714</v>
      </c>
      <c r="BD48" s="3" t="s">
        <v>715</v>
      </c>
    </row>
    <row r="49" spans="1:56" ht="57.75" customHeight="1" x14ac:dyDescent="0.25">
      <c r="A49" s="7" t="s">
        <v>58</v>
      </c>
      <c r="B49" s="2" t="s">
        <v>716</v>
      </c>
      <c r="C49" s="2" t="s">
        <v>717</v>
      </c>
      <c r="D49" s="2" t="s">
        <v>718</v>
      </c>
      <c r="F49" s="3" t="s">
        <v>58</v>
      </c>
      <c r="G49" s="3" t="s">
        <v>59</v>
      </c>
      <c r="H49" s="3" t="s">
        <v>58</v>
      </c>
      <c r="I49" s="3" t="s">
        <v>58</v>
      </c>
      <c r="J49" s="3" t="s">
        <v>60</v>
      </c>
      <c r="K49" s="2" t="s">
        <v>719</v>
      </c>
      <c r="L49" s="2" t="s">
        <v>720</v>
      </c>
      <c r="M49" s="3" t="s">
        <v>323</v>
      </c>
      <c r="O49" s="3" t="s">
        <v>64</v>
      </c>
      <c r="P49" s="3" t="s">
        <v>65</v>
      </c>
      <c r="R49" s="3" t="s">
        <v>66</v>
      </c>
      <c r="S49" s="4">
        <v>2</v>
      </c>
      <c r="T49" s="4">
        <v>2</v>
      </c>
      <c r="U49" s="5" t="s">
        <v>707</v>
      </c>
      <c r="V49" s="5" t="s">
        <v>707</v>
      </c>
      <c r="W49" s="5" t="s">
        <v>721</v>
      </c>
      <c r="X49" s="5" t="s">
        <v>721</v>
      </c>
      <c r="Y49" s="4">
        <v>1131</v>
      </c>
      <c r="Z49" s="4">
        <v>998</v>
      </c>
      <c r="AA49" s="4">
        <v>1004</v>
      </c>
      <c r="AB49" s="4">
        <v>8</v>
      </c>
      <c r="AC49" s="4">
        <v>8</v>
      </c>
      <c r="AD49" s="4">
        <v>30</v>
      </c>
      <c r="AE49" s="4">
        <v>30</v>
      </c>
      <c r="AF49" s="4">
        <v>14</v>
      </c>
      <c r="AG49" s="4">
        <v>14</v>
      </c>
      <c r="AH49" s="4">
        <v>7</v>
      </c>
      <c r="AI49" s="4">
        <v>7</v>
      </c>
      <c r="AJ49" s="4">
        <v>13</v>
      </c>
      <c r="AK49" s="4">
        <v>13</v>
      </c>
      <c r="AL49" s="4">
        <v>5</v>
      </c>
      <c r="AM49" s="4">
        <v>5</v>
      </c>
      <c r="AN49" s="4">
        <v>0</v>
      </c>
      <c r="AO49" s="4">
        <v>0</v>
      </c>
      <c r="AP49" s="3" t="s">
        <v>58</v>
      </c>
      <c r="AQ49" s="3" t="s">
        <v>69</v>
      </c>
      <c r="AR49" s="6" t="str">
        <f>HYPERLINK("http://catalog.hathitrust.org/Record/001547725","HathiTrust Record")</f>
        <v>HathiTrust Record</v>
      </c>
      <c r="AS49" s="6" t="str">
        <f>HYPERLINK("https://creighton-primo.hosted.exlibrisgroup.com/primo-explore/search?tab=default_tab&amp;search_scope=EVERYTHING&amp;vid=01CRU&amp;lang=en_US&amp;offset=0&amp;query=any,contains,991001351269702656","Catalog Record")</f>
        <v>Catalog Record</v>
      </c>
      <c r="AT49" s="6" t="str">
        <f>HYPERLINK("http://www.worldcat.org/oclc/18442109","WorldCat Record")</f>
        <v>WorldCat Record</v>
      </c>
      <c r="AU49" s="3" t="s">
        <v>722</v>
      </c>
      <c r="AV49" s="3" t="s">
        <v>723</v>
      </c>
      <c r="AW49" s="3" t="s">
        <v>724</v>
      </c>
      <c r="AX49" s="3" t="s">
        <v>724</v>
      </c>
      <c r="AY49" s="3" t="s">
        <v>725</v>
      </c>
      <c r="AZ49" s="3" t="s">
        <v>74</v>
      </c>
      <c r="BB49" s="3" t="s">
        <v>726</v>
      </c>
      <c r="BC49" s="3" t="s">
        <v>727</v>
      </c>
      <c r="BD49" s="3" t="s">
        <v>728</v>
      </c>
    </row>
    <row r="50" spans="1:56" ht="57.75" customHeight="1" x14ac:dyDescent="0.25">
      <c r="A50" s="7" t="s">
        <v>58</v>
      </c>
      <c r="B50" s="2" t="s">
        <v>729</v>
      </c>
      <c r="C50" s="2" t="s">
        <v>730</v>
      </c>
      <c r="D50" s="2" t="s">
        <v>731</v>
      </c>
      <c r="F50" s="3" t="s">
        <v>58</v>
      </c>
      <c r="G50" s="3" t="s">
        <v>59</v>
      </c>
      <c r="H50" s="3" t="s">
        <v>58</v>
      </c>
      <c r="I50" s="3" t="s">
        <v>58</v>
      </c>
      <c r="J50" s="3" t="s">
        <v>60</v>
      </c>
      <c r="K50" s="2" t="s">
        <v>732</v>
      </c>
      <c r="L50" s="2" t="s">
        <v>733</v>
      </c>
      <c r="M50" s="3" t="s">
        <v>636</v>
      </c>
      <c r="O50" s="3" t="s">
        <v>64</v>
      </c>
      <c r="P50" s="3" t="s">
        <v>65</v>
      </c>
      <c r="R50" s="3" t="s">
        <v>66</v>
      </c>
      <c r="S50" s="4">
        <v>3</v>
      </c>
      <c r="T50" s="4">
        <v>3</v>
      </c>
      <c r="U50" s="5" t="s">
        <v>734</v>
      </c>
      <c r="V50" s="5" t="s">
        <v>734</v>
      </c>
      <c r="W50" s="5" t="s">
        <v>608</v>
      </c>
      <c r="X50" s="5" t="s">
        <v>608</v>
      </c>
      <c r="Y50" s="4">
        <v>601</v>
      </c>
      <c r="Z50" s="4">
        <v>538</v>
      </c>
      <c r="AA50" s="4">
        <v>540</v>
      </c>
      <c r="AB50" s="4">
        <v>2</v>
      </c>
      <c r="AC50" s="4">
        <v>2</v>
      </c>
      <c r="AD50" s="4">
        <v>14</v>
      </c>
      <c r="AE50" s="4">
        <v>14</v>
      </c>
      <c r="AF50" s="4">
        <v>8</v>
      </c>
      <c r="AG50" s="4">
        <v>8</v>
      </c>
      <c r="AH50" s="4">
        <v>2</v>
      </c>
      <c r="AI50" s="4">
        <v>2</v>
      </c>
      <c r="AJ50" s="4">
        <v>7</v>
      </c>
      <c r="AK50" s="4">
        <v>7</v>
      </c>
      <c r="AL50" s="4">
        <v>1</v>
      </c>
      <c r="AM50" s="4">
        <v>1</v>
      </c>
      <c r="AN50" s="4">
        <v>0</v>
      </c>
      <c r="AO50" s="4">
        <v>0</v>
      </c>
      <c r="AP50" s="3" t="s">
        <v>58</v>
      </c>
      <c r="AQ50" s="3" t="s">
        <v>69</v>
      </c>
      <c r="AR50" s="6" t="str">
        <f>HYPERLINK("http://catalog.hathitrust.org/Record/004204241","HathiTrust Record")</f>
        <v>HathiTrust Record</v>
      </c>
      <c r="AS50" s="6" t="str">
        <f>HYPERLINK("https://creighton-primo.hosted.exlibrisgroup.com/primo-explore/search?tab=default_tab&amp;search_scope=EVERYTHING&amp;vid=01CRU&amp;lang=en_US&amp;offset=0&amp;query=any,contains,991003781969702656","Catalog Record")</f>
        <v>Catalog Record</v>
      </c>
      <c r="AT50" s="6" t="str">
        <f>HYPERLINK("http://www.worldcat.org/oclc/44493364","WorldCat Record")</f>
        <v>WorldCat Record</v>
      </c>
      <c r="AU50" s="3" t="s">
        <v>735</v>
      </c>
      <c r="AV50" s="3" t="s">
        <v>736</v>
      </c>
      <c r="AW50" s="3" t="s">
        <v>737</v>
      </c>
      <c r="AX50" s="3" t="s">
        <v>737</v>
      </c>
      <c r="AY50" s="3" t="s">
        <v>738</v>
      </c>
      <c r="AZ50" s="3" t="s">
        <v>74</v>
      </c>
      <c r="BB50" s="3" t="s">
        <v>739</v>
      </c>
      <c r="BC50" s="3" t="s">
        <v>740</v>
      </c>
      <c r="BD50" s="3" t="s">
        <v>741</v>
      </c>
    </row>
    <row r="51" spans="1:56" ht="57.75" customHeight="1" x14ac:dyDescent="0.25">
      <c r="A51" s="7" t="s">
        <v>58</v>
      </c>
      <c r="B51" s="2" t="s">
        <v>742</v>
      </c>
      <c r="C51" s="2" t="s">
        <v>743</v>
      </c>
      <c r="D51" s="2" t="s">
        <v>744</v>
      </c>
      <c r="F51" s="3" t="s">
        <v>58</v>
      </c>
      <c r="G51" s="3" t="s">
        <v>59</v>
      </c>
      <c r="H51" s="3" t="s">
        <v>58</v>
      </c>
      <c r="I51" s="3" t="s">
        <v>58</v>
      </c>
      <c r="J51" s="3" t="s">
        <v>60</v>
      </c>
      <c r="K51" s="2" t="s">
        <v>745</v>
      </c>
      <c r="L51" s="2" t="s">
        <v>746</v>
      </c>
      <c r="M51" s="3" t="s">
        <v>747</v>
      </c>
      <c r="O51" s="3" t="s">
        <v>64</v>
      </c>
      <c r="P51" s="3" t="s">
        <v>748</v>
      </c>
      <c r="R51" s="3" t="s">
        <v>66</v>
      </c>
      <c r="S51" s="4">
        <v>6</v>
      </c>
      <c r="T51" s="4">
        <v>6</v>
      </c>
      <c r="U51" s="5" t="s">
        <v>749</v>
      </c>
      <c r="V51" s="5" t="s">
        <v>749</v>
      </c>
      <c r="W51" s="5" t="s">
        <v>750</v>
      </c>
      <c r="X51" s="5" t="s">
        <v>750</v>
      </c>
      <c r="Y51" s="4">
        <v>471</v>
      </c>
      <c r="Z51" s="4">
        <v>432</v>
      </c>
      <c r="AA51" s="4">
        <v>435</v>
      </c>
      <c r="AB51" s="4">
        <v>7</v>
      </c>
      <c r="AC51" s="4">
        <v>7</v>
      </c>
      <c r="AD51" s="4">
        <v>15</v>
      </c>
      <c r="AE51" s="4">
        <v>15</v>
      </c>
      <c r="AF51" s="4">
        <v>5</v>
      </c>
      <c r="AG51" s="4">
        <v>5</v>
      </c>
      <c r="AH51" s="4">
        <v>2</v>
      </c>
      <c r="AI51" s="4">
        <v>2</v>
      </c>
      <c r="AJ51" s="4">
        <v>6</v>
      </c>
      <c r="AK51" s="4">
        <v>6</v>
      </c>
      <c r="AL51" s="4">
        <v>5</v>
      </c>
      <c r="AM51" s="4">
        <v>5</v>
      </c>
      <c r="AN51" s="4">
        <v>0</v>
      </c>
      <c r="AO51" s="4">
        <v>0</v>
      </c>
      <c r="AP51" s="3" t="s">
        <v>58</v>
      </c>
      <c r="AQ51" s="3" t="s">
        <v>69</v>
      </c>
      <c r="AR51" s="6" t="str">
        <f>HYPERLINK("http://catalog.hathitrust.org/Record/000313643","HathiTrust Record")</f>
        <v>HathiTrust Record</v>
      </c>
      <c r="AS51" s="6" t="str">
        <f>HYPERLINK("https://creighton-primo.hosted.exlibrisgroup.com/primo-explore/search?tab=default_tab&amp;search_scope=EVERYTHING&amp;vid=01CRU&amp;lang=en_US&amp;offset=0&amp;query=any,contains,991003703149702656","Catalog Record")</f>
        <v>Catalog Record</v>
      </c>
      <c r="AT51" s="6" t="str">
        <f>HYPERLINK("http://www.worldcat.org/oclc/1339704","WorldCat Record")</f>
        <v>WorldCat Record</v>
      </c>
      <c r="AU51" s="3" t="s">
        <v>751</v>
      </c>
      <c r="AV51" s="3" t="s">
        <v>752</v>
      </c>
      <c r="AW51" s="3" t="s">
        <v>753</v>
      </c>
      <c r="AX51" s="3" t="s">
        <v>753</v>
      </c>
      <c r="AY51" s="3" t="s">
        <v>754</v>
      </c>
      <c r="AZ51" s="3" t="s">
        <v>74</v>
      </c>
      <c r="BB51" s="3" t="s">
        <v>755</v>
      </c>
      <c r="BC51" s="3" t="s">
        <v>756</v>
      </c>
      <c r="BD51" s="3" t="s">
        <v>757</v>
      </c>
    </row>
    <row r="52" spans="1:56" ht="57.75" customHeight="1" x14ac:dyDescent="0.25">
      <c r="A52" s="7" t="s">
        <v>58</v>
      </c>
      <c r="B52" s="2" t="s">
        <v>758</v>
      </c>
      <c r="C52" s="2" t="s">
        <v>759</v>
      </c>
      <c r="D52" s="2" t="s">
        <v>760</v>
      </c>
      <c r="F52" s="3" t="s">
        <v>58</v>
      </c>
      <c r="G52" s="3" t="s">
        <v>59</v>
      </c>
      <c r="H52" s="3" t="s">
        <v>58</v>
      </c>
      <c r="I52" s="3" t="s">
        <v>58</v>
      </c>
      <c r="J52" s="3" t="s">
        <v>60</v>
      </c>
      <c r="K52" s="2" t="s">
        <v>761</v>
      </c>
      <c r="L52" s="2" t="s">
        <v>762</v>
      </c>
      <c r="M52" s="3" t="s">
        <v>763</v>
      </c>
      <c r="O52" s="3" t="s">
        <v>64</v>
      </c>
      <c r="P52" s="3" t="s">
        <v>412</v>
      </c>
      <c r="R52" s="3" t="s">
        <v>66</v>
      </c>
      <c r="S52" s="4">
        <v>1</v>
      </c>
      <c r="T52" s="4">
        <v>1</v>
      </c>
      <c r="U52" s="5" t="s">
        <v>764</v>
      </c>
      <c r="V52" s="5" t="s">
        <v>764</v>
      </c>
      <c r="W52" s="5" t="s">
        <v>765</v>
      </c>
      <c r="X52" s="5" t="s">
        <v>765</v>
      </c>
      <c r="Y52" s="4">
        <v>338</v>
      </c>
      <c r="Z52" s="4">
        <v>202</v>
      </c>
      <c r="AA52" s="4">
        <v>206</v>
      </c>
      <c r="AB52" s="4">
        <v>2</v>
      </c>
      <c r="AC52" s="4">
        <v>2</v>
      </c>
      <c r="AD52" s="4">
        <v>7</v>
      </c>
      <c r="AE52" s="4">
        <v>7</v>
      </c>
      <c r="AF52" s="4">
        <v>1</v>
      </c>
      <c r="AG52" s="4">
        <v>1</v>
      </c>
      <c r="AH52" s="4">
        <v>3</v>
      </c>
      <c r="AI52" s="4">
        <v>3</v>
      </c>
      <c r="AJ52" s="4">
        <v>4</v>
      </c>
      <c r="AK52" s="4">
        <v>4</v>
      </c>
      <c r="AL52" s="4">
        <v>1</v>
      </c>
      <c r="AM52" s="4">
        <v>1</v>
      </c>
      <c r="AN52" s="4">
        <v>0</v>
      </c>
      <c r="AO52" s="4">
        <v>0</v>
      </c>
      <c r="AP52" s="3" t="s">
        <v>58</v>
      </c>
      <c r="AQ52" s="3" t="s">
        <v>69</v>
      </c>
      <c r="AR52" s="6" t="str">
        <f>HYPERLINK("http://catalog.hathitrust.org/Record/002955646","HathiTrust Record")</f>
        <v>HathiTrust Record</v>
      </c>
      <c r="AS52" s="6" t="str">
        <f>HYPERLINK("https://creighton-primo.hosted.exlibrisgroup.com/primo-explore/search?tab=default_tab&amp;search_scope=EVERYTHING&amp;vid=01CRU&amp;lang=en_US&amp;offset=0&amp;query=any,contains,991001758879702656","Catalog Record")</f>
        <v>Catalog Record</v>
      </c>
      <c r="AT52" s="6" t="str">
        <f>HYPERLINK("http://www.worldcat.org/oclc/22242056","WorldCat Record")</f>
        <v>WorldCat Record</v>
      </c>
      <c r="AU52" s="3" t="s">
        <v>766</v>
      </c>
      <c r="AV52" s="3" t="s">
        <v>767</v>
      </c>
      <c r="AW52" s="3" t="s">
        <v>768</v>
      </c>
      <c r="AX52" s="3" t="s">
        <v>768</v>
      </c>
      <c r="AY52" s="3" t="s">
        <v>769</v>
      </c>
      <c r="AZ52" s="3" t="s">
        <v>74</v>
      </c>
      <c r="BB52" s="3" t="s">
        <v>770</v>
      </c>
      <c r="BC52" s="3" t="s">
        <v>771</v>
      </c>
      <c r="BD52" s="3" t="s">
        <v>772</v>
      </c>
    </row>
    <row r="53" spans="1:56" ht="57.75" customHeight="1" x14ac:dyDescent="0.25">
      <c r="A53" s="7" t="s">
        <v>58</v>
      </c>
      <c r="B53" s="2" t="s">
        <v>773</v>
      </c>
      <c r="C53" s="2" t="s">
        <v>774</v>
      </c>
      <c r="D53" s="2" t="s">
        <v>775</v>
      </c>
      <c r="F53" s="3" t="s">
        <v>58</v>
      </c>
      <c r="G53" s="3" t="s">
        <v>59</v>
      </c>
      <c r="H53" s="3" t="s">
        <v>58</v>
      </c>
      <c r="I53" s="3" t="s">
        <v>58</v>
      </c>
      <c r="J53" s="3" t="s">
        <v>60</v>
      </c>
      <c r="K53" s="2" t="s">
        <v>776</v>
      </c>
      <c r="L53" s="2" t="s">
        <v>777</v>
      </c>
      <c r="M53" s="3" t="s">
        <v>778</v>
      </c>
      <c r="O53" s="3" t="s">
        <v>64</v>
      </c>
      <c r="P53" s="3" t="s">
        <v>65</v>
      </c>
      <c r="R53" s="3" t="s">
        <v>66</v>
      </c>
      <c r="S53" s="4">
        <v>1</v>
      </c>
      <c r="T53" s="4">
        <v>1</v>
      </c>
      <c r="U53" s="5" t="s">
        <v>779</v>
      </c>
      <c r="V53" s="5" t="s">
        <v>779</v>
      </c>
      <c r="W53" s="5" t="s">
        <v>126</v>
      </c>
      <c r="X53" s="5" t="s">
        <v>126</v>
      </c>
      <c r="Y53" s="4">
        <v>413</v>
      </c>
      <c r="Z53" s="4">
        <v>386</v>
      </c>
      <c r="AA53" s="4">
        <v>406</v>
      </c>
      <c r="AB53" s="4">
        <v>4</v>
      </c>
      <c r="AC53" s="4">
        <v>4</v>
      </c>
      <c r="AD53" s="4">
        <v>16</v>
      </c>
      <c r="AE53" s="4">
        <v>16</v>
      </c>
      <c r="AF53" s="4">
        <v>7</v>
      </c>
      <c r="AG53" s="4">
        <v>7</v>
      </c>
      <c r="AH53" s="4">
        <v>1</v>
      </c>
      <c r="AI53" s="4">
        <v>1</v>
      </c>
      <c r="AJ53" s="4">
        <v>7</v>
      </c>
      <c r="AK53" s="4">
        <v>7</v>
      </c>
      <c r="AL53" s="4">
        <v>2</v>
      </c>
      <c r="AM53" s="4">
        <v>2</v>
      </c>
      <c r="AN53" s="4">
        <v>0</v>
      </c>
      <c r="AO53" s="4">
        <v>0</v>
      </c>
      <c r="AP53" s="3" t="s">
        <v>58</v>
      </c>
      <c r="AQ53" s="3" t="s">
        <v>58</v>
      </c>
      <c r="AS53" s="6" t="str">
        <f>HYPERLINK("https://creighton-primo.hosted.exlibrisgroup.com/primo-explore/search?tab=default_tab&amp;search_scope=EVERYTHING&amp;vid=01CRU&amp;lang=en_US&amp;offset=0&amp;query=any,contains,991002891009702656","Catalog Record")</f>
        <v>Catalog Record</v>
      </c>
      <c r="AT53" s="6" t="str">
        <f>HYPERLINK("http://www.worldcat.org/oclc/511675","WorldCat Record")</f>
        <v>WorldCat Record</v>
      </c>
      <c r="AU53" s="3" t="s">
        <v>780</v>
      </c>
      <c r="AV53" s="3" t="s">
        <v>781</v>
      </c>
      <c r="AW53" s="3" t="s">
        <v>782</v>
      </c>
      <c r="AX53" s="3" t="s">
        <v>782</v>
      </c>
      <c r="AY53" s="3" t="s">
        <v>783</v>
      </c>
      <c r="AZ53" s="3" t="s">
        <v>74</v>
      </c>
      <c r="BC53" s="3" t="s">
        <v>784</v>
      </c>
      <c r="BD53" s="3" t="s">
        <v>785</v>
      </c>
    </row>
    <row r="54" spans="1:56" ht="57.75" customHeight="1" x14ac:dyDescent="0.25">
      <c r="A54" s="7" t="s">
        <v>58</v>
      </c>
      <c r="B54" s="2" t="s">
        <v>786</v>
      </c>
      <c r="C54" s="2" t="s">
        <v>787</v>
      </c>
      <c r="D54" s="2" t="s">
        <v>788</v>
      </c>
      <c r="E54" s="3" t="s">
        <v>789</v>
      </c>
      <c r="F54" s="3" t="s">
        <v>69</v>
      </c>
      <c r="G54" s="3" t="s">
        <v>59</v>
      </c>
      <c r="H54" s="3" t="s">
        <v>58</v>
      </c>
      <c r="I54" s="3" t="s">
        <v>58</v>
      </c>
      <c r="J54" s="3" t="s">
        <v>60</v>
      </c>
      <c r="K54" s="2" t="s">
        <v>790</v>
      </c>
      <c r="L54" s="2" t="s">
        <v>791</v>
      </c>
      <c r="M54" s="3" t="s">
        <v>792</v>
      </c>
      <c r="N54" s="2" t="s">
        <v>793</v>
      </c>
      <c r="O54" s="3" t="s">
        <v>64</v>
      </c>
      <c r="P54" s="3" t="s">
        <v>278</v>
      </c>
      <c r="R54" s="3" t="s">
        <v>66</v>
      </c>
      <c r="S54" s="4">
        <v>2</v>
      </c>
      <c r="T54" s="4">
        <v>2</v>
      </c>
      <c r="U54" s="5" t="s">
        <v>794</v>
      </c>
      <c r="V54" s="5" t="s">
        <v>794</v>
      </c>
      <c r="W54" s="5" t="s">
        <v>126</v>
      </c>
      <c r="X54" s="5" t="s">
        <v>126</v>
      </c>
      <c r="Y54" s="4">
        <v>733</v>
      </c>
      <c r="Z54" s="4">
        <v>643</v>
      </c>
      <c r="AA54" s="4">
        <v>647</v>
      </c>
      <c r="AB54" s="4">
        <v>6</v>
      </c>
      <c r="AC54" s="4">
        <v>6</v>
      </c>
      <c r="AD54" s="4">
        <v>26</v>
      </c>
      <c r="AE54" s="4">
        <v>26</v>
      </c>
      <c r="AF54" s="4">
        <v>9</v>
      </c>
      <c r="AG54" s="4">
        <v>9</v>
      </c>
      <c r="AH54" s="4">
        <v>6</v>
      </c>
      <c r="AI54" s="4">
        <v>6</v>
      </c>
      <c r="AJ54" s="4">
        <v>12</v>
      </c>
      <c r="AK54" s="4">
        <v>12</v>
      </c>
      <c r="AL54" s="4">
        <v>4</v>
      </c>
      <c r="AM54" s="4">
        <v>4</v>
      </c>
      <c r="AN54" s="4">
        <v>0</v>
      </c>
      <c r="AO54" s="4">
        <v>0</v>
      </c>
      <c r="AP54" s="3" t="s">
        <v>58</v>
      </c>
      <c r="AQ54" s="3" t="s">
        <v>69</v>
      </c>
      <c r="AR54" s="6" t="str">
        <f>HYPERLINK("http://catalog.hathitrust.org/Record/001469733","HathiTrust Record")</f>
        <v>HathiTrust Record</v>
      </c>
      <c r="AS54" s="6" t="str">
        <f>HYPERLINK("https://creighton-primo.hosted.exlibrisgroup.com/primo-explore/search?tab=default_tab&amp;search_scope=EVERYTHING&amp;vid=01CRU&amp;lang=en_US&amp;offset=0&amp;query=any,contains,991003726109702656","Catalog Record")</f>
        <v>Catalog Record</v>
      </c>
      <c r="AT54" s="6" t="str">
        <f>HYPERLINK("http://www.worldcat.org/oclc/1373441","WorldCat Record")</f>
        <v>WorldCat Record</v>
      </c>
      <c r="AU54" s="3" t="s">
        <v>795</v>
      </c>
      <c r="AV54" s="3" t="s">
        <v>796</v>
      </c>
      <c r="AW54" s="3" t="s">
        <v>797</v>
      </c>
      <c r="AX54" s="3" t="s">
        <v>797</v>
      </c>
      <c r="AY54" s="3" t="s">
        <v>798</v>
      </c>
      <c r="AZ54" s="3" t="s">
        <v>74</v>
      </c>
      <c r="BC54" s="3" t="s">
        <v>799</v>
      </c>
      <c r="BD54" s="3" t="s">
        <v>800</v>
      </c>
    </row>
    <row r="55" spans="1:56" ht="57.75" customHeight="1" x14ac:dyDescent="0.25">
      <c r="A55" s="7" t="s">
        <v>58</v>
      </c>
      <c r="B55" s="2" t="s">
        <v>786</v>
      </c>
      <c r="C55" s="2" t="s">
        <v>787</v>
      </c>
      <c r="D55" s="2" t="s">
        <v>788</v>
      </c>
      <c r="E55" s="3" t="s">
        <v>801</v>
      </c>
      <c r="F55" s="3" t="s">
        <v>69</v>
      </c>
      <c r="G55" s="3" t="s">
        <v>59</v>
      </c>
      <c r="H55" s="3" t="s">
        <v>58</v>
      </c>
      <c r="I55" s="3" t="s">
        <v>58</v>
      </c>
      <c r="J55" s="3" t="s">
        <v>60</v>
      </c>
      <c r="K55" s="2" t="s">
        <v>790</v>
      </c>
      <c r="L55" s="2" t="s">
        <v>791</v>
      </c>
      <c r="M55" s="3" t="s">
        <v>792</v>
      </c>
      <c r="N55" s="2" t="s">
        <v>793</v>
      </c>
      <c r="O55" s="3" t="s">
        <v>64</v>
      </c>
      <c r="P55" s="3" t="s">
        <v>278</v>
      </c>
      <c r="R55" s="3" t="s">
        <v>66</v>
      </c>
      <c r="S55" s="4">
        <v>0</v>
      </c>
      <c r="T55" s="4">
        <v>2</v>
      </c>
      <c r="V55" s="5" t="s">
        <v>794</v>
      </c>
      <c r="W55" s="5" t="s">
        <v>126</v>
      </c>
      <c r="X55" s="5" t="s">
        <v>126</v>
      </c>
      <c r="Y55" s="4">
        <v>733</v>
      </c>
      <c r="Z55" s="4">
        <v>643</v>
      </c>
      <c r="AA55" s="4">
        <v>647</v>
      </c>
      <c r="AB55" s="4">
        <v>6</v>
      </c>
      <c r="AC55" s="4">
        <v>6</v>
      </c>
      <c r="AD55" s="4">
        <v>26</v>
      </c>
      <c r="AE55" s="4">
        <v>26</v>
      </c>
      <c r="AF55" s="4">
        <v>9</v>
      </c>
      <c r="AG55" s="4">
        <v>9</v>
      </c>
      <c r="AH55" s="4">
        <v>6</v>
      </c>
      <c r="AI55" s="4">
        <v>6</v>
      </c>
      <c r="AJ55" s="4">
        <v>12</v>
      </c>
      <c r="AK55" s="4">
        <v>12</v>
      </c>
      <c r="AL55" s="4">
        <v>4</v>
      </c>
      <c r="AM55" s="4">
        <v>4</v>
      </c>
      <c r="AN55" s="4">
        <v>0</v>
      </c>
      <c r="AO55" s="4">
        <v>0</v>
      </c>
      <c r="AP55" s="3" t="s">
        <v>58</v>
      </c>
      <c r="AQ55" s="3" t="s">
        <v>69</v>
      </c>
      <c r="AR55" s="6" t="str">
        <f>HYPERLINK("http://catalog.hathitrust.org/Record/001469733","HathiTrust Record")</f>
        <v>HathiTrust Record</v>
      </c>
      <c r="AS55" s="6" t="str">
        <f>HYPERLINK("https://creighton-primo.hosted.exlibrisgroup.com/primo-explore/search?tab=default_tab&amp;search_scope=EVERYTHING&amp;vid=01CRU&amp;lang=en_US&amp;offset=0&amp;query=any,contains,991003726109702656","Catalog Record")</f>
        <v>Catalog Record</v>
      </c>
      <c r="AT55" s="6" t="str">
        <f>HYPERLINK("http://www.worldcat.org/oclc/1373441","WorldCat Record")</f>
        <v>WorldCat Record</v>
      </c>
      <c r="AU55" s="3" t="s">
        <v>795</v>
      </c>
      <c r="AV55" s="3" t="s">
        <v>796</v>
      </c>
      <c r="AW55" s="3" t="s">
        <v>797</v>
      </c>
      <c r="AX55" s="3" t="s">
        <v>797</v>
      </c>
      <c r="AY55" s="3" t="s">
        <v>798</v>
      </c>
      <c r="AZ55" s="3" t="s">
        <v>74</v>
      </c>
      <c r="BC55" s="3" t="s">
        <v>802</v>
      </c>
      <c r="BD55" s="3" t="s">
        <v>803</v>
      </c>
    </row>
    <row r="56" spans="1:56" ht="57.75" customHeight="1" x14ac:dyDescent="0.25">
      <c r="A56" s="7" t="s">
        <v>58</v>
      </c>
      <c r="B56" s="2" t="s">
        <v>804</v>
      </c>
      <c r="C56" s="2" t="s">
        <v>805</v>
      </c>
      <c r="D56" s="2" t="s">
        <v>806</v>
      </c>
      <c r="F56" s="3" t="s">
        <v>58</v>
      </c>
      <c r="G56" s="3" t="s">
        <v>59</v>
      </c>
      <c r="H56" s="3" t="s">
        <v>58</v>
      </c>
      <c r="I56" s="3" t="s">
        <v>58</v>
      </c>
      <c r="J56" s="3" t="s">
        <v>60</v>
      </c>
      <c r="K56" s="2" t="s">
        <v>790</v>
      </c>
      <c r="L56" s="2" t="s">
        <v>807</v>
      </c>
      <c r="M56" s="3" t="s">
        <v>178</v>
      </c>
      <c r="O56" s="3" t="s">
        <v>64</v>
      </c>
      <c r="P56" s="3" t="s">
        <v>65</v>
      </c>
      <c r="R56" s="3" t="s">
        <v>66</v>
      </c>
      <c r="S56" s="4">
        <v>5</v>
      </c>
      <c r="T56" s="4">
        <v>5</v>
      </c>
      <c r="U56" s="5" t="s">
        <v>808</v>
      </c>
      <c r="V56" s="5" t="s">
        <v>808</v>
      </c>
      <c r="W56" s="5" t="s">
        <v>809</v>
      </c>
      <c r="X56" s="5" t="s">
        <v>809</v>
      </c>
      <c r="Y56" s="4">
        <v>1127</v>
      </c>
      <c r="Z56" s="4">
        <v>970</v>
      </c>
      <c r="AA56" s="4">
        <v>1074</v>
      </c>
      <c r="AB56" s="4">
        <v>3</v>
      </c>
      <c r="AC56" s="4">
        <v>4</v>
      </c>
      <c r="AD56" s="4">
        <v>38</v>
      </c>
      <c r="AE56" s="4">
        <v>40</v>
      </c>
      <c r="AF56" s="4">
        <v>17</v>
      </c>
      <c r="AG56" s="4">
        <v>18</v>
      </c>
      <c r="AH56" s="4">
        <v>9</v>
      </c>
      <c r="AI56" s="4">
        <v>9</v>
      </c>
      <c r="AJ56" s="4">
        <v>18</v>
      </c>
      <c r="AK56" s="4">
        <v>19</v>
      </c>
      <c r="AL56" s="4">
        <v>2</v>
      </c>
      <c r="AM56" s="4">
        <v>3</v>
      </c>
      <c r="AN56" s="4">
        <v>0</v>
      </c>
      <c r="AO56" s="4">
        <v>0</v>
      </c>
      <c r="AP56" s="3" t="s">
        <v>58</v>
      </c>
      <c r="AQ56" s="3" t="s">
        <v>58</v>
      </c>
      <c r="AS56" s="6" t="str">
        <f>HYPERLINK("https://creighton-primo.hosted.exlibrisgroup.com/primo-explore/search?tab=default_tab&amp;search_scope=EVERYTHING&amp;vid=01CRU&amp;lang=en_US&amp;offset=0&amp;query=any,contains,991003298229702656","Catalog Record")</f>
        <v>Catalog Record</v>
      </c>
      <c r="AT56" s="6" t="str">
        <f>HYPERLINK("http://www.worldcat.org/oclc/820893","WorldCat Record")</f>
        <v>WorldCat Record</v>
      </c>
      <c r="AU56" s="3" t="s">
        <v>810</v>
      </c>
      <c r="AV56" s="3" t="s">
        <v>811</v>
      </c>
      <c r="AW56" s="3" t="s">
        <v>812</v>
      </c>
      <c r="AX56" s="3" t="s">
        <v>812</v>
      </c>
      <c r="AY56" s="3" t="s">
        <v>813</v>
      </c>
      <c r="AZ56" s="3" t="s">
        <v>74</v>
      </c>
      <c r="BB56" s="3" t="s">
        <v>814</v>
      </c>
      <c r="BC56" s="3" t="s">
        <v>815</v>
      </c>
      <c r="BD56" s="3" t="s">
        <v>816</v>
      </c>
    </row>
    <row r="57" spans="1:56" ht="57.75" customHeight="1" x14ac:dyDescent="0.25">
      <c r="A57" s="7" t="s">
        <v>58</v>
      </c>
      <c r="B57" s="2" t="s">
        <v>817</v>
      </c>
      <c r="C57" s="2" t="s">
        <v>818</v>
      </c>
      <c r="D57" s="2" t="s">
        <v>819</v>
      </c>
      <c r="F57" s="3" t="s">
        <v>58</v>
      </c>
      <c r="G57" s="3" t="s">
        <v>59</v>
      </c>
      <c r="H57" s="3" t="s">
        <v>58</v>
      </c>
      <c r="I57" s="3" t="s">
        <v>58</v>
      </c>
      <c r="J57" s="3" t="s">
        <v>60</v>
      </c>
      <c r="K57" s="2" t="s">
        <v>820</v>
      </c>
      <c r="L57" s="2" t="s">
        <v>821</v>
      </c>
      <c r="M57" s="3" t="s">
        <v>293</v>
      </c>
      <c r="O57" s="3" t="s">
        <v>64</v>
      </c>
      <c r="P57" s="3" t="s">
        <v>65</v>
      </c>
      <c r="R57" s="3" t="s">
        <v>66</v>
      </c>
      <c r="S57" s="4">
        <v>4</v>
      </c>
      <c r="T57" s="4">
        <v>4</v>
      </c>
      <c r="U57" s="5" t="s">
        <v>822</v>
      </c>
      <c r="V57" s="5" t="s">
        <v>822</v>
      </c>
      <c r="W57" s="5" t="s">
        <v>126</v>
      </c>
      <c r="X57" s="5" t="s">
        <v>126</v>
      </c>
      <c r="Y57" s="4">
        <v>696</v>
      </c>
      <c r="Z57" s="4">
        <v>637</v>
      </c>
      <c r="AA57" s="4">
        <v>638</v>
      </c>
      <c r="AB57" s="4">
        <v>6</v>
      </c>
      <c r="AC57" s="4">
        <v>6</v>
      </c>
      <c r="AD57" s="4">
        <v>25</v>
      </c>
      <c r="AE57" s="4">
        <v>25</v>
      </c>
      <c r="AF57" s="4">
        <v>10</v>
      </c>
      <c r="AG57" s="4">
        <v>10</v>
      </c>
      <c r="AH57" s="4">
        <v>5</v>
      </c>
      <c r="AI57" s="4">
        <v>5</v>
      </c>
      <c r="AJ57" s="4">
        <v>11</v>
      </c>
      <c r="AK57" s="4">
        <v>11</v>
      </c>
      <c r="AL57" s="4">
        <v>4</v>
      </c>
      <c r="AM57" s="4">
        <v>4</v>
      </c>
      <c r="AN57" s="4">
        <v>0</v>
      </c>
      <c r="AO57" s="4">
        <v>0</v>
      </c>
      <c r="AP57" s="3" t="s">
        <v>58</v>
      </c>
      <c r="AQ57" s="3" t="s">
        <v>69</v>
      </c>
      <c r="AR57" s="6" t="str">
        <f>HYPERLINK("http://catalog.hathitrust.org/Record/001469782","HathiTrust Record")</f>
        <v>HathiTrust Record</v>
      </c>
      <c r="AS57" s="6" t="str">
        <f>HYPERLINK("https://creighton-primo.hosted.exlibrisgroup.com/primo-explore/search?tab=default_tab&amp;search_scope=EVERYTHING&amp;vid=01CRU&amp;lang=en_US&amp;offset=0&amp;query=any,contains,991000719149702656","Catalog Record")</f>
        <v>Catalog Record</v>
      </c>
      <c r="AT57" s="6" t="str">
        <f>HYPERLINK("http://www.worldcat.org/oclc/126137","WorldCat Record")</f>
        <v>WorldCat Record</v>
      </c>
      <c r="AU57" s="3" t="s">
        <v>823</v>
      </c>
      <c r="AV57" s="3" t="s">
        <v>824</v>
      </c>
      <c r="AW57" s="3" t="s">
        <v>825</v>
      </c>
      <c r="AX57" s="3" t="s">
        <v>825</v>
      </c>
      <c r="AY57" s="3" t="s">
        <v>826</v>
      </c>
      <c r="AZ57" s="3" t="s">
        <v>74</v>
      </c>
      <c r="BB57" s="3" t="s">
        <v>827</v>
      </c>
      <c r="BC57" s="3" t="s">
        <v>828</v>
      </c>
      <c r="BD57" s="3" t="s">
        <v>829</v>
      </c>
    </row>
    <row r="58" spans="1:56" ht="57.75" customHeight="1" x14ac:dyDescent="0.25">
      <c r="A58" s="7" t="s">
        <v>58</v>
      </c>
      <c r="B58" s="2" t="s">
        <v>830</v>
      </c>
      <c r="C58" s="2" t="s">
        <v>831</v>
      </c>
      <c r="D58" s="2" t="s">
        <v>832</v>
      </c>
      <c r="F58" s="3" t="s">
        <v>58</v>
      </c>
      <c r="G58" s="3" t="s">
        <v>59</v>
      </c>
      <c r="H58" s="3" t="s">
        <v>58</v>
      </c>
      <c r="I58" s="3" t="s">
        <v>58</v>
      </c>
      <c r="J58" s="3" t="s">
        <v>60</v>
      </c>
      <c r="K58" s="2" t="s">
        <v>833</v>
      </c>
      <c r="L58" s="2" t="s">
        <v>834</v>
      </c>
      <c r="M58" s="3" t="s">
        <v>98</v>
      </c>
      <c r="O58" s="3" t="s">
        <v>64</v>
      </c>
      <c r="P58" s="3" t="s">
        <v>679</v>
      </c>
      <c r="R58" s="3" t="s">
        <v>66</v>
      </c>
      <c r="S58" s="4">
        <v>2</v>
      </c>
      <c r="T58" s="4">
        <v>2</v>
      </c>
      <c r="U58" s="5" t="s">
        <v>835</v>
      </c>
      <c r="V58" s="5" t="s">
        <v>835</v>
      </c>
      <c r="W58" s="5" t="s">
        <v>126</v>
      </c>
      <c r="X58" s="5" t="s">
        <v>126</v>
      </c>
      <c r="Y58" s="4">
        <v>449</v>
      </c>
      <c r="Z58" s="4">
        <v>410</v>
      </c>
      <c r="AA58" s="4">
        <v>414</v>
      </c>
      <c r="AB58" s="4">
        <v>8</v>
      </c>
      <c r="AC58" s="4">
        <v>8</v>
      </c>
      <c r="AD58" s="4">
        <v>32</v>
      </c>
      <c r="AE58" s="4">
        <v>32</v>
      </c>
      <c r="AF58" s="4">
        <v>9</v>
      </c>
      <c r="AG58" s="4">
        <v>9</v>
      </c>
      <c r="AH58" s="4">
        <v>8</v>
      </c>
      <c r="AI58" s="4">
        <v>8</v>
      </c>
      <c r="AJ58" s="4">
        <v>20</v>
      </c>
      <c r="AK58" s="4">
        <v>20</v>
      </c>
      <c r="AL58" s="4">
        <v>4</v>
      </c>
      <c r="AM58" s="4">
        <v>4</v>
      </c>
      <c r="AN58" s="4">
        <v>0</v>
      </c>
      <c r="AO58" s="4">
        <v>0</v>
      </c>
      <c r="AP58" s="3" t="s">
        <v>58</v>
      </c>
      <c r="AQ58" s="3" t="s">
        <v>69</v>
      </c>
      <c r="AR58" s="6" t="str">
        <f>HYPERLINK("http://catalog.hathitrust.org/Record/009501566","HathiTrust Record")</f>
        <v>HathiTrust Record</v>
      </c>
      <c r="AS58" s="6" t="str">
        <f>HYPERLINK("https://creighton-primo.hosted.exlibrisgroup.com/primo-explore/search?tab=default_tab&amp;search_scope=EVERYTHING&amp;vid=01CRU&amp;lang=en_US&amp;offset=0&amp;query=any,contains,991003475249702656","Catalog Record")</f>
        <v>Catalog Record</v>
      </c>
      <c r="AT58" s="6" t="str">
        <f>HYPERLINK("http://www.worldcat.org/oclc/1019614","WorldCat Record")</f>
        <v>WorldCat Record</v>
      </c>
      <c r="AU58" s="3" t="s">
        <v>836</v>
      </c>
      <c r="AV58" s="3" t="s">
        <v>837</v>
      </c>
      <c r="AW58" s="3" t="s">
        <v>838</v>
      </c>
      <c r="AX58" s="3" t="s">
        <v>838</v>
      </c>
      <c r="AY58" s="3" t="s">
        <v>839</v>
      </c>
      <c r="AZ58" s="3" t="s">
        <v>74</v>
      </c>
      <c r="BC58" s="3" t="s">
        <v>840</v>
      </c>
      <c r="BD58" s="3" t="s">
        <v>841</v>
      </c>
    </row>
    <row r="59" spans="1:56" ht="57.75" customHeight="1" x14ac:dyDescent="0.25">
      <c r="A59" s="7" t="s">
        <v>58</v>
      </c>
      <c r="B59" s="2" t="s">
        <v>842</v>
      </c>
      <c r="C59" s="2" t="s">
        <v>843</v>
      </c>
      <c r="D59" s="2" t="s">
        <v>844</v>
      </c>
      <c r="F59" s="3" t="s">
        <v>58</v>
      </c>
      <c r="G59" s="3" t="s">
        <v>59</v>
      </c>
      <c r="H59" s="3" t="s">
        <v>58</v>
      </c>
      <c r="I59" s="3" t="s">
        <v>58</v>
      </c>
      <c r="J59" s="3" t="s">
        <v>60</v>
      </c>
      <c r="K59" s="2" t="s">
        <v>845</v>
      </c>
      <c r="L59" s="2" t="s">
        <v>846</v>
      </c>
      <c r="M59" s="3" t="s">
        <v>847</v>
      </c>
      <c r="O59" s="3" t="s">
        <v>64</v>
      </c>
      <c r="P59" s="3" t="s">
        <v>234</v>
      </c>
      <c r="R59" s="3" t="s">
        <v>66</v>
      </c>
      <c r="S59" s="4">
        <v>5</v>
      </c>
      <c r="T59" s="4">
        <v>5</v>
      </c>
      <c r="U59" s="5" t="s">
        <v>848</v>
      </c>
      <c r="V59" s="5" t="s">
        <v>848</v>
      </c>
      <c r="W59" s="5" t="s">
        <v>68</v>
      </c>
      <c r="X59" s="5" t="s">
        <v>68</v>
      </c>
      <c r="Y59" s="4">
        <v>341</v>
      </c>
      <c r="Z59" s="4">
        <v>313</v>
      </c>
      <c r="AA59" s="4">
        <v>318</v>
      </c>
      <c r="AB59" s="4">
        <v>2</v>
      </c>
      <c r="AC59" s="4">
        <v>2</v>
      </c>
      <c r="AD59" s="4">
        <v>14</v>
      </c>
      <c r="AE59" s="4">
        <v>14</v>
      </c>
      <c r="AF59" s="4">
        <v>8</v>
      </c>
      <c r="AG59" s="4">
        <v>8</v>
      </c>
      <c r="AH59" s="4">
        <v>2</v>
      </c>
      <c r="AI59" s="4">
        <v>2</v>
      </c>
      <c r="AJ59" s="4">
        <v>8</v>
      </c>
      <c r="AK59" s="4">
        <v>8</v>
      </c>
      <c r="AL59" s="4">
        <v>1</v>
      </c>
      <c r="AM59" s="4">
        <v>1</v>
      </c>
      <c r="AN59" s="4">
        <v>0</v>
      </c>
      <c r="AO59" s="4">
        <v>0</v>
      </c>
      <c r="AP59" s="3" t="s">
        <v>58</v>
      </c>
      <c r="AQ59" s="3" t="s">
        <v>69</v>
      </c>
      <c r="AR59" s="6" t="str">
        <f>HYPERLINK("http://catalog.hathitrust.org/Record/000167588","HathiTrust Record")</f>
        <v>HathiTrust Record</v>
      </c>
      <c r="AS59" s="6" t="str">
        <f>HYPERLINK("https://creighton-primo.hosted.exlibrisgroup.com/primo-explore/search?tab=default_tab&amp;search_scope=EVERYTHING&amp;vid=01CRU&amp;lang=en_US&amp;offset=0&amp;query=any,contains,991000273339702656","Catalog Record")</f>
        <v>Catalog Record</v>
      </c>
      <c r="AT59" s="6" t="str">
        <f>HYPERLINK("http://www.worldcat.org/oclc/9892112","WorldCat Record")</f>
        <v>WorldCat Record</v>
      </c>
      <c r="AU59" s="3" t="s">
        <v>849</v>
      </c>
      <c r="AV59" s="3" t="s">
        <v>850</v>
      </c>
      <c r="AW59" s="3" t="s">
        <v>851</v>
      </c>
      <c r="AX59" s="3" t="s">
        <v>851</v>
      </c>
      <c r="AY59" s="3" t="s">
        <v>852</v>
      </c>
      <c r="AZ59" s="3" t="s">
        <v>74</v>
      </c>
      <c r="BB59" s="3" t="s">
        <v>853</v>
      </c>
      <c r="BC59" s="3" t="s">
        <v>854</v>
      </c>
      <c r="BD59" s="3" t="s">
        <v>855</v>
      </c>
    </row>
    <row r="60" spans="1:56" ht="57.75" customHeight="1" x14ac:dyDescent="0.25">
      <c r="A60" s="7" t="s">
        <v>58</v>
      </c>
      <c r="B60" s="2" t="s">
        <v>856</v>
      </c>
      <c r="C60" s="2" t="s">
        <v>857</v>
      </c>
      <c r="D60" s="2" t="s">
        <v>858</v>
      </c>
      <c r="F60" s="3" t="s">
        <v>58</v>
      </c>
      <c r="G60" s="3" t="s">
        <v>59</v>
      </c>
      <c r="H60" s="3" t="s">
        <v>58</v>
      </c>
      <c r="I60" s="3" t="s">
        <v>58</v>
      </c>
      <c r="J60" s="3" t="s">
        <v>60</v>
      </c>
      <c r="K60" s="2" t="s">
        <v>859</v>
      </c>
      <c r="L60" s="2" t="s">
        <v>860</v>
      </c>
      <c r="M60" s="3" t="s">
        <v>678</v>
      </c>
      <c r="N60" s="2" t="s">
        <v>861</v>
      </c>
      <c r="O60" s="3" t="s">
        <v>64</v>
      </c>
      <c r="P60" s="3" t="s">
        <v>65</v>
      </c>
      <c r="R60" s="3" t="s">
        <v>66</v>
      </c>
      <c r="S60" s="4">
        <v>3</v>
      </c>
      <c r="T60" s="4">
        <v>3</v>
      </c>
      <c r="U60" s="5" t="s">
        <v>862</v>
      </c>
      <c r="V60" s="5" t="s">
        <v>862</v>
      </c>
      <c r="W60" s="5" t="s">
        <v>68</v>
      </c>
      <c r="X60" s="5" t="s">
        <v>68</v>
      </c>
      <c r="Y60" s="4">
        <v>404</v>
      </c>
      <c r="Z60" s="4">
        <v>361</v>
      </c>
      <c r="AA60" s="4">
        <v>445</v>
      </c>
      <c r="AB60" s="4">
        <v>1</v>
      </c>
      <c r="AC60" s="4">
        <v>2</v>
      </c>
      <c r="AD60" s="4">
        <v>12</v>
      </c>
      <c r="AE60" s="4">
        <v>14</v>
      </c>
      <c r="AF60" s="4">
        <v>5</v>
      </c>
      <c r="AG60" s="4">
        <v>5</v>
      </c>
      <c r="AH60" s="4">
        <v>3</v>
      </c>
      <c r="AI60" s="4">
        <v>3</v>
      </c>
      <c r="AJ60" s="4">
        <v>7</v>
      </c>
      <c r="AK60" s="4">
        <v>8</v>
      </c>
      <c r="AL60" s="4">
        <v>0</v>
      </c>
      <c r="AM60" s="4">
        <v>1</v>
      </c>
      <c r="AN60" s="4">
        <v>0</v>
      </c>
      <c r="AO60" s="4">
        <v>0</v>
      </c>
      <c r="AP60" s="3" t="s">
        <v>58</v>
      </c>
      <c r="AQ60" s="3" t="s">
        <v>58</v>
      </c>
      <c r="AS60" s="6" t="str">
        <f>HYPERLINK("https://creighton-primo.hosted.exlibrisgroup.com/primo-explore/search?tab=default_tab&amp;search_scope=EVERYTHING&amp;vid=01CRU&amp;lang=en_US&amp;offset=0&amp;query=any,contains,991000604469702656","Catalog Record")</f>
        <v>Catalog Record</v>
      </c>
      <c r="AT60" s="6" t="str">
        <f>HYPERLINK("http://www.worldcat.org/oclc/13444444","WorldCat Record")</f>
        <v>WorldCat Record</v>
      </c>
      <c r="AU60" s="3" t="s">
        <v>863</v>
      </c>
      <c r="AV60" s="3" t="s">
        <v>864</v>
      </c>
      <c r="AW60" s="3" t="s">
        <v>865</v>
      </c>
      <c r="AX60" s="3" t="s">
        <v>865</v>
      </c>
      <c r="AY60" s="3" t="s">
        <v>866</v>
      </c>
      <c r="AZ60" s="3" t="s">
        <v>74</v>
      </c>
      <c r="BB60" s="3" t="s">
        <v>867</v>
      </c>
      <c r="BC60" s="3" t="s">
        <v>868</v>
      </c>
      <c r="BD60" s="3" t="s">
        <v>869</v>
      </c>
    </row>
    <row r="61" spans="1:56" ht="57.75" customHeight="1" x14ac:dyDescent="0.25">
      <c r="A61" s="7" t="s">
        <v>58</v>
      </c>
      <c r="B61" s="2" t="s">
        <v>870</v>
      </c>
      <c r="C61" s="2" t="s">
        <v>871</v>
      </c>
      <c r="D61" s="2" t="s">
        <v>872</v>
      </c>
      <c r="F61" s="3" t="s">
        <v>58</v>
      </c>
      <c r="G61" s="3" t="s">
        <v>59</v>
      </c>
      <c r="H61" s="3" t="s">
        <v>58</v>
      </c>
      <c r="I61" s="3" t="s">
        <v>58</v>
      </c>
      <c r="J61" s="3" t="s">
        <v>60</v>
      </c>
      <c r="K61" s="2" t="s">
        <v>873</v>
      </c>
      <c r="L61" s="2" t="s">
        <v>874</v>
      </c>
      <c r="M61" s="3" t="s">
        <v>875</v>
      </c>
      <c r="O61" s="3" t="s">
        <v>64</v>
      </c>
      <c r="P61" s="3" t="s">
        <v>876</v>
      </c>
      <c r="R61" s="3" t="s">
        <v>66</v>
      </c>
      <c r="S61" s="4">
        <v>5</v>
      </c>
      <c r="T61" s="4">
        <v>5</v>
      </c>
      <c r="U61" s="5" t="s">
        <v>877</v>
      </c>
      <c r="V61" s="5" t="s">
        <v>877</v>
      </c>
      <c r="W61" s="5" t="s">
        <v>878</v>
      </c>
      <c r="X61" s="5" t="s">
        <v>878</v>
      </c>
      <c r="Y61" s="4">
        <v>330</v>
      </c>
      <c r="Z61" s="4">
        <v>285</v>
      </c>
      <c r="AA61" s="4">
        <v>286</v>
      </c>
      <c r="AB61" s="4">
        <v>3</v>
      </c>
      <c r="AC61" s="4">
        <v>3</v>
      </c>
      <c r="AD61" s="4">
        <v>8</v>
      </c>
      <c r="AE61" s="4">
        <v>8</v>
      </c>
      <c r="AF61" s="4">
        <v>4</v>
      </c>
      <c r="AG61" s="4">
        <v>4</v>
      </c>
      <c r="AH61" s="4">
        <v>2</v>
      </c>
      <c r="AI61" s="4">
        <v>2</v>
      </c>
      <c r="AJ61" s="4">
        <v>5</v>
      </c>
      <c r="AK61" s="4">
        <v>5</v>
      </c>
      <c r="AL61" s="4">
        <v>1</v>
      </c>
      <c r="AM61" s="4">
        <v>1</v>
      </c>
      <c r="AN61" s="4">
        <v>0</v>
      </c>
      <c r="AO61" s="4">
        <v>0</v>
      </c>
      <c r="AP61" s="3" t="s">
        <v>58</v>
      </c>
      <c r="AQ61" s="3" t="s">
        <v>69</v>
      </c>
      <c r="AR61" s="6" t="str">
        <f>HYPERLINK("http://catalog.hathitrust.org/Record/002606204","HathiTrust Record")</f>
        <v>HathiTrust Record</v>
      </c>
      <c r="AS61" s="6" t="str">
        <f>HYPERLINK("https://creighton-primo.hosted.exlibrisgroup.com/primo-explore/search?tab=default_tab&amp;search_scope=EVERYTHING&amp;vid=01CRU&amp;lang=en_US&amp;offset=0&amp;query=any,contains,991002184979702656","Catalog Record")</f>
        <v>Catalog Record</v>
      </c>
      <c r="AT61" s="6" t="str">
        <f>HYPERLINK("http://www.worldcat.org/oclc/28147423","WorldCat Record")</f>
        <v>WorldCat Record</v>
      </c>
      <c r="AU61" s="3" t="s">
        <v>879</v>
      </c>
      <c r="AV61" s="3" t="s">
        <v>880</v>
      </c>
      <c r="AW61" s="3" t="s">
        <v>881</v>
      </c>
      <c r="AX61" s="3" t="s">
        <v>881</v>
      </c>
      <c r="AY61" s="3" t="s">
        <v>882</v>
      </c>
      <c r="AZ61" s="3" t="s">
        <v>74</v>
      </c>
      <c r="BB61" s="3" t="s">
        <v>883</v>
      </c>
      <c r="BC61" s="3" t="s">
        <v>884</v>
      </c>
      <c r="BD61" s="3" t="s">
        <v>885</v>
      </c>
    </row>
    <row r="62" spans="1:56" ht="57.75" customHeight="1" x14ac:dyDescent="0.25">
      <c r="A62" s="7" t="s">
        <v>58</v>
      </c>
      <c r="B62" s="2" t="s">
        <v>886</v>
      </c>
      <c r="C62" s="2" t="s">
        <v>887</v>
      </c>
      <c r="D62" s="2" t="s">
        <v>888</v>
      </c>
      <c r="F62" s="3" t="s">
        <v>58</v>
      </c>
      <c r="G62" s="3" t="s">
        <v>59</v>
      </c>
      <c r="H62" s="3" t="s">
        <v>58</v>
      </c>
      <c r="I62" s="3" t="s">
        <v>58</v>
      </c>
      <c r="J62" s="3" t="s">
        <v>60</v>
      </c>
      <c r="K62" s="2" t="s">
        <v>109</v>
      </c>
      <c r="L62" s="2" t="s">
        <v>889</v>
      </c>
      <c r="M62" s="3" t="s">
        <v>778</v>
      </c>
      <c r="O62" s="3" t="s">
        <v>64</v>
      </c>
      <c r="P62" s="3" t="s">
        <v>65</v>
      </c>
      <c r="Q62" s="2" t="s">
        <v>890</v>
      </c>
      <c r="R62" s="3" t="s">
        <v>66</v>
      </c>
      <c r="S62" s="4">
        <v>4</v>
      </c>
      <c r="T62" s="4">
        <v>4</v>
      </c>
      <c r="U62" s="5" t="s">
        <v>891</v>
      </c>
      <c r="V62" s="5" t="s">
        <v>891</v>
      </c>
      <c r="W62" s="5" t="s">
        <v>892</v>
      </c>
      <c r="X62" s="5" t="s">
        <v>892</v>
      </c>
      <c r="Y62" s="4">
        <v>431</v>
      </c>
      <c r="Z62" s="4">
        <v>401</v>
      </c>
      <c r="AA62" s="4">
        <v>428</v>
      </c>
      <c r="AB62" s="4">
        <v>5</v>
      </c>
      <c r="AC62" s="4">
        <v>5</v>
      </c>
      <c r="AD62" s="4">
        <v>19</v>
      </c>
      <c r="AE62" s="4">
        <v>20</v>
      </c>
      <c r="AF62" s="4">
        <v>7</v>
      </c>
      <c r="AG62" s="4">
        <v>7</v>
      </c>
      <c r="AH62" s="4">
        <v>4</v>
      </c>
      <c r="AI62" s="4">
        <v>5</v>
      </c>
      <c r="AJ62" s="4">
        <v>7</v>
      </c>
      <c r="AK62" s="4">
        <v>8</v>
      </c>
      <c r="AL62" s="4">
        <v>3</v>
      </c>
      <c r="AM62" s="4">
        <v>3</v>
      </c>
      <c r="AN62" s="4">
        <v>0</v>
      </c>
      <c r="AO62" s="4">
        <v>0</v>
      </c>
      <c r="AP62" s="3" t="s">
        <v>58</v>
      </c>
      <c r="AQ62" s="3" t="s">
        <v>69</v>
      </c>
      <c r="AR62" s="6" t="str">
        <f>HYPERLINK("http://catalog.hathitrust.org/Record/001469829","HathiTrust Record")</f>
        <v>HathiTrust Record</v>
      </c>
      <c r="AS62" s="6" t="str">
        <f>HYPERLINK("https://creighton-primo.hosted.exlibrisgroup.com/primo-explore/search?tab=default_tab&amp;search_scope=EVERYTHING&amp;vid=01CRU&amp;lang=en_US&amp;offset=0&amp;query=any,contains,991003105609702656","Catalog Record")</f>
        <v>Catalog Record</v>
      </c>
      <c r="AT62" s="6" t="str">
        <f>HYPERLINK("http://www.worldcat.org/oclc/653803","WorldCat Record")</f>
        <v>WorldCat Record</v>
      </c>
      <c r="AU62" s="3" t="s">
        <v>893</v>
      </c>
      <c r="AV62" s="3" t="s">
        <v>894</v>
      </c>
      <c r="AW62" s="3" t="s">
        <v>895</v>
      </c>
      <c r="AX62" s="3" t="s">
        <v>895</v>
      </c>
      <c r="AY62" s="3" t="s">
        <v>896</v>
      </c>
      <c r="AZ62" s="3" t="s">
        <v>74</v>
      </c>
      <c r="BC62" s="3" t="s">
        <v>897</v>
      </c>
      <c r="BD62" s="3" t="s">
        <v>898</v>
      </c>
    </row>
    <row r="63" spans="1:56" ht="57.75" customHeight="1" x14ac:dyDescent="0.25">
      <c r="A63" s="7" t="s">
        <v>58</v>
      </c>
      <c r="B63" s="2" t="s">
        <v>899</v>
      </c>
      <c r="C63" s="2" t="s">
        <v>900</v>
      </c>
      <c r="D63" s="2" t="s">
        <v>901</v>
      </c>
      <c r="F63" s="3" t="s">
        <v>58</v>
      </c>
      <c r="G63" s="3" t="s">
        <v>59</v>
      </c>
      <c r="H63" s="3" t="s">
        <v>58</v>
      </c>
      <c r="I63" s="3" t="s">
        <v>58</v>
      </c>
      <c r="J63" s="3" t="s">
        <v>60</v>
      </c>
      <c r="K63" s="2" t="s">
        <v>902</v>
      </c>
      <c r="M63" s="3" t="s">
        <v>178</v>
      </c>
      <c r="O63" s="3" t="s">
        <v>64</v>
      </c>
      <c r="P63" s="3" t="s">
        <v>903</v>
      </c>
      <c r="R63" s="3" t="s">
        <v>66</v>
      </c>
      <c r="S63" s="4">
        <v>2</v>
      </c>
      <c r="T63" s="4">
        <v>2</v>
      </c>
      <c r="U63" s="5" t="s">
        <v>904</v>
      </c>
      <c r="V63" s="5" t="s">
        <v>904</v>
      </c>
      <c r="W63" s="5" t="s">
        <v>68</v>
      </c>
      <c r="X63" s="5" t="s">
        <v>68</v>
      </c>
      <c r="Y63" s="4">
        <v>413</v>
      </c>
      <c r="Z63" s="4">
        <v>338</v>
      </c>
      <c r="AA63" s="4">
        <v>350</v>
      </c>
      <c r="AB63" s="4">
        <v>3</v>
      </c>
      <c r="AC63" s="4">
        <v>3</v>
      </c>
      <c r="AD63" s="4">
        <v>12</v>
      </c>
      <c r="AE63" s="4">
        <v>12</v>
      </c>
      <c r="AF63" s="4">
        <v>3</v>
      </c>
      <c r="AG63" s="4">
        <v>3</v>
      </c>
      <c r="AH63" s="4">
        <v>3</v>
      </c>
      <c r="AI63" s="4">
        <v>3</v>
      </c>
      <c r="AJ63" s="4">
        <v>8</v>
      </c>
      <c r="AK63" s="4">
        <v>8</v>
      </c>
      <c r="AL63" s="4">
        <v>1</v>
      </c>
      <c r="AM63" s="4">
        <v>1</v>
      </c>
      <c r="AN63" s="4">
        <v>0</v>
      </c>
      <c r="AO63" s="4">
        <v>0</v>
      </c>
      <c r="AP63" s="3" t="s">
        <v>58</v>
      </c>
      <c r="AQ63" s="3" t="s">
        <v>69</v>
      </c>
      <c r="AR63" s="6" t="str">
        <f>HYPERLINK("http://catalog.hathitrust.org/Record/000009863","HathiTrust Record")</f>
        <v>HathiTrust Record</v>
      </c>
      <c r="AS63" s="6" t="str">
        <f>HYPERLINK("https://creighton-primo.hosted.exlibrisgroup.com/primo-explore/search?tab=default_tab&amp;search_scope=EVERYTHING&amp;vid=01CRU&amp;lang=en_US&amp;offset=0&amp;query=any,contains,991003157799702656","Catalog Record")</f>
        <v>Catalog Record</v>
      </c>
      <c r="AT63" s="6" t="str">
        <f>HYPERLINK("http://www.worldcat.org/oclc/697289","WorldCat Record")</f>
        <v>WorldCat Record</v>
      </c>
      <c r="AU63" s="3" t="s">
        <v>905</v>
      </c>
      <c r="AV63" s="3" t="s">
        <v>906</v>
      </c>
      <c r="AW63" s="3" t="s">
        <v>907</v>
      </c>
      <c r="AX63" s="3" t="s">
        <v>907</v>
      </c>
      <c r="AY63" s="3" t="s">
        <v>908</v>
      </c>
      <c r="AZ63" s="3" t="s">
        <v>74</v>
      </c>
      <c r="BC63" s="3" t="s">
        <v>909</v>
      </c>
      <c r="BD63" s="3" t="s">
        <v>910</v>
      </c>
    </row>
    <row r="64" spans="1:56" ht="57.75" customHeight="1" x14ac:dyDescent="0.25">
      <c r="A64" s="7" t="s">
        <v>58</v>
      </c>
      <c r="B64" s="2" t="s">
        <v>911</v>
      </c>
      <c r="C64" s="2" t="s">
        <v>912</v>
      </c>
      <c r="D64" s="2" t="s">
        <v>913</v>
      </c>
      <c r="F64" s="3" t="s">
        <v>58</v>
      </c>
      <c r="G64" s="3" t="s">
        <v>59</v>
      </c>
      <c r="H64" s="3" t="s">
        <v>58</v>
      </c>
      <c r="I64" s="3" t="s">
        <v>58</v>
      </c>
      <c r="J64" s="3" t="s">
        <v>60</v>
      </c>
      <c r="K64" s="2" t="s">
        <v>914</v>
      </c>
      <c r="L64" s="2" t="s">
        <v>915</v>
      </c>
      <c r="M64" s="3" t="s">
        <v>916</v>
      </c>
      <c r="O64" s="3" t="s">
        <v>64</v>
      </c>
      <c r="P64" s="3" t="s">
        <v>917</v>
      </c>
      <c r="R64" s="3" t="s">
        <v>66</v>
      </c>
      <c r="S64" s="4">
        <v>2</v>
      </c>
      <c r="T64" s="4">
        <v>2</v>
      </c>
      <c r="U64" s="5" t="s">
        <v>918</v>
      </c>
      <c r="V64" s="5" t="s">
        <v>918</v>
      </c>
      <c r="W64" s="5" t="s">
        <v>68</v>
      </c>
      <c r="X64" s="5" t="s">
        <v>68</v>
      </c>
      <c r="Y64" s="4">
        <v>360</v>
      </c>
      <c r="Z64" s="4">
        <v>282</v>
      </c>
      <c r="AA64" s="4">
        <v>283</v>
      </c>
      <c r="AB64" s="4">
        <v>3</v>
      </c>
      <c r="AC64" s="4">
        <v>3</v>
      </c>
      <c r="AD64" s="4">
        <v>11</v>
      </c>
      <c r="AE64" s="4">
        <v>11</v>
      </c>
      <c r="AF64" s="4">
        <v>2</v>
      </c>
      <c r="AG64" s="4">
        <v>2</v>
      </c>
      <c r="AH64" s="4">
        <v>3</v>
      </c>
      <c r="AI64" s="4">
        <v>3</v>
      </c>
      <c r="AJ64" s="4">
        <v>7</v>
      </c>
      <c r="AK64" s="4">
        <v>7</v>
      </c>
      <c r="AL64" s="4">
        <v>1</v>
      </c>
      <c r="AM64" s="4">
        <v>1</v>
      </c>
      <c r="AN64" s="4">
        <v>0</v>
      </c>
      <c r="AO64" s="4">
        <v>0</v>
      </c>
      <c r="AP64" s="3" t="s">
        <v>58</v>
      </c>
      <c r="AQ64" s="3" t="s">
        <v>69</v>
      </c>
      <c r="AR64" s="6" t="str">
        <f>HYPERLINK("http://catalog.hathitrust.org/Record/000231599","HathiTrust Record")</f>
        <v>HathiTrust Record</v>
      </c>
      <c r="AS64" s="6" t="str">
        <f>HYPERLINK("https://creighton-primo.hosted.exlibrisgroup.com/primo-explore/search?tab=default_tab&amp;search_scope=EVERYTHING&amp;vid=01CRU&amp;lang=en_US&amp;offset=0&amp;query=any,contains,991005217989702656","Catalog Record")</f>
        <v>Catalog Record</v>
      </c>
      <c r="AT64" s="6" t="str">
        <f>HYPERLINK("http://www.worldcat.org/oclc/8200401","WorldCat Record")</f>
        <v>WorldCat Record</v>
      </c>
      <c r="AU64" s="3" t="s">
        <v>919</v>
      </c>
      <c r="AV64" s="3" t="s">
        <v>920</v>
      </c>
      <c r="AW64" s="3" t="s">
        <v>921</v>
      </c>
      <c r="AX64" s="3" t="s">
        <v>921</v>
      </c>
      <c r="AY64" s="3" t="s">
        <v>922</v>
      </c>
      <c r="AZ64" s="3" t="s">
        <v>74</v>
      </c>
      <c r="BC64" s="3" t="s">
        <v>923</v>
      </c>
      <c r="BD64" s="3" t="s">
        <v>924</v>
      </c>
    </row>
    <row r="65" spans="1:56" ht="57.75" customHeight="1" x14ac:dyDescent="0.25">
      <c r="A65" s="7" t="s">
        <v>58</v>
      </c>
      <c r="B65" s="2" t="s">
        <v>925</v>
      </c>
      <c r="C65" s="2" t="s">
        <v>926</v>
      </c>
      <c r="D65" s="2" t="s">
        <v>927</v>
      </c>
      <c r="F65" s="3" t="s">
        <v>58</v>
      </c>
      <c r="G65" s="3" t="s">
        <v>59</v>
      </c>
      <c r="H65" s="3" t="s">
        <v>58</v>
      </c>
      <c r="I65" s="3" t="s">
        <v>58</v>
      </c>
      <c r="J65" s="3" t="s">
        <v>60</v>
      </c>
      <c r="K65" s="2" t="s">
        <v>928</v>
      </c>
      <c r="L65" s="2" t="s">
        <v>929</v>
      </c>
      <c r="M65" s="3" t="s">
        <v>778</v>
      </c>
      <c r="N65" s="2" t="s">
        <v>930</v>
      </c>
      <c r="O65" s="3" t="s">
        <v>64</v>
      </c>
      <c r="P65" s="3" t="s">
        <v>65</v>
      </c>
      <c r="R65" s="3" t="s">
        <v>66</v>
      </c>
      <c r="S65" s="4">
        <v>12</v>
      </c>
      <c r="T65" s="4">
        <v>12</v>
      </c>
      <c r="U65" s="5" t="s">
        <v>931</v>
      </c>
      <c r="V65" s="5" t="s">
        <v>931</v>
      </c>
      <c r="W65" s="5" t="s">
        <v>932</v>
      </c>
      <c r="X65" s="5" t="s">
        <v>932</v>
      </c>
      <c r="Y65" s="4">
        <v>179</v>
      </c>
      <c r="Z65" s="4">
        <v>167</v>
      </c>
      <c r="AA65" s="4">
        <v>332</v>
      </c>
      <c r="AB65" s="4">
        <v>5</v>
      </c>
      <c r="AC65" s="4">
        <v>7</v>
      </c>
      <c r="AD65" s="4">
        <v>5</v>
      </c>
      <c r="AE65" s="4">
        <v>8</v>
      </c>
      <c r="AF65" s="4">
        <v>1</v>
      </c>
      <c r="AG65" s="4">
        <v>1</v>
      </c>
      <c r="AH65" s="4">
        <v>0</v>
      </c>
      <c r="AI65" s="4">
        <v>1</v>
      </c>
      <c r="AJ65" s="4">
        <v>2</v>
      </c>
      <c r="AK65" s="4">
        <v>3</v>
      </c>
      <c r="AL65" s="4">
        <v>3</v>
      </c>
      <c r="AM65" s="4">
        <v>4</v>
      </c>
      <c r="AN65" s="4">
        <v>0</v>
      </c>
      <c r="AO65" s="4">
        <v>0</v>
      </c>
      <c r="AP65" s="3" t="s">
        <v>58</v>
      </c>
      <c r="AQ65" s="3" t="s">
        <v>58</v>
      </c>
      <c r="AS65" s="6" t="str">
        <f>HYPERLINK("https://creighton-primo.hosted.exlibrisgroup.com/primo-explore/search?tab=default_tab&amp;search_scope=EVERYTHING&amp;vid=01CRU&amp;lang=en_US&amp;offset=0&amp;query=any,contains,991003985699702656","Catalog Record")</f>
        <v>Catalog Record</v>
      </c>
      <c r="AT65" s="6" t="str">
        <f>HYPERLINK("http://www.worldcat.org/oclc/2030234","WorldCat Record")</f>
        <v>WorldCat Record</v>
      </c>
      <c r="AU65" s="3" t="s">
        <v>933</v>
      </c>
      <c r="AV65" s="3" t="s">
        <v>934</v>
      </c>
      <c r="AW65" s="3" t="s">
        <v>935</v>
      </c>
      <c r="AX65" s="3" t="s">
        <v>935</v>
      </c>
      <c r="AY65" s="3" t="s">
        <v>936</v>
      </c>
      <c r="AZ65" s="3" t="s">
        <v>74</v>
      </c>
      <c r="BC65" s="3" t="s">
        <v>937</v>
      </c>
      <c r="BD65" s="3" t="s">
        <v>938</v>
      </c>
    </row>
    <row r="66" spans="1:56" ht="57.75" customHeight="1" x14ac:dyDescent="0.25">
      <c r="A66" s="7" t="s">
        <v>58</v>
      </c>
      <c r="B66" s="2" t="s">
        <v>939</v>
      </c>
      <c r="C66" s="2" t="s">
        <v>940</v>
      </c>
      <c r="D66" s="2" t="s">
        <v>941</v>
      </c>
      <c r="F66" s="3" t="s">
        <v>58</v>
      </c>
      <c r="G66" s="3" t="s">
        <v>59</v>
      </c>
      <c r="H66" s="3" t="s">
        <v>58</v>
      </c>
      <c r="I66" s="3" t="s">
        <v>58</v>
      </c>
      <c r="J66" s="3" t="s">
        <v>60</v>
      </c>
      <c r="K66" s="2" t="s">
        <v>928</v>
      </c>
      <c r="L66" s="2" t="s">
        <v>942</v>
      </c>
      <c r="M66" s="3" t="s">
        <v>564</v>
      </c>
      <c r="O66" s="3" t="s">
        <v>64</v>
      </c>
      <c r="P66" s="3" t="s">
        <v>65</v>
      </c>
      <c r="R66" s="3" t="s">
        <v>66</v>
      </c>
      <c r="S66" s="4">
        <v>17</v>
      </c>
      <c r="T66" s="4">
        <v>17</v>
      </c>
      <c r="U66" s="5" t="s">
        <v>943</v>
      </c>
      <c r="V66" s="5" t="s">
        <v>943</v>
      </c>
      <c r="W66" s="5" t="s">
        <v>932</v>
      </c>
      <c r="X66" s="5" t="s">
        <v>932</v>
      </c>
      <c r="Y66" s="4">
        <v>876</v>
      </c>
      <c r="Z66" s="4">
        <v>765</v>
      </c>
      <c r="AA66" s="4">
        <v>807</v>
      </c>
      <c r="AB66" s="4">
        <v>9</v>
      </c>
      <c r="AC66" s="4">
        <v>9</v>
      </c>
      <c r="AD66" s="4">
        <v>25</v>
      </c>
      <c r="AE66" s="4">
        <v>26</v>
      </c>
      <c r="AF66" s="4">
        <v>11</v>
      </c>
      <c r="AG66" s="4">
        <v>11</v>
      </c>
      <c r="AH66" s="4">
        <v>3</v>
      </c>
      <c r="AI66" s="4">
        <v>4</v>
      </c>
      <c r="AJ66" s="4">
        <v>10</v>
      </c>
      <c r="AK66" s="4">
        <v>11</v>
      </c>
      <c r="AL66" s="4">
        <v>5</v>
      </c>
      <c r="AM66" s="4">
        <v>5</v>
      </c>
      <c r="AN66" s="4">
        <v>0</v>
      </c>
      <c r="AO66" s="4">
        <v>0</v>
      </c>
      <c r="AP66" s="3" t="s">
        <v>58</v>
      </c>
      <c r="AQ66" s="3" t="s">
        <v>69</v>
      </c>
      <c r="AR66" s="6" t="str">
        <f>HYPERLINK("http://catalog.hathitrust.org/Record/001469897","HathiTrust Record")</f>
        <v>HathiTrust Record</v>
      </c>
      <c r="AS66" s="6" t="str">
        <f>HYPERLINK("https://creighton-primo.hosted.exlibrisgroup.com/primo-explore/search?tab=default_tab&amp;search_scope=EVERYTHING&amp;vid=01CRU&amp;lang=en_US&amp;offset=0&amp;query=any,contains,991002692849702656","Catalog Record")</f>
        <v>Catalog Record</v>
      </c>
      <c r="AT66" s="6" t="str">
        <f>HYPERLINK("http://www.worldcat.org/oclc/402146","WorldCat Record")</f>
        <v>WorldCat Record</v>
      </c>
      <c r="AU66" s="3" t="s">
        <v>944</v>
      </c>
      <c r="AV66" s="3" t="s">
        <v>945</v>
      </c>
      <c r="AW66" s="3" t="s">
        <v>946</v>
      </c>
      <c r="AX66" s="3" t="s">
        <v>946</v>
      </c>
      <c r="AY66" s="3" t="s">
        <v>947</v>
      </c>
      <c r="AZ66" s="3" t="s">
        <v>74</v>
      </c>
      <c r="BB66" s="3" t="s">
        <v>948</v>
      </c>
      <c r="BC66" s="3" t="s">
        <v>949</v>
      </c>
      <c r="BD66" s="3" t="s">
        <v>950</v>
      </c>
    </row>
    <row r="67" spans="1:56" ht="57.75" customHeight="1" x14ac:dyDescent="0.25">
      <c r="A67" s="7" t="s">
        <v>58</v>
      </c>
      <c r="B67" s="2" t="s">
        <v>951</v>
      </c>
      <c r="C67" s="2" t="s">
        <v>952</v>
      </c>
      <c r="D67" s="2" t="s">
        <v>953</v>
      </c>
      <c r="F67" s="3" t="s">
        <v>58</v>
      </c>
      <c r="G67" s="3" t="s">
        <v>59</v>
      </c>
      <c r="H67" s="3" t="s">
        <v>58</v>
      </c>
      <c r="I67" s="3" t="s">
        <v>58</v>
      </c>
      <c r="J67" s="3" t="s">
        <v>60</v>
      </c>
      <c r="K67" s="2" t="s">
        <v>954</v>
      </c>
      <c r="L67" s="2" t="s">
        <v>955</v>
      </c>
      <c r="M67" s="3" t="s">
        <v>370</v>
      </c>
      <c r="O67" s="3" t="s">
        <v>64</v>
      </c>
      <c r="P67" s="3" t="s">
        <v>278</v>
      </c>
      <c r="R67" s="3" t="s">
        <v>66</v>
      </c>
      <c r="S67" s="4">
        <v>8</v>
      </c>
      <c r="T67" s="4">
        <v>8</v>
      </c>
      <c r="U67" s="5" t="s">
        <v>956</v>
      </c>
      <c r="V67" s="5" t="s">
        <v>956</v>
      </c>
      <c r="W67" s="5" t="s">
        <v>957</v>
      </c>
      <c r="X67" s="5" t="s">
        <v>957</v>
      </c>
      <c r="Y67" s="4">
        <v>867</v>
      </c>
      <c r="Z67" s="4">
        <v>828</v>
      </c>
      <c r="AA67" s="4">
        <v>828</v>
      </c>
      <c r="AB67" s="4">
        <v>8</v>
      </c>
      <c r="AC67" s="4">
        <v>8</v>
      </c>
      <c r="AD67" s="4">
        <v>26</v>
      </c>
      <c r="AE67" s="4">
        <v>26</v>
      </c>
      <c r="AF67" s="4">
        <v>11</v>
      </c>
      <c r="AG67" s="4">
        <v>11</v>
      </c>
      <c r="AH67" s="4">
        <v>3</v>
      </c>
      <c r="AI67" s="4">
        <v>3</v>
      </c>
      <c r="AJ67" s="4">
        <v>10</v>
      </c>
      <c r="AK67" s="4">
        <v>10</v>
      </c>
      <c r="AL67" s="4">
        <v>6</v>
      </c>
      <c r="AM67" s="4">
        <v>6</v>
      </c>
      <c r="AN67" s="4">
        <v>0</v>
      </c>
      <c r="AO67" s="4">
        <v>0</v>
      </c>
      <c r="AP67" s="3" t="s">
        <v>58</v>
      </c>
      <c r="AQ67" s="3" t="s">
        <v>58</v>
      </c>
      <c r="AS67" s="6" t="str">
        <f>HYPERLINK("https://creighton-primo.hosted.exlibrisgroup.com/primo-explore/search?tab=default_tab&amp;search_scope=EVERYTHING&amp;vid=01CRU&amp;lang=en_US&amp;offset=0&amp;query=any,contains,991000105159702656","Catalog Record")</f>
        <v>Catalog Record</v>
      </c>
      <c r="AT67" s="6" t="str">
        <f>HYPERLINK("http://www.worldcat.org/oclc/46068","WorldCat Record")</f>
        <v>WorldCat Record</v>
      </c>
      <c r="AU67" s="3" t="s">
        <v>958</v>
      </c>
      <c r="AV67" s="3" t="s">
        <v>959</v>
      </c>
      <c r="AW67" s="3" t="s">
        <v>960</v>
      </c>
      <c r="AX67" s="3" t="s">
        <v>960</v>
      </c>
      <c r="AY67" s="3" t="s">
        <v>961</v>
      </c>
      <c r="AZ67" s="3" t="s">
        <v>74</v>
      </c>
      <c r="BB67" s="3" t="s">
        <v>962</v>
      </c>
      <c r="BC67" s="3" t="s">
        <v>963</v>
      </c>
      <c r="BD67" s="3" t="s">
        <v>964</v>
      </c>
    </row>
    <row r="68" spans="1:56" ht="57.75" customHeight="1" x14ac:dyDescent="0.25">
      <c r="A68" s="7" t="s">
        <v>58</v>
      </c>
      <c r="B68" s="2" t="s">
        <v>965</v>
      </c>
      <c r="C68" s="2" t="s">
        <v>966</v>
      </c>
      <c r="D68" s="2" t="s">
        <v>967</v>
      </c>
      <c r="F68" s="3" t="s">
        <v>58</v>
      </c>
      <c r="G68" s="3" t="s">
        <v>59</v>
      </c>
      <c r="H68" s="3" t="s">
        <v>58</v>
      </c>
      <c r="I68" s="3" t="s">
        <v>58</v>
      </c>
      <c r="J68" s="3" t="s">
        <v>60</v>
      </c>
      <c r="K68" s="2" t="s">
        <v>968</v>
      </c>
      <c r="L68" s="2" t="s">
        <v>969</v>
      </c>
      <c r="M68" s="3" t="s">
        <v>98</v>
      </c>
      <c r="O68" s="3" t="s">
        <v>64</v>
      </c>
      <c r="P68" s="3" t="s">
        <v>65</v>
      </c>
      <c r="R68" s="3" t="s">
        <v>66</v>
      </c>
      <c r="S68" s="4">
        <v>3</v>
      </c>
      <c r="T68" s="4">
        <v>3</v>
      </c>
      <c r="U68" s="5" t="s">
        <v>918</v>
      </c>
      <c r="V68" s="5" t="s">
        <v>918</v>
      </c>
      <c r="W68" s="5" t="s">
        <v>126</v>
      </c>
      <c r="X68" s="5" t="s">
        <v>126</v>
      </c>
      <c r="Y68" s="4">
        <v>206</v>
      </c>
      <c r="Z68" s="4">
        <v>198</v>
      </c>
      <c r="AA68" s="4">
        <v>205</v>
      </c>
      <c r="AB68" s="4">
        <v>3</v>
      </c>
      <c r="AC68" s="4">
        <v>3</v>
      </c>
      <c r="AD68" s="4">
        <v>6</v>
      </c>
      <c r="AE68" s="4">
        <v>6</v>
      </c>
      <c r="AF68" s="4">
        <v>2</v>
      </c>
      <c r="AG68" s="4">
        <v>2</v>
      </c>
      <c r="AH68" s="4">
        <v>1</v>
      </c>
      <c r="AI68" s="4">
        <v>1</v>
      </c>
      <c r="AJ68" s="4">
        <v>2</v>
      </c>
      <c r="AK68" s="4">
        <v>2</v>
      </c>
      <c r="AL68" s="4">
        <v>2</v>
      </c>
      <c r="AM68" s="4">
        <v>2</v>
      </c>
      <c r="AN68" s="4">
        <v>0</v>
      </c>
      <c r="AO68" s="4">
        <v>0</v>
      </c>
      <c r="AP68" s="3" t="s">
        <v>58</v>
      </c>
      <c r="AQ68" s="3" t="s">
        <v>58</v>
      </c>
      <c r="AS68" s="6" t="str">
        <f>HYPERLINK("https://creighton-primo.hosted.exlibrisgroup.com/primo-explore/search?tab=default_tab&amp;search_scope=EVERYTHING&amp;vid=01CRU&amp;lang=en_US&amp;offset=0&amp;query=any,contains,991003868339702656","Catalog Record")</f>
        <v>Catalog Record</v>
      </c>
      <c r="AT68" s="6" t="str">
        <f>HYPERLINK("http://www.worldcat.org/oclc/1684614","WorldCat Record")</f>
        <v>WorldCat Record</v>
      </c>
      <c r="AU68" s="3" t="s">
        <v>970</v>
      </c>
      <c r="AV68" s="3" t="s">
        <v>971</v>
      </c>
      <c r="AW68" s="3" t="s">
        <v>972</v>
      </c>
      <c r="AX68" s="3" t="s">
        <v>972</v>
      </c>
      <c r="AY68" s="3" t="s">
        <v>973</v>
      </c>
      <c r="AZ68" s="3" t="s">
        <v>74</v>
      </c>
      <c r="BC68" s="3" t="s">
        <v>974</v>
      </c>
      <c r="BD68" s="3" t="s">
        <v>975</v>
      </c>
    </row>
    <row r="69" spans="1:56" ht="57.75" customHeight="1" x14ac:dyDescent="0.25">
      <c r="A69" s="7" t="s">
        <v>58</v>
      </c>
      <c r="B69" s="2" t="s">
        <v>976</v>
      </c>
      <c r="C69" s="2" t="s">
        <v>977</v>
      </c>
      <c r="D69" s="2" t="s">
        <v>978</v>
      </c>
      <c r="F69" s="3" t="s">
        <v>58</v>
      </c>
      <c r="G69" s="3" t="s">
        <v>59</v>
      </c>
      <c r="H69" s="3" t="s">
        <v>58</v>
      </c>
      <c r="I69" s="3" t="s">
        <v>58</v>
      </c>
      <c r="J69" s="3" t="s">
        <v>60</v>
      </c>
      <c r="K69" s="2" t="s">
        <v>979</v>
      </c>
      <c r="L69" s="2" t="s">
        <v>980</v>
      </c>
      <c r="M69" s="3" t="s">
        <v>577</v>
      </c>
      <c r="O69" s="3" t="s">
        <v>64</v>
      </c>
      <c r="P69" s="3" t="s">
        <v>65</v>
      </c>
      <c r="R69" s="3" t="s">
        <v>66</v>
      </c>
      <c r="S69" s="4">
        <v>4</v>
      </c>
      <c r="T69" s="4">
        <v>4</v>
      </c>
      <c r="U69" s="5" t="s">
        <v>607</v>
      </c>
      <c r="V69" s="5" t="s">
        <v>607</v>
      </c>
      <c r="W69" s="5" t="s">
        <v>750</v>
      </c>
      <c r="X69" s="5" t="s">
        <v>750</v>
      </c>
      <c r="Y69" s="4">
        <v>416</v>
      </c>
      <c r="Z69" s="4">
        <v>380</v>
      </c>
      <c r="AA69" s="4">
        <v>387</v>
      </c>
      <c r="AB69" s="4">
        <v>6</v>
      </c>
      <c r="AC69" s="4">
        <v>6</v>
      </c>
      <c r="AD69" s="4">
        <v>7</v>
      </c>
      <c r="AE69" s="4">
        <v>7</v>
      </c>
      <c r="AF69" s="4">
        <v>1</v>
      </c>
      <c r="AG69" s="4">
        <v>1</v>
      </c>
      <c r="AH69" s="4">
        <v>1</v>
      </c>
      <c r="AI69" s="4">
        <v>1</v>
      </c>
      <c r="AJ69" s="4">
        <v>1</v>
      </c>
      <c r="AK69" s="4">
        <v>1</v>
      </c>
      <c r="AL69" s="4">
        <v>4</v>
      </c>
      <c r="AM69" s="4">
        <v>4</v>
      </c>
      <c r="AN69" s="4">
        <v>0</v>
      </c>
      <c r="AO69" s="4">
        <v>0</v>
      </c>
      <c r="AP69" s="3" t="s">
        <v>58</v>
      </c>
      <c r="AQ69" s="3" t="s">
        <v>69</v>
      </c>
      <c r="AR69" s="6" t="str">
        <f>HYPERLINK("http://catalog.hathitrust.org/Record/000741836","HathiTrust Record")</f>
        <v>HathiTrust Record</v>
      </c>
      <c r="AS69" s="6" t="str">
        <f>HYPERLINK("https://creighton-primo.hosted.exlibrisgroup.com/primo-explore/search?tab=default_tab&amp;search_scope=EVERYTHING&amp;vid=01CRU&amp;lang=en_US&amp;offset=0&amp;query=any,contains,991004086919702656","Catalog Record")</f>
        <v>Catalog Record</v>
      </c>
      <c r="AT69" s="6" t="str">
        <f>HYPERLINK("http://www.worldcat.org/oclc/2332287","WorldCat Record")</f>
        <v>WorldCat Record</v>
      </c>
      <c r="AU69" s="3" t="s">
        <v>981</v>
      </c>
      <c r="AV69" s="3" t="s">
        <v>982</v>
      </c>
      <c r="AW69" s="3" t="s">
        <v>983</v>
      </c>
      <c r="AX69" s="3" t="s">
        <v>983</v>
      </c>
      <c r="AY69" s="3" t="s">
        <v>984</v>
      </c>
      <c r="AZ69" s="3" t="s">
        <v>74</v>
      </c>
      <c r="BB69" s="3" t="s">
        <v>985</v>
      </c>
      <c r="BC69" s="3" t="s">
        <v>986</v>
      </c>
      <c r="BD69" s="3" t="s">
        <v>987</v>
      </c>
    </row>
    <row r="70" spans="1:56" ht="57.75" customHeight="1" x14ac:dyDescent="0.25">
      <c r="A70" s="7" t="s">
        <v>58</v>
      </c>
      <c r="B70" s="2" t="s">
        <v>988</v>
      </c>
      <c r="C70" s="2" t="s">
        <v>989</v>
      </c>
      <c r="D70" s="2" t="s">
        <v>990</v>
      </c>
      <c r="F70" s="3" t="s">
        <v>58</v>
      </c>
      <c r="G70" s="3" t="s">
        <v>59</v>
      </c>
      <c r="H70" s="3" t="s">
        <v>58</v>
      </c>
      <c r="I70" s="3" t="s">
        <v>58</v>
      </c>
      <c r="J70" s="3" t="s">
        <v>60</v>
      </c>
      <c r="K70" s="2" t="s">
        <v>991</v>
      </c>
      <c r="L70" s="2" t="s">
        <v>992</v>
      </c>
      <c r="M70" s="3" t="s">
        <v>564</v>
      </c>
      <c r="O70" s="3" t="s">
        <v>64</v>
      </c>
      <c r="P70" s="3" t="s">
        <v>65</v>
      </c>
      <c r="Q70" s="2" t="s">
        <v>993</v>
      </c>
      <c r="R70" s="3" t="s">
        <v>66</v>
      </c>
      <c r="S70" s="4">
        <v>2</v>
      </c>
      <c r="T70" s="4">
        <v>2</v>
      </c>
      <c r="U70" s="5" t="s">
        <v>994</v>
      </c>
      <c r="V70" s="5" t="s">
        <v>994</v>
      </c>
      <c r="W70" s="5" t="s">
        <v>126</v>
      </c>
      <c r="X70" s="5" t="s">
        <v>126</v>
      </c>
      <c r="Y70" s="4">
        <v>629</v>
      </c>
      <c r="Z70" s="4">
        <v>576</v>
      </c>
      <c r="AA70" s="4">
        <v>620</v>
      </c>
      <c r="AB70" s="4">
        <v>7</v>
      </c>
      <c r="AC70" s="4">
        <v>7</v>
      </c>
      <c r="AD70" s="4">
        <v>16</v>
      </c>
      <c r="AE70" s="4">
        <v>16</v>
      </c>
      <c r="AF70" s="4">
        <v>7</v>
      </c>
      <c r="AG70" s="4">
        <v>7</v>
      </c>
      <c r="AH70" s="4">
        <v>2</v>
      </c>
      <c r="AI70" s="4">
        <v>2</v>
      </c>
      <c r="AJ70" s="4">
        <v>9</v>
      </c>
      <c r="AK70" s="4">
        <v>9</v>
      </c>
      <c r="AL70" s="4">
        <v>4</v>
      </c>
      <c r="AM70" s="4">
        <v>4</v>
      </c>
      <c r="AN70" s="4">
        <v>0</v>
      </c>
      <c r="AO70" s="4">
        <v>0</v>
      </c>
      <c r="AP70" s="3" t="s">
        <v>58</v>
      </c>
      <c r="AQ70" s="3" t="s">
        <v>69</v>
      </c>
      <c r="AR70" s="6" t="str">
        <f>HYPERLINK("http://catalog.hathitrust.org/Record/001469962","HathiTrust Record")</f>
        <v>HathiTrust Record</v>
      </c>
      <c r="AS70" s="6" t="str">
        <f>HYPERLINK("https://creighton-primo.hosted.exlibrisgroup.com/primo-explore/search?tab=default_tab&amp;search_scope=EVERYTHING&amp;vid=01CRU&amp;lang=en_US&amp;offset=0&amp;query=any,contains,991001892119702656","Catalog Record")</f>
        <v>Catalog Record</v>
      </c>
      <c r="AT70" s="6" t="str">
        <f>HYPERLINK("http://www.worldcat.org/oclc/238796","WorldCat Record")</f>
        <v>WorldCat Record</v>
      </c>
      <c r="AU70" s="3" t="s">
        <v>995</v>
      </c>
      <c r="AV70" s="3" t="s">
        <v>996</v>
      </c>
      <c r="AW70" s="3" t="s">
        <v>997</v>
      </c>
      <c r="AX70" s="3" t="s">
        <v>997</v>
      </c>
      <c r="AY70" s="3" t="s">
        <v>998</v>
      </c>
      <c r="AZ70" s="3" t="s">
        <v>74</v>
      </c>
      <c r="BB70" s="3" t="s">
        <v>999</v>
      </c>
      <c r="BC70" s="3" t="s">
        <v>1000</v>
      </c>
      <c r="BD70" s="3" t="s">
        <v>1001</v>
      </c>
    </row>
    <row r="71" spans="1:56" ht="57.75" customHeight="1" x14ac:dyDescent="0.25">
      <c r="A71" s="7" t="s">
        <v>58</v>
      </c>
      <c r="B71" s="2" t="s">
        <v>1002</v>
      </c>
      <c r="C71" s="2" t="s">
        <v>1003</v>
      </c>
      <c r="D71" s="2" t="s">
        <v>1004</v>
      </c>
      <c r="F71" s="3" t="s">
        <v>58</v>
      </c>
      <c r="G71" s="3" t="s">
        <v>59</v>
      </c>
      <c r="H71" s="3" t="s">
        <v>58</v>
      </c>
      <c r="I71" s="3" t="s">
        <v>58</v>
      </c>
      <c r="J71" s="3" t="s">
        <v>60</v>
      </c>
      <c r="K71" s="2" t="s">
        <v>1005</v>
      </c>
      <c r="L71" s="2" t="s">
        <v>1006</v>
      </c>
      <c r="M71" s="3" t="s">
        <v>605</v>
      </c>
      <c r="O71" s="3" t="s">
        <v>64</v>
      </c>
      <c r="P71" s="3" t="s">
        <v>65</v>
      </c>
      <c r="R71" s="3" t="s">
        <v>66</v>
      </c>
      <c r="S71" s="4">
        <v>8</v>
      </c>
      <c r="T71" s="4">
        <v>8</v>
      </c>
      <c r="U71" s="5" t="s">
        <v>607</v>
      </c>
      <c r="V71" s="5" t="s">
        <v>607</v>
      </c>
      <c r="W71" s="5" t="s">
        <v>1007</v>
      </c>
      <c r="X71" s="5" t="s">
        <v>1007</v>
      </c>
      <c r="Y71" s="4">
        <v>641</v>
      </c>
      <c r="Z71" s="4">
        <v>538</v>
      </c>
      <c r="AA71" s="4">
        <v>553</v>
      </c>
      <c r="AB71" s="4">
        <v>5</v>
      </c>
      <c r="AC71" s="4">
        <v>5</v>
      </c>
      <c r="AD71" s="4">
        <v>3</v>
      </c>
      <c r="AE71" s="4">
        <v>3</v>
      </c>
      <c r="AF71" s="4">
        <v>1</v>
      </c>
      <c r="AG71" s="4">
        <v>1</v>
      </c>
      <c r="AH71" s="4">
        <v>0</v>
      </c>
      <c r="AI71" s="4">
        <v>0</v>
      </c>
      <c r="AJ71" s="4">
        <v>1</v>
      </c>
      <c r="AK71" s="4">
        <v>1</v>
      </c>
      <c r="AL71" s="4">
        <v>2</v>
      </c>
      <c r="AM71" s="4">
        <v>2</v>
      </c>
      <c r="AN71" s="4">
        <v>0</v>
      </c>
      <c r="AO71" s="4">
        <v>0</v>
      </c>
      <c r="AP71" s="3" t="s">
        <v>58</v>
      </c>
      <c r="AQ71" s="3" t="s">
        <v>58</v>
      </c>
      <c r="AS71" s="6" t="str">
        <f>HYPERLINK("https://creighton-primo.hosted.exlibrisgroup.com/primo-explore/search?tab=default_tab&amp;search_scope=EVERYTHING&amp;vid=01CRU&amp;lang=en_US&amp;offset=0&amp;query=any,contains,991003797379702656","Catalog Record")</f>
        <v>Catalog Record</v>
      </c>
      <c r="AT71" s="6" t="str">
        <f>HYPERLINK("http://www.worldcat.org/oclc/44267776","WorldCat Record")</f>
        <v>WorldCat Record</v>
      </c>
      <c r="AU71" s="3" t="s">
        <v>1008</v>
      </c>
      <c r="AV71" s="3" t="s">
        <v>1009</v>
      </c>
      <c r="AW71" s="3" t="s">
        <v>1010</v>
      </c>
      <c r="AX71" s="3" t="s">
        <v>1010</v>
      </c>
      <c r="AY71" s="3" t="s">
        <v>1011</v>
      </c>
      <c r="AZ71" s="3" t="s">
        <v>74</v>
      </c>
      <c r="BB71" s="3" t="s">
        <v>1012</v>
      </c>
      <c r="BC71" s="3" t="s">
        <v>1013</v>
      </c>
      <c r="BD71" s="3" t="s">
        <v>1014</v>
      </c>
    </row>
    <row r="72" spans="1:56" ht="57.75" customHeight="1" x14ac:dyDescent="0.25">
      <c r="A72" s="7" t="s">
        <v>58</v>
      </c>
      <c r="B72" s="2" t="s">
        <v>1015</v>
      </c>
      <c r="C72" s="2" t="s">
        <v>1016</v>
      </c>
      <c r="D72" s="2" t="s">
        <v>1017</v>
      </c>
      <c r="F72" s="3" t="s">
        <v>58</v>
      </c>
      <c r="G72" s="3" t="s">
        <v>59</v>
      </c>
      <c r="H72" s="3" t="s">
        <v>58</v>
      </c>
      <c r="I72" s="3" t="s">
        <v>58</v>
      </c>
      <c r="J72" s="3" t="s">
        <v>60</v>
      </c>
      <c r="K72" s="2" t="s">
        <v>1018</v>
      </c>
      <c r="L72" s="2" t="s">
        <v>1019</v>
      </c>
      <c r="M72" s="3" t="s">
        <v>1020</v>
      </c>
      <c r="O72" s="3" t="s">
        <v>64</v>
      </c>
      <c r="P72" s="3" t="s">
        <v>412</v>
      </c>
      <c r="R72" s="3" t="s">
        <v>66</v>
      </c>
      <c r="S72" s="4">
        <v>2</v>
      </c>
      <c r="T72" s="4">
        <v>2</v>
      </c>
      <c r="U72" s="5" t="s">
        <v>1021</v>
      </c>
      <c r="V72" s="5" t="s">
        <v>1021</v>
      </c>
      <c r="W72" s="5" t="s">
        <v>126</v>
      </c>
      <c r="X72" s="5" t="s">
        <v>126</v>
      </c>
      <c r="Y72" s="4">
        <v>109</v>
      </c>
      <c r="Z72" s="4">
        <v>88</v>
      </c>
      <c r="AA72" s="4">
        <v>156</v>
      </c>
      <c r="AB72" s="4">
        <v>1</v>
      </c>
      <c r="AC72" s="4">
        <v>2</v>
      </c>
      <c r="AD72" s="4">
        <v>2</v>
      </c>
      <c r="AE72" s="4">
        <v>4</v>
      </c>
      <c r="AF72" s="4">
        <v>1</v>
      </c>
      <c r="AG72" s="4">
        <v>2</v>
      </c>
      <c r="AH72" s="4">
        <v>0</v>
      </c>
      <c r="AI72" s="4">
        <v>0</v>
      </c>
      <c r="AJ72" s="4">
        <v>1</v>
      </c>
      <c r="AK72" s="4">
        <v>1</v>
      </c>
      <c r="AL72" s="4">
        <v>0</v>
      </c>
      <c r="AM72" s="4">
        <v>1</v>
      </c>
      <c r="AN72" s="4">
        <v>0</v>
      </c>
      <c r="AO72" s="4">
        <v>0</v>
      </c>
      <c r="AP72" s="3" t="s">
        <v>58</v>
      </c>
      <c r="AQ72" s="3" t="s">
        <v>69</v>
      </c>
      <c r="AR72" s="6" t="str">
        <f>HYPERLINK("http://catalog.hathitrust.org/Record/005834528","HathiTrust Record")</f>
        <v>HathiTrust Record</v>
      </c>
      <c r="AS72" s="6" t="str">
        <f>HYPERLINK("https://creighton-primo.hosted.exlibrisgroup.com/primo-explore/search?tab=default_tab&amp;search_scope=EVERYTHING&amp;vid=01CRU&amp;lang=en_US&amp;offset=0&amp;query=any,contains,991004450029702656","Catalog Record")</f>
        <v>Catalog Record</v>
      </c>
      <c r="AT72" s="6" t="str">
        <f>HYPERLINK("http://www.worldcat.org/oclc/3505599","WorldCat Record")</f>
        <v>WorldCat Record</v>
      </c>
      <c r="AU72" s="3" t="s">
        <v>1022</v>
      </c>
      <c r="AV72" s="3" t="s">
        <v>1023</v>
      </c>
      <c r="AW72" s="3" t="s">
        <v>1024</v>
      </c>
      <c r="AX72" s="3" t="s">
        <v>1024</v>
      </c>
      <c r="AY72" s="3" t="s">
        <v>1025</v>
      </c>
      <c r="AZ72" s="3" t="s">
        <v>74</v>
      </c>
      <c r="BC72" s="3" t="s">
        <v>1026</v>
      </c>
      <c r="BD72" s="3" t="s">
        <v>1027</v>
      </c>
    </row>
    <row r="73" spans="1:56" ht="57.75" customHeight="1" x14ac:dyDescent="0.25">
      <c r="A73" s="7" t="s">
        <v>58</v>
      </c>
      <c r="B73" s="2" t="s">
        <v>1028</v>
      </c>
      <c r="C73" s="2" t="s">
        <v>1029</v>
      </c>
      <c r="D73" s="2" t="s">
        <v>1030</v>
      </c>
      <c r="F73" s="3" t="s">
        <v>58</v>
      </c>
      <c r="G73" s="3" t="s">
        <v>59</v>
      </c>
      <c r="H73" s="3" t="s">
        <v>58</v>
      </c>
      <c r="I73" s="3" t="s">
        <v>58</v>
      </c>
      <c r="J73" s="3" t="s">
        <v>60</v>
      </c>
      <c r="K73" s="2" t="s">
        <v>1031</v>
      </c>
      <c r="L73" s="2" t="s">
        <v>1032</v>
      </c>
      <c r="M73" s="3" t="s">
        <v>763</v>
      </c>
      <c r="N73" s="2" t="s">
        <v>1033</v>
      </c>
      <c r="O73" s="3" t="s">
        <v>64</v>
      </c>
      <c r="P73" s="3" t="s">
        <v>65</v>
      </c>
      <c r="R73" s="3" t="s">
        <v>66</v>
      </c>
      <c r="S73" s="4">
        <v>13</v>
      </c>
      <c r="T73" s="4">
        <v>13</v>
      </c>
      <c r="U73" s="5" t="s">
        <v>1034</v>
      </c>
      <c r="V73" s="5" t="s">
        <v>1034</v>
      </c>
      <c r="W73" s="5" t="s">
        <v>1035</v>
      </c>
      <c r="X73" s="5" t="s">
        <v>1035</v>
      </c>
      <c r="Y73" s="4">
        <v>1248</v>
      </c>
      <c r="Z73" s="4">
        <v>1095</v>
      </c>
      <c r="AA73" s="4">
        <v>1149</v>
      </c>
      <c r="AB73" s="4">
        <v>7</v>
      </c>
      <c r="AC73" s="4">
        <v>7</v>
      </c>
      <c r="AD73" s="4">
        <v>26</v>
      </c>
      <c r="AE73" s="4">
        <v>26</v>
      </c>
      <c r="AF73" s="4">
        <v>10</v>
      </c>
      <c r="AG73" s="4">
        <v>10</v>
      </c>
      <c r="AH73" s="4">
        <v>3</v>
      </c>
      <c r="AI73" s="4">
        <v>3</v>
      </c>
      <c r="AJ73" s="4">
        <v>12</v>
      </c>
      <c r="AK73" s="4">
        <v>12</v>
      </c>
      <c r="AL73" s="4">
        <v>6</v>
      </c>
      <c r="AM73" s="4">
        <v>6</v>
      </c>
      <c r="AN73" s="4">
        <v>0</v>
      </c>
      <c r="AO73" s="4">
        <v>0</v>
      </c>
      <c r="AP73" s="3" t="s">
        <v>58</v>
      </c>
      <c r="AQ73" s="3" t="s">
        <v>69</v>
      </c>
      <c r="AR73" s="6" t="str">
        <f>HYPERLINK("http://catalog.hathitrust.org/Record/008544521","HathiTrust Record")</f>
        <v>HathiTrust Record</v>
      </c>
      <c r="AS73" s="6" t="str">
        <f>HYPERLINK("https://creighton-primo.hosted.exlibrisgroup.com/primo-explore/search?tab=default_tab&amp;search_scope=EVERYTHING&amp;vid=01CRU&amp;lang=en_US&amp;offset=0&amp;query=any,contains,991001512519702656","Catalog Record")</f>
        <v>Catalog Record</v>
      </c>
      <c r="AT73" s="6" t="str">
        <f>HYPERLINK("http://www.worldcat.org/oclc/19920115","WorldCat Record")</f>
        <v>WorldCat Record</v>
      </c>
      <c r="AU73" s="3" t="s">
        <v>1036</v>
      </c>
      <c r="AV73" s="3" t="s">
        <v>1037</v>
      </c>
      <c r="AW73" s="3" t="s">
        <v>1038</v>
      </c>
      <c r="AX73" s="3" t="s">
        <v>1038</v>
      </c>
      <c r="AY73" s="3" t="s">
        <v>1039</v>
      </c>
      <c r="AZ73" s="3" t="s">
        <v>74</v>
      </c>
      <c r="BB73" s="3" t="s">
        <v>1040</v>
      </c>
      <c r="BC73" s="3" t="s">
        <v>1041</v>
      </c>
      <c r="BD73" s="3" t="s">
        <v>1042</v>
      </c>
    </row>
    <row r="74" spans="1:56" ht="57.75" customHeight="1" x14ac:dyDescent="0.25">
      <c r="A74" s="7" t="s">
        <v>58</v>
      </c>
      <c r="B74" s="2" t="s">
        <v>1043</v>
      </c>
      <c r="C74" s="2" t="s">
        <v>1044</v>
      </c>
      <c r="D74" s="2" t="s">
        <v>1045</v>
      </c>
      <c r="F74" s="3" t="s">
        <v>58</v>
      </c>
      <c r="G74" s="3" t="s">
        <v>59</v>
      </c>
      <c r="H74" s="3" t="s">
        <v>58</v>
      </c>
      <c r="I74" s="3" t="s">
        <v>58</v>
      </c>
      <c r="J74" s="3" t="s">
        <v>60</v>
      </c>
      <c r="K74" s="2" t="s">
        <v>1046</v>
      </c>
      <c r="L74" s="2" t="s">
        <v>1047</v>
      </c>
      <c r="M74" s="3" t="s">
        <v>496</v>
      </c>
      <c r="O74" s="3" t="s">
        <v>64</v>
      </c>
      <c r="P74" s="3" t="s">
        <v>65</v>
      </c>
      <c r="R74" s="3" t="s">
        <v>66</v>
      </c>
      <c r="S74" s="4">
        <v>8</v>
      </c>
      <c r="T74" s="4">
        <v>8</v>
      </c>
      <c r="U74" s="5" t="s">
        <v>1048</v>
      </c>
      <c r="V74" s="5" t="s">
        <v>1048</v>
      </c>
      <c r="W74" s="5" t="s">
        <v>693</v>
      </c>
      <c r="X74" s="5" t="s">
        <v>693</v>
      </c>
      <c r="Y74" s="4">
        <v>1290</v>
      </c>
      <c r="Z74" s="4">
        <v>1092</v>
      </c>
      <c r="AA74" s="4">
        <v>1128</v>
      </c>
      <c r="AB74" s="4">
        <v>7</v>
      </c>
      <c r="AC74" s="4">
        <v>7</v>
      </c>
      <c r="AD74" s="4">
        <v>35</v>
      </c>
      <c r="AE74" s="4">
        <v>35</v>
      </c>
      <c r="AF74" s="4">
        <v>15</v>
      </c>
      <c r="AG74" s="4">
        <v>15</v>
      </c>
      <c r="AH74" s="4">
        <v>7</v>
      </c>
      <c r="AI74" s="4">
        <v>7</v>
      </c>
      <c r="AJ74" s="4">
        <v>17</v>
      </c>
      <c r="AK74" s="4">
        <v>17</v>
      </c>
      <c r="AL74" s="4">
        <v>5</v>
      </c>
      <c r="AM74" s="4">
        <v>5</v>
      </c>
      <c r="AN74" s="4">
        <v>0</v>
      </c>
      <c r="AO74" s="4">
        <v>0</v>
      </c>
      <c r="AP74" s="3" t="s">
        <v>58</v>
      </c>
      <c r="AQ74" s="3" t="s">
        <v>69</v>
      </c>
      <c r="AR74" s="6" t="str">
        <f>HYPERLINK("http://catalog.hathitrust.org/Record/000736995","HathiTrust Record")</f>
        <v>HathiTrust Record</v>
      </c>
      <c r="AS74" s="6" t="str">
        <f>HYPERLINK("https://creighton-primo.hosted.exlibrisgroup.com/primo-explore/search?tab=default_tab&amp;search_scope=EVERYTHING&amp;vid=01CRU&amp;lang=en_US&amp;offset=0&amp;query=any,contains,991004190959702656","Catalog Record")</f>
        <v>Catalog Record</v>
      </c>
      <c r="AT74" s="6" t="str">
        <f>HYPERLINK("http://www.worldcat.org/oclc/2632818","WorldCat Record")</f>
        <v>WorldCat Record</v>
      </c>
      <c r="AU74" s="3" t="s">
        <v>1049</v>
      </c>
      <c r="AV74" s="3" t="s">
        <v>1050</v>
      </c>
      <c r="AW74" s="3" t="s">
        <v>1051</v>
      </c>
      <c r="AX74" s="3" t="s">
        <v>1051</v>
      </c>
      <c r="AY74" s="3" t="s">
        <v>1052</v>
      </c>
      <c r="AZ74" s="3" t="s">
        <v>74</v>
      </c>
      <c r="BB74" s="3" t="s">
        <v>1053</v>
      </c>
      <c r="BC74" s="3" t="s">
        <v>1054</v>
      </c>
      <c r="BD74" s="3" t="s">
        <v>1055</v>
      </c>
    </row>
    <row r="75" spans="1:56" ht="57.75" customHeight="1" x14ac:dyDescent="0.25">
      <c r="A75" s="7" t="s">
        <v>58</v>
      </c>
      <c r="B75" s="2" t="s">
        <v>1056</v>
      </c>
      <c r="C75" s="2" t="s">
        <v>1057</v>
      </c>
      <c r="D75" s="2" t="s">
        <v>1058</v>
      </c>
      <c r="F75" s="3" t="s">
        <v>58</v>
      </c>
      <c r="G75" s="3" t="s">
        <v>59</v>
      </c>
      <c r="H75" s="3" t="s">
        <v>58</v>
      </c>
      <c r="I75" s="3" t="s">
        <v>58</v>
      </c>
      <c r="J75" s="3" t="s">
        <v>60</v>
      </c>
      <c r="K75" s="2" t="s">
        <v>1059</v>
      </c>
      <c r="L75" s="2" t="s">
        <v>1060</v>
      </c>
      <c r="M75" s="3" t="s">
        <v>1061</v>
      </c>
      <c r="O75" s="3" t="s">
        <v>64</v>
      </c>
      <c r="P75" s="3" t="s">
        <v>65</v>
      </c>
      <c r="Q75" s="2" t="s">
        <v>1062</v>
      </c>
      <c r="R75" s="3" t="s">
        <v>66</v>
      </c>
      <c r="S75" s="4">
        <v>3</v>
      </c>
      <c r="T75" s="4">
        <v>3</v>
      </c>
      <c r="U75" s="5" t="s">
        <v>1063</v>
      </c>
      <c r="V75" s="5" t="s">
        <v>1063</v>
      </c>
      <c r="W75" s="5" t="s">
        <v>1064</v>
      </c>
      <c r="X75" s="5" t="s">
        <v>1064</v>
      </c>
      <c r="Y75" s="4">
        <v>380</v>
      </c>
      <c r="Z75" s="4">
        <v>342</v>
      </c>
      <c r="AA75" s="4">
        <v>364</v>
      </c>
      <c r="AB75" s="4">
        <v>3</v>
      </c>
      <c r="AC75" s="4">
        <v>3</v>
      </c>
      <c r="AD75" s="4">
        <v>6</v>
      </c>
      <c r="AE75" s="4">
        <v>7</v>
      </c>
      <c r="AF75" s="4">
        <v>3</v>
      </c>
      <c r="AG75" s="4">
        <v>4</v>
      </c>
      <c r="AH75" s="4">
        <v>1</v>
      </c>
      <c r="AI75" s="4">
        <v>1</v>
      </c>
      <c r="AJ75" s="4">
        <v>3</v>
      </c>
      <c r="AK75" s="4">
        <v>3</v>
      </c>
      <c r="AL75" s="4">
        <v>1</v>
      </c>
      <c r="AM75" s="4">
        <v>1</v>
      </c>
      <c r="AN75" s="4">
        <v>0</v>
      </c>
      <c r="AO75" s="4">
        <v>0</v>
      </c>
      <c r="AP75" s="3" t="s">
        <v>58</v>
      </c>
      <c r="AQ75" s="3" t="s">
        <v>58</v>
      </c>
      <c r="AS75" s="6" t="str">
        <f>HYPERLINK("https://creighton-primo.hosted.exlibrisgroup.com/primo-explore/search?tab=default_tab&amp;search_scope=EVERYTHING&amp;vid=01CRU&amp;lang=en_US&amp;offset=0&amp;query=any,contains,991004141599702656","Catalog Record")</f>
        <v>Catalog Record</v>
      </c>
      <c r="AT75" s="6" t="str">
        <f>HYPERLINK("http://www.worldcat.org/oclc/52426409","WorldCat Record")</f>
        <v>WorldCat Record</v>
      </c>
      <c r="AU75" s="3" t="s">
        <v>1065</v>
      </c>
      <c r="AV75" s="3" t="s">
        <v>1066</v>
      </c>
      <c r="AW75" s="3" t="s">
        <v>1067</v>
      </c>
      <c r="AX75" s="3" t="s">
        <v>1067</v>
      </c>
      <c r="AY75" s="3" t="s">
        <v>1068</v>
      </c>
      <c r="AZ75" s="3" t="s">
        <v>74</v>
      </c>
      <c r="BB75" s="3" t="s">
        <v>1069</v>
      </c>
      <c r="BC75" s="3" t="s">
        <v>1070</v>
      </c>
      <c r="BD75" s="3" t="s">
        <v>1071</v>
      </c>
    </row>
    <row r="76" spans="1:56" ht="57.75" customHeight="1" x14ac:dyDescent="0.25">
      <c r="A76" s="7" t="s">
        <v>58</v>
      </c>
      <c r="B76" s="2" t="s">
        <v>1072</v>
      </c>
      <c r="C76" s="2" t="s">
        <v>1073</v>
      </c>
      <c r="D76" s="2" t="s">
        <v>1074</v>
      </c>
      <c r="F76" s="3" t="s">
        <v>58</v>
      </c>
      <c r="G76" s="3" t="s">
        <v>59</v>
      </c>
      <c r="H76" s="3" t="s">
        <v>58</v>
      </c>
      <c r="I76" s="3" t="s">
        <v>58</v>
      </c>
      <c r="J76" s="3" t="s">
        <v>60</v>
      </c>
      <c r="K76" s="2" t="s">
        <v>1075</v>
      </c>
      <c r="L76" s="2" t="s">
        <v>1076</v>
      </c>
      <c r="M76" s="3" t="s">
        <v>747</v>
      </c>
      <c r="N76" s="2" t="s">
        <v>1077</v>
      </c>
      <c r="O76" s="3" t="s">
        <v>64</v>
      </c>
      <c r="P76" s="3" t="s">
        <v>65</v>
      </c>
      <c r="R76" s="3" t="s">
        <v>66</v>
      </c>
      <c r="S76" s="4">
        <v>3</v>
      </c>
      <c r="T76" s="4">
        <v>3</v>
      </c>
      <c r="U76" s="5" t="s">
        <v>904</v>
      </c>
      <c r="V76" s="5" t="s">
        <v>904</v>
      </c>
      <c r="W76" s="5" t="s">
        <v>1078</v>
      </c>
      <c r="X76" s="5" t="s">
        <v>1078</v>
      </c>
      <c r="Y76" s="4">
        <v>521</v>
      </c>
      <c r="Z76" s="4">
        <v>464</v>
      </c>
      <c r="AA76" s="4">
        <v>482</v>
      </c>
      <c r="AB76" s="4">
        <v>4</v>
      </c>
      <c r="AC76" s="4">
        <v>5</v>
      </c>
      <c r="AD76" s="4">
        <v>15</v>
      </c>
      <c r="AE76" s="4">
        <v>16</v>
      </c>
      <c r="AF76" s="4">
        <v>5</v>
      </c>
      <c r="AG76" s="4">
        <v>5</v>
      </c>
      <c r="AH76" s="4">
        <v>4</v>
      </c>
      <c r="AI76" s="4">
        <v>4</v>
      </c>
      <c r="AJ76" s="4">
        <v>7</v>
      </c>
      <c r="AK76" s="4">
        <v>7</v>
      </c>
      <c r="AL76" s="4">
        <v>2</v>
      </c>
      <c r="AM76" s="4">
        <v>3</v>
      </c>
      <c r="AN76" s="4">
        <v>0</v>
      </c>
      <c r="AO76" s="4">
        <v>0</v>
      </c>
      <c r="AP76" s="3" t="s">
        <v>58</v>
      </c>
      <c r="AQ76" s="3" t="s">
        <v>58</v>
      </c>
      <c r="AS76" s="6" t="str">
        <f>HYPERLINK("https://creighton-primo.hosted.exlibrisgroup.com/primo-explore/search?tab=default_tab&amp;search_scope=EVERYTHING&amp;vid=01CRU&amp;lang=en_US&amp;offset=0&amp;query=any,contains,991003715389702656","Catalog Record")</f>
        <v>Catalog Record</v>
      </c>
      <c r="AT76" s="6" t="str">
        <f>HYPERLINK("http://www.worldcat.org/oclc/1359633","WorldCat Record")</f>
        <v>WorldCat Record</v>
      </c>
      <c r="AU76" s="3" t="s">
        <v>1079</v>
      </c>
      <c r="AV76" s="3" t="s">
        <v>1080</v>
      </c>
      <c r="AW76" s="3" t="s">
        <v>1081</v>
      </c>
      <c r="AX76" s="3" t="s">
        <v>1081</v>
      </c>
      <c r="AY76" s="3" t="s">
        <v>1082</v>
      </c>
      <c r="AZ76" s="3" t="s">
        <v>74</v>
      </c>
      <c r="BB76" s="3" t="s">
        <v>1083</v>
      </c>
      <c r="BC76" s="3" t="s">
        <v>1084</v>
      </c>
      <c r="BD76" s="3" t="s">
        <v>1085</v>
      </c>
    </row>
    <row r="77" spans="1:56" ht="57.75" customHeight="1" x14ac:dyDescent="0.25">
      <c r="A77" s="7" t="s">
        <v>58</v>
      </c>
      <c r="B77" s="2" t="s">
        <v>1086</v>
      </c>
      <c r="C77" s="2" t="s">
        <v>1087</v>
      </c>
      <c r="D77" s="2" t="s">
        <v>1088</v>
      </c>
      <c r="F77" s="3" t="s">
        <v>58</v>
      </c>
      <c r="G77" s="3" t="s">
        <v>59</v>
      </c>
      <c r="H77" s="3" t="s">
        <v>58</v>
      </c>
      <c r="I77" s="3" t="s">
        <v>58</v>
      </c>
      <c r="J77" s="3" t="s">
        <v>60</v>
      </c>
      <c r="K77" s="2" t="s">
        <v>1089</v>
      </c>
      <c r="L77" s="2" t="s">
        <v>1090</v>
      </c>
      <c r="M77" s="3" t="s">
        <v>1091</v>
      </c>
      <c r="O77" s="3" t="s">
        <v>64</v>
      </c>
      <c r="P77" s="3" t="s">
        <v>1092</v>
      </c>
      <c r="R77" s="3" t="s">
        <v>1093</v>
      </c>
      <c r="S77" s="4">
        <v>2</v>
      </c>
      <c r="T77" s="4">
        <v>2</v>
      </c>
      <c r="U77" s="5" t="s">
        <v>1094</v>
      </c>
      <c r="V77" s="5" t="s">
        <v>1094</v>
      </c>
      <c r="W77" s="5" t="s">
        <v>1094</v>
      </c>
      <c r="X77" s="5" t="s">
        <v>1094</v>
      </c>
      <c r="Y77" s="4">
        <v>34</v>
      </c>
      <c r="Z77" s="4">
        <v>29</v>
      </c>
      <c r="AA77" s="4">
        <v>30</v>
      </c>
      <c r="AB77" s="4">
        <v>2</v>
      </c>
      <c r="AC77" s="4">
        <v>2</v>
      </c>
      <c r="AD77" s="4">
        <v>1</v>
      </c>
      <c r="AE77" s="4">
        <v>1</v>
      </c>
      <c r="AF77" s="4">
        <v>0</v>
      </c>
      <c r="AG77" s="4">
        <v>0</v>
      </c>
      <c r="AH77" s="4">
        <v>1</v>
      </c>
      <c r="AI77" s="4">
        <v>1</v>
      </c>
      <c r="AJ77" s="4">
        <v>0</v>
      </c>
      <c r="AK77" s="4">
        <v>0</v>
      </c>
      <c r="AL77" s="4">
        <v>0</v>
      </c>
      <c r="AM77" s="4">
        <v>0</v>
      </c>
      <c r="AN77" s="4">
        <v>0</v>
      </c>
      <c r="AO77" s="4">
        <v>0</v>
      </c>
      <c r="AP77" s="3" t="s">
        <v>58</v>
      </c>
      <c r="AQ77" s="3" t="s">
        <v>58</v>
      </c>
      <c r="AS77" s="6" t="str">
        <f>HYPERLINK("https://creighton-primo.hosted.exlibrisgroup.com/primo-explore/search?tab=default_tab&amp;search_scope=EVERYTHING&amp;vid=01CRU&amp;lang=en_US&amp;offset=0&amp;query=any,contains,991005232489702656","Catalog Record")</f>
        <v>Catalog Record</v>
      </c>
      <c r="AT77" s="6" t="str">
        <f>HYPERLINK("http://www.worldcat.org/oclc/191847038","WorldCat Record")</f>
        <v>WorldCat Record</v>
      </c>
      <c r="AU77" s="3" t="s">
        <v>1095</v>
      </c>
      <c r="AV77" s="3" t="s">
        <v>1096</v>
      </c>
      <c r="AW77" s="3" t="s">
        <v>1097</v>
      </c>
      <c r="AX77" s="3" t="s">
        <v>1097</v>
      </c>
      <c r="AY77" s="3" t="s">
        <v>1098</v>
      </c>
      <c r="AZ77" s="3" t="s">
        <v>74</v>
      </c>
      <c r="BB77" s="3" t="s">
        <v>1099</v>
      </c>
      <c r="BC77" s="3" t="s">
        <v>1100</v>
      </c>
      <c r="BD77" s="3" t="s">
        <v>1101</v>
      </c>
    </row>
    <row r="78" spans="1:56" ht="57.75" customHeight="1" x14ac:dyDescent="0.25">
      <c r="A78" s="7" t="s">
        <v>58</v>
      </c>
      <c r="B78" s="2" t="s">
        <v>1102</v>
      </c>
      <c r="C78" s="2" t="s">
        <v>1103</v>
      </c>
      <c r="D78" s="2" t="s">
        <v>1104</v>
      </c>
      <c r="F78" s="3" t="s">
        <v>58</v>
      </c>
      <c r="G78" s="3" t="s">
        <v>59</v>
      </c>
      <c r="H78" s="3" t="s">
        <v>58</v>
      </c>
      <c r="I78" s="3" t="s">
        <v>58</v>
      </c>
      <c r="J78" s="3" t="s">
        <v>60</v>
      </c>
      <c r="L78" s="2" t="s">
        <v>1105</v>
      </c>
      <c r="M78" s="3" t="s">
        <v>636</v>
      </c>
      <c r="N78" s="2" t="s">
        <v>1106</v>
      </c>
      <c r="O78" s="3" t="s">
        <v>64</v>
      </c>
      <c r="P78" s="3" t="s">
        <v>154</v>
      </c>
      <c r="R78" s="3" t="s">
        <v>1093</v>
      </c>
      <c r="S78" s="4">
        <v>1</v>
      </c>
      <c r="T78" s="4">
        <v>1</v>
      </c>
      <c r="U78" s="5" t="s">
        <v>1107</v>
      </c>
      <c r="V78" s="5" t="s">
        <v>1107</v>
      </c>
      <c r="W78" s="5" t="s">
        <v>1107</v>
      </c>
      <c r="X78" s="5" t="s">
        <v>1107</v>
      </c>
      <c r="Y78" s="4">
        <v>130</v>
      </c>
      <c r="Z78" s="4">
        <v>88</v>
      </c>
      <c r="AA78" s="4">
        <v>89</v>
      </c>
      <c r="AB78" s="4">
        <v>2</v>
      </c>
      <c r="AC78" s="4">
        <v>2</v>
      </c>
      <c r="AD78" s="4">
        <v>4</v>
      </c>
      <c r="AE78" s="4">
        <v>4</v>
      </c>
      <c r="AF78" s="4">
        <v>0</v>
      </c>
      <c r="AG78" s="4">
        <v>0</v>
      </c>
      <c r="AH78" s="4">
        <v>1</v>
      </c>
      <c r="AI78" s="4">
        <v>1</v>
      </c>
      <c r="AJ78" s="4">
        <v>2</v>
      </c>
      <c r="AK78" s="4">
        <v>2</v>
      </c>
      <c r="AL78" s="4">
        <v>1</v>
      </c>
      <c r="AM78" s="4">
        <v>1</v>
      </c>
      <c r="AN78" s="4">
        <v>0</v>
      </c>
      <c r="AO78" s="4">
        <v>0</v>
      </c>
      <c r="AP78" s="3" t="s">
        <v>58</v>
      </c>
      <c r="AQ78" s="3" t="s">
        <v>69</v>
      </c>
      <c r="AR78" s="6" t="str">
        <f>HYPERLINK("http://catalog.hathitrust.org/Record/004207908","HathiTrust Record")</f>
        <v>HathiTrust Record</v>
      </c>
      <c r="AS78" s="6" t="str">
        <f>HYPERLINK("https://creighton-primo.hosted.exlibrisgroup.com/primo-explore/search?tab=default_tab&amp;search_scope=EVERYTHING&amp;vid=01CRU&amp;lang=en_US&amp;offset=0&amp;query=any,contains,991003947129702656","Catalog Record")</f>
        <v>Catalog Record</v>
      </c>
      <c r="AT78" s="6" t="str">
        <f>HYPERLINK("http://www.worldcat.org/oclc/47982908","WorldCat Record")</f>
        <v>WorldCat Record</v>
      </c>
      <c r="AU78" s="3" t="s">
        <v>1108</v>
      </c>
      <c r="AV78" s="3" t="s">
        <v>1109</v>
      </c>
      <c r="AW78" s="3" t="s">
        <v>1110</v>
      </c>
      <c r="AX78" s="3" t="s">
        <v>1110</v>
      </c>
      <c r="AY78" s="3" t="s">
        <v>1111</v>
      </c>
      <c r="AZ78" s="3" t="s">
        <v>74</v>
      </c>
      <c r="BB78" s="3" t="s">
        <v>1112</v>
      </c>
      <c r="BC78" s="3" t="s">
        <v>1113</v>
      </c>
      <c r="BD78" s="3" t="s">
        <v>1114</v>
      </c>
    </row>
    <row r="79" spans="1:56" ht="57.75" customHeight="1" x14ac:dyDescent="0.25">
      <c r="A79" s="7" t="s">
        <v>58</v>
      </c>
      <c r="B79" s="2" t="s">
        <v>1115</v>
      </c>
      <c r="C79" s="2" t="s">
        <v>1116</v>
      </c>
      <c r="D79" s="2" t="s">
        <v>1117</v>
      </c>
      <c r="F79" s="3" t="s">
        <v>58</v>
      </c>
      <c r="G79" s="3" t="s">
        <v>59</v>
      </c>
      <c r="H79" s="3" t="s">
        <v>58</v>
      </c>
      <c r="I79" s="3" t="s">
        <v>58</v>
      </c>
      <c r="J79" s="3" t="s">
        <v>60</v>
      </c>
      <c r="K79" s="2" t="s">
        <v>1118</v>
      </c>
      <c r="L79" s="2" t="s">
        <v>1119</v>
      </c>
      <c r="M79" s="3" t="s">
        <v>1120</v>
      </c>
      <c r="O79" s="3" t="s">
        <v>64</v>
      </c>
      <c r="P79" s="3" t="s">
        <v>65</v>
      </c>
      <c r="R79" s="3" t="s">
        <v>1093</v>
      </c>
      <c r="S79" s="4">
        <v>1</v>
      </c>
      <c r="T79" s="4">
        <v>1</v>
      </c>
      <c r="U79" s="5" t="s">
        <v>167</v>
      </c>
      <c r="V79" s="5" t="s">
        <v>167</v>
      </c>
      <c r="W79" s="5" t="s">
        <v>167</v>
      </c>
      <c r="X79" s="5" t="s">
        <v>167</v>
      </c>
      <c r="Y79" s="4">
        <v>421</v>
      </c>
      <c r="Z79" s="4">
        <v>350</v>
      </c>
      <c r="AA79" s="4">
        <v>352</v>
      </c>
      <c r="AB79" s="4">
        <v>3</v>
      </c>
      <c r="AC79" s="4">
        <v>3</v>
      </c>
      <c r="AD79" s="4">
        <v>11</v>
      </c>
      <c r="AE79" s="4">
        <v>11</v>
      </c>
      <c r="AF79" s="4">
        <v>5</v>
      </c>
      <c r="AG79" s="4">
        <v>5</v>
      </c>
      <c r="AH79" s="4">
        <v>3</v>
      </c>
      <c r="AI79" s="4">
        <v>3</v>
      </c>
      <c r="AJ79" s="4">
        <v>6</v>
      </c>
      <c r="AK79" s="4">
        <v>6</v>
      </c>
      <c r="AL79" s="4">
        <v>1</v>
      </c>
      <c r="AM79" s="4">
        <v>1</v>
      </c>
      <c r="AN79" s="4">
        <v>0</v>
      </c>
      <c r="AO79" s="4">
        <v>0</v>
      </c>
      <c r="AP79" s="3" t="s">
        <v>58</v>
      </c>
      <c r="AQ79" s="3" t="s">
        <v>69</v>
      </c>
      <c r="AR79" s="6" t="str">
        <f>HYPERLINK("http://catalog.hathitrust.org/Record/000394830","HathiTrust Record")</f>
        <v>HathiTrust Record</v>
      </c>
      <c r="AS79" s="6" t="str">
        <f>HYPERLINK("https://creighton-primo.hosted.exlibrisgroup.com/primo-explore/search?tab=default_tab&amp;search_scope=EVERYTHING&amp;vid=01CRU&amp;lang=en_US&amp;offset=0&amp;query=any,contains,991005008459702656","Catalog Record")</f>
        <v>Catalog Record</v>
      </c>
      <c r="AT79" s="6" t="str">
        <f>HYPERLINK("http://www.worldcat.org/oclc/11972403","WorldCat Record")</f>
        <v>WorldCat Record</v>
      </c>
      <c r="AU79" s="3" t="s">
        <v>1121</v>
      </c>
      <c r="AV79" s="3" t="s">
        <v>1122</v>
      </c>
      <c r="AW79" s="3" t="s">
        <v>1123</v>
      </c>
      <c r="AX79" s="3" t="s">
        <v>1123</v>
      </c>
      <c r="AY79" s="3" t="s">
        <v>1124</v>
      </c>
      <c r="AZ79" s="3" t="s">
        <v>74</v>
      </c>
      <c r="BB79" s="3" t="s">
        <v>1125</v>
      </c>
      <c r="BC79" s="3" t="s">
        <v>1126</v>
      </c>
      <c r="BD79" s="3" t="s">
        <v>1127</v>
      </c>
    </row>
    <row r="80" spans="1:56" ht="57.75" customHeight="1" x14ac:dyDescent="0.25">
      <c r="A80" s="7" t="s">
        <v>58</v>
      </c>
      <c r="B80" s="2" t="s">
        <v>1128</v>
      </c>
      <c r="C80" s="2" t="s">
        <v>1129</v>
      </c>
      <c r="D80" s="2" t="s">
        <v>1130</v>
      </c>
      <c r="F80" s="3" t="s">
        <v>58</v>
      </c>
      <c r="G80" s="3" t="s">
        <v>59</v>
      </c>
      <c r="H80" s="3" t="s">
        <v>58</v>
      </c>
      <c r="I80" s="3" t="s">
        <v>58</v>
      </c>
      <c r="J80" s="3" t="s">
        <v>60</v>
      </c>
      <c r="K80" s="2" t="s">
        <v>1131</v>
      </c>
      <c r="L80" s="2" t="s">
        <v>1132</v>
      </c>
      <c r="M80" s="3" t="s">
        <v>621</v>
      </c>
      <c r="N80" s="2" t="s">
        <v>1133</v>
      </c>
      <c r="O80" s="3" t="s">
        <v>64</v>
      </c>
      <c r="P80" s="3" t="s">
        <v>154</v>
      </c>
      <c r="R80" s="3" t="s">
        <v>1093</v>
      </c>
      <c r="S80" s="4">
        <v>2</v>
      </c>
      <c r="T80" s="4">
        <v>2</v>
      </c>
      <c r="U80" s="5" t="s">
        <v>1134</v>
      </c>
      <c r="V80" s="5" t="s">
        <v>1134</v>
      </c>
      <c r="W80" s="5" t="s">
        <v>1135</v>
      </c>
      <c r="X80" s="5" t="s">
        <v>1135</v>
      </c>
      <c r="Y80" s="4">
        <v>594</v>
      </c>
      <c r="Z80" s="4">
        <v>472</v>
      </c>
      <c r="AA80" s="4">
        <v>919</v>
      </c>
      <c r="AB80" s="4">
        <v>3</v>
      </c>
      <c r="AC80" s="4">
        <v>6</v>
      </c>
      <c r="AD80" s="4">
        <v>10</v>
      </c>
      <c r="AE80" s="4">
        <v>25</v>
      </c>
      <c r="AF80" s="4">
        <v>3</v>
      </c>
      <c r="AG80" s="4">
        <v>9</v>
      </c>
      <c r="AH80" s="4">
        <v>3</v>
      </c>
      <c r="AI80" s="4">
        <v>6</v>
      </c>
      <c r="AJ80" s="4">
        <v>4</v>
      </c>
      <c r="AK80" s="4">
        <v>11</v>
      </c>
      <c r="AL80" s="4">
        <v>2</v>
      </c>
      <c r="AM80" s="4">
        <v>4</v>
      </c>
      <c r="AN80" s="4">
        <v>0</v>
      </c>
      <c r="AO80" s="4">
        <v>0</v>
      </c>
      <c r="AP80" s="3" t="s">
        <v>58</v>
      </c>
      <c r="AQ80" s="3" t="s">
        <v>69</v>
      </c>
      <c r="AR80" s="6" t="str">
        <f>HYPERLINK("http://catalog.hathitrust.org/Record/001470711","HathiTrust Record")</f>
        <v>HathiTrust Record</v>
      </c>
      <c r="AS80" s="6" t="str">
        <f>HYPERLINK("https://creighton-primo.hosted.exlibrisgroup.com/primo-explore/search?tab=default_tab&amp;search_scope=EVERYTHING&amp;vid=01CRU&amp;lang=en_US&amp;offset=0&amp;query=any,contains,991002909379702656","Catalog Record")</f>
        <v>Catalog Record</v>
      </c>
      <c r="AT80" s="6" t="str">
        <f>HYPERLINK("http://www.worldcat.org/oclc/520946","WorldCat Record")</f>
        <v>WorldCat Record</v>
      </c>
      <c r="AU80" s="3" t="s">
        <v>1136</v>
      </c>
      <c r="AV80" s="3" t="s">
        <v>1137</v>
      </c>
      <c r="AW80" s="3" t="s">
        <v>1138</v>
      </c>
      <c r="AX80" s="3" t="s">
        <v>1138</v>
      </c>
      <c r="AY80" s="3" t="s">
        <v>1139</v>
      </c>
      <c r="AZ80" s="3" t="s">
        <v>74</v>
      </c>
      <c r="BB80" s="3" t="s">
        <v>1140</v>
      </c>
      <c r="BC80" s="3" t="s">
        <v>1141</v>
      </c>
      <c r="BD80" s="3" t="s">
        <v>1142</v>
      </c>
    </row>
    <row r="81" spans="1:56" ht="57.75" customHeight="1" x14ac:dyDescent="0.25">
      <c r="A81" s="7" t="s">
        <v>58</v>
      </c>
      <c r="B81" s="2" t="s">
        <v>1143</v>
      </c>
      <c r="C81" s="2" t="s">
        <v>1144</v>
      </c>
      <c r="D81" s="2" t="s">
        <v>1145</v>
      </c>
      <c r="F81" s="3" t="s">
        <v>58</v>
      </c>
      <c r="G81" s="3" t="s">
        <v>59</v>
      </c>
      <c r="H81" s="3" t="s">
        <v>58</v>
      </c>
      <c r="I81" s="3" t="s">
        <v>58</v>
      </c>
      <c r="J81" s="3" t="s">
        <v>60</v>
      </c>
      <c r="K81" s="2" t="s">
        <v>1146</v>
      </c>
      <c r="L81" s="2" t="s">
        <v>1147</v>
      </c>
      <c r="M81" s="3" t="s">
        <v>1148</v>
      </c>
      <c r="O81" s="3" t="s">
        <v>64</v>
      </c>
      <c r="P81" s="3" t="s">
        <v>412</v>
      </c>
      <c r="Q81" s="2" t="s">
        <v>1149</v>
      </c>
      <c r="R81" s="3" t="s">
        <v>1093</v>
      </c>
      <c r="S81" s="4">
        <v>1</v>
      </c>
      <c r="T81" s="4">
        <v>1</v>
      </c>
      <c r="U81" s="5" t="s">
        <v>1150</v>
      </c>
      <c r="V81" s="5" t="s">
        <v>1150</v>
      </c>
      <c r="W81" s="5" t="s">
        <v>1150</v>
      </c>
      <c r="X81" s="5" t="s">
        <v>1150</v>
      </c>
      <c r="Y81" s="4">
        <v>158</v>
      </c>
      <c r="Z81" s="4">
        <v>119</v>
      </c>
      <c r="AA81" s="4">
        <v>257</v>
      </c>
      <c r="AB81" s="4">
        <v>2</v>
      </c>
      <c r="AC81" s="4">
        <v>3</v>
      </c>
      <c r="AD81" s="4">
        <v>6</v>
      </c>
      <c r="AE81" s="4">
        <v>11</v>
      </c>
      <c r="AF81" s="4">
        <v>1</v>
      </c>
      <c r="AG81" s="4">
        <v>2</v>
      </c>
      <c r="AH81" s="4">
        <v>2</v>
      </c>
      <c r="AI81" s="4">
        <v>5</v>
      </c>
      <c r="AJ81" s="4">
        <v>5</v>
      </c>
      <c r="AK81" s="4">
        <v>6</v>
      </c>
      <c r="AL81" s="4">
        <v>1</v>
      </c>
      <c r="AM81" s="4">
        <v>2</v>
      </c>
      <c r="AN81" s="4">
        <v>0</v>
      </c>
      <c r="AO81" s="4">
        <v>0</v>
      </c>
      <c r="AP81" s="3" t="s">
        <v>58</v>
      </c>
      <c r="AQ81" s="3" t="s">
        <v>58</v>
      </c>
      <c r="AS81" s="6" t="str">
        <f>HYPERLINK("https://creighton-primo.hosted.exlibrisgroup.com/primo-explore/search?tab=default_tab&amp;search_scope=EVERYTHING&amp;vid=01CRU&amp;lang=en_US&amp;offset=0&amp;query=any,contains,991004792699702656","Catalog Record")</f>
        <v>Catalog Record</v>
      </c>
      <c r="AT81" s="6" t="str">
        <f>HYPERLINK("http://www.worldcat.org/oclc/57167650","WorldCat Record")</f>
        <v>WorldCat Record</v>
      </c>
      <c r="AU81" s="3" t="s">
        <v>1151</v>
      </c>
      <c r="AV81" s="3" t="s">
        <v>1152</v>
      </c>
      <c r="AW81" s="3" t="s">
        <v>1153</v>
      </c>
      <c r="AX81" s="3" t="s">
        <v>1153</v>
      </c>
      <c r="AY81" s="3" t="s">
        <v>1154</v>
      </c>
      <c r="AZ81" s="3" t="s">
        <v>74</v>
      </c>
      <c r="BB81" s="3" t="s">
        <v>1155</v>
      </c>
      <c r="BC81" s="3" t="s">
        <v>1156</v>
      </c>
      <c r="BD81" s="3" t="s">
        <v>1157</v>
      </c>
    </row>
    <row r="82" spans="1:56" ht="57.75" customHeight="1" x14ac:dyDescent="0.25">
      <c r="A82" s="7" t="s">
        <v>58</v>
      </c>
      <c r="B82" s="2" t="s">
        <v>1158</v>
      </c>
      <c r="C82" s="2" t="s">
        <v>1159</v>
      </c>
      <c r="D82" s="2" t="s">
        <v>1160</v>
      </c>
      <c r="F82" s="3" t="s">
        <v>58</v>
      </c>
      <c r="G82" s="3" t="s">
        <v>59</v>
      </c>
      <c r="H82" s="3" t="s">
        <v>58</v>
      </c>
      <c r="I82" s="3" t="s">
        <v>58</v>
      </c>
      <c r="J82" s="3" t="s">
        <v>60</v>
      </c>
      <c r="K82" s="2" t="s">
        <v>1161</v>
      </c>
      <c r="L82" s="2" t="s">
        <v>1162</v>
      </c>
      <c r="M82" s="3" t="s">
        <v>178</v>
      </c>
      <c r="O82" s="3" t="s">
        <v>64</v>
      </c>
      <c r="P82" s="3" t="s">
        <v>65</v>
      </c>
      <c r="R82" s="3" t="s">
        <v>1093</v>
      </c>
      <c r="S82" s="4">
        <v>8</v>
      </c>
      <c r="T82" s="4">
        <v>8</v>
      </c>
      <c r="U82" s="5" t="s">
        <v>1163</v>
      </c>
      <c r="V82" s="5" t="s">
        <v>1163</v>
      </c>
      <c r="W82" s="5" t="s">
        <v>372</v>
      </c>
      <c r="X82" s="5" t="s">
        <v>372</v>
      </c>
      <c r="Y82" s="4">
        <v>508</v>
      </c>
      <c r="Z82" s="4">
        <v>476</v>
      </c>
      <c r="AA82" s="4">
        <v>483</v>
      </c>
      <c r="AB82" s="4">
        <v>5</v>
      </c>
      <c r="AC82" s="4">
        <v>5</v>
      </c>
      <c r="AD82" s="4">
        <v>5</v>
      </c>
      <c r="AE82" s="4">
        <v>5</v>
      </c>
      <c r="AF82" s="4">
        <v>0</v>
      </c>
      <c r="AG82" s="4">
        <v>0</v>
      </c>
      <c r="AH82" s="4">
        <v>1</v>
      </c>
      <c r="AI82" s="4">
        <v>1</v>
      </c>
      <c r="AJ82" s="4">
        <v>3</v>
      </c>
      <c r="AK82" s="4">
        <v>3</v>
      </c>
      <c r="AL82" s="4">
        <v>2</v>
      </c>
      <c r="AM82" s="4">
        <v>2</v>
      </c>
      <c r="AN82" s="4">
        <v>0</v>
      </c>
      <c r="AO82" s="4">
        <v>0</v>
      </c>
      <c r="AP82" s="3" t="s">
        <v>58</v>
      </c>
      <c r="AQ82" s="3" t="s">
        <v>69</v>
      </c>
      <c r="AR82" s="6" t="str">
        <f>HYPERLINK("http://catalog.hathitrust.org/Record/007806780","HathiTrust Record")</f>
        <v>HathiTrust Record</v>
      </c>
      <c r="AS82" s="6" t="str">
        <f>HYPERLINK("https://creighton-primo.hosted.exlibrisgroup.com/primo-explore/search?tab=default_tab&amp;search_scope=EVERYTHING&amp;vid=01CRU&amp;lang=en_US&amp;offset=0&amp;query=any,contains,991005357469702656","Catalog Record")</f>
        <v>Catalog Record</v>
      </c>
      <c r="AT82" s="6" t="str">
        <f>HYPERLINK("http://www.worldcat.org/oclc/985115","WorldCat Record")</f>
        <v>WorldCat Record</v>
      </c>
      <c r="AU82" s="3" t="s">
        <v>1164</v>
      </c>
      <c r="AV82" s="3" t="s">
        <v>1165</v>
      </c>
      <c r="AW82" s="3" t="s">
        <v>1166</v>
      </c>
      <c r="AX82" s="3" t="s">
        <v>1166</v>
      </c>
      <c r="AY82" s="3" t="s">
        <v>1167</v>
      </c>
      <c r="AZ82" s="3" t="s">
        <v>74</v>
      </c>
      <c r="BB82" s="3" t="s">
        <v>1168</v>
      </c>
      <c r="BC82" s="3" t="s">
        <v>1169</v>
      </c>
      <c r="BD82" s="3" t="s">
        <v>1170</v>
      </c>
    </row>
    <row r="83" spans="1:56" ht="57.75" customHeight="1" x14ac:dyDescent="0.25">
      <c r="A83" s="7" t="s">
        <v>58</v>
      </c>
      <c r="B83" s="2" t="s">
        <v>1171</v>
      </c>
      <c r="C83" s="2" t="s">
        <v>1172</v>
      </c>
      <c r="D83" s="2" t="s">
        <v>1173</v>
      </c>
      <c r="F83" s="3" t="s">
        <v>58</v>
      </c>
      <c r="G83" s="3" t="s">
        <v>59</v>
      </c>
      <c r="H83" s="3" t="s">
        <v>58</v>
      </c>
      <c r="I83" s="3" t="s">
        <v>58</v>
      </c>
      <c r="J83" s="3" t="s">
        <v>60</v>
      </c>
      <c r="K83" s="2" t="s">
        <v>1174</v>
      </c>
      <c r="L83" s="2" t="s">
        <v>1175</v>
      </c>
      <c r="M83" s="3" t="s">
        <v>1120</v>
      </c>
      <c r="O83" s="3" t="s">
        <v>64</v>
      </c>
      <c r="P83" s="3" t="s">
        <v>540</v>
      </c>
      <c r="R83" s="3" t="s">
        <v>1093</v>
      </c>
      <c r="S83" s="4">
        <v>11</v>
      </c>
      <c r="T83" s="4">
        <v>11</v>
      </c>
      <c r="U83" s="5" t="s">
        <v>1176</v>
      </c>
      <c r="V83" s="5" t="s">
        <v>1176</v>
      </c>
      <c r="W83" s="5" t="s">
        <v>1177</v>
      </c>
      <c r="X83" s="5" t="s">
        <v>1177</v>
      </c>
      <c r="Y83" s="4">
        <v>818</v>
      </c>
      <c r="Z83" s="4">
        <v>647</v>
      </c>
      <c r="AA83" s="4">
        <v>716</v>
      </c>
      <c r="AB83" s="4">
        <v>3</v>
      </c>
      <c r="AC83" s="4">
        <v>3</v>
      </c>
      <c r="AD83" s="4">
        <v>24</v>
      </c>
      <c r="AE83" s="4">
        <v>30</v>
      </c>
      <c r="AF83" s="4">
        <v>7</v>
      </c>
      <c r="AG83" s="4">
        <v>12</v>
      </c>
      <c r="AH83" s="4">
        <v>7</v>
      </c>
      <c r="AI83" s="4">
        <v>7</v>
      </c>
      <c r="AJ83" s="4">
        <v>14</v>
      </c>
      <c r="AK83" s="4">
        <v>17</v>
      </c>
      <c r="AL83" s="4">
        <v>2</v>
      </c>
      <c r="AM83" s="4">
        <v>2</v>
      </c>
      <c r="AN83" s="4">
        <v>0</v>
      </c>
      <c r="AO83" s="4">
        <v>0</v>
      </c>
      <c r="AP83" s="3" t="s">
        <v>58</v>
      </c>
      <c r="AQ83" s="3" t="s">
        <v>58</v>
      </c>
      <c r="AS83" s="6" t="str">
        <f>HYPERLINK("https://creighton-primo.hosted.exlibrisgroup.com/primo-explore/search?tab=default_tab&amp;search_scope=EVERYTHING&amp;vid=01CRU&amp;lang=en_US&amp;offset=0&amp;query=any,contains,991005404309702656","Catalog Record")</f>
        <v>Catalog Record</v>
      </c>
      <c r="AT83" s="6" t="str">
        <f>HYPERLINK("http://www.worldcat.org/oclc/11029288","WorldCat Record")</f>
        <v>WorldCat Record</v>
      </c>
      <c r="AU83" s="3" t="s">
        <v>1178</v>
      </c>
      <c r="AV83" s="3" t="s">
        <v>1179</v>
      </c>
      <c r="AW83" s="3" t="s">
        <v>1180</v>
      </c>
      <c r="AX83" s="3" t="s">
        <v>1180</v>
      </c>
      <c r="AY83" s="3" t="s">
        <v>1181</v>
      </c>
      <c r="AZ83" s="3" t="s">
        <v>74</v>
      </c>
      <c r="BB83" s="3" t="s">
        <v>1182</v>
      </c>
      <c r="BC83" s="3" t="s">
        <v>1183</v>
      </c>
      <c r="BD83" s="3" t="s">
        <v>1184</v>
      </c>
    </row>
    <row r="84" spans="1:56" ht="57.75" customHeight="1" x14ac:dyDescent="0.25">
      <c r="A84" s="7" t="s">
        <v>58</v>
      </c>
      <c r="B84" s="2" t="s">
        <v>1185</v>
      </c>
      <c r="C84" s="2" t="s">
        <v>1186</v>
      </c>
      <c r="D84" s="2" t="s">
        <v>1187</v>
      </c>
      <c r="F84" s="3" t="s">
        <v>58</v>
      </c>
      <c r="G84" s="3" t="s">
        <v>59</v>
      </c>
      <c r="H84" s="3" t="s">
        <v>58</v>
      </c>
      <c r="I84" s="3" t="s">
        <v>58</v>
      </c>
      <c r="J84" s="3" t="s">
        <v>60</v>
      </c>
      <c r="K84" s="2" t="s">
        <v>1188</v>
      </c>
      <c r="L84" s="2" t="s">
        <v>1189</v>
      </c>
      <c r="M84" s="3" t="s">
        <v>370</v>
      </c>
      <c r="O84" s="3" t="s">
        <v>64</v>
      </c>
      <c r="P84" s="3" t="s">
        <v>65</v>
      </c>
      <c r="R84" s="3" t="s">
        <v>1093</v>
      </c>
      <c r="S84" s="4">
        <v>3</v>
      </c>
      <c r="T84" s="4">
        <v>3</v>
      </c>
      <c r="U84" s="5" t="s">
        <v>1190</v>
      </c>
      <c r="V84" s="5" t="s">
        <v>1190</v>
      </c>
      <c r="W84" s="5" t="s">
        <v>1191</v>
      </c>
      <c r="X84" s="5" t="s">
        <v>1191</v>
      </c>
      <c r="Y84" s="4">
        <v>702</v>
      </c>
      <c r="Z84" s="4">
        <v>666</v>
      </c>
      <c r="AA84" s="4">
        <v>840</v>
      </c>
      <c r="AB84" s="4">
        <v>3</v>
      </c>
      <c r="AC84" s="4">
        <v>3</v>
      </c>
      <c r="AD84" s="4">
        <v>24</v>
      </c>
      <c r="AE84" s="4">
        <v>29</v>
      </c>
      <c r="AF84" s="4">
        <v>11</v>
      </c>
      <c r="AG84" s="4">
        <v>13</v>
      </c>
      <c r="AH84" s="4">
        <v>6</v>
      </c>
      <c r="AI84" s="4">
        <v>7</v>
      </c>
      <c r="AJ84" s="4">
        <v>9</v>
      </c>
      <c r="AK84" s="4">
        <v>12</v>
      </c>
      <c r="AL84" s="4">
        <v>2</v>
      </c>
      <c r="AM84" s="4">
        <v>2</v>
      </c>
      <c r="AN84" s="4">
        <v>0</v>
      </c>
      <c r="AO84" s="4">
        <v>0</v>
      </c>
      <c r="AP84" s="3" t="s">
        <v>58</v>
      </c>
      <c r="AQ84" s="3" t="s">
        <v>69</v>
      </c>
      <c r="AR84" s="6" t="str">
        <f>HYPERLINK("http://catalog.hathitrust.org/Record/001483100","HathiTrust Record")</f>
        <v>HathiTrust Record</v>
      </c>
      <c r="AS84" s="6" t="str">
        <f>HYPERLINK("https://creighton-primo.hosted.exlibrisgroup.com/primo-explore/search?tab=default_tab&amp;search_scope=EVERYTHING&amp;vid=01CRU&amp;lang=en_US&amp;offset=0&amp;query=any,contains,991000080759702656","Catalog Record")</f>
        <v>Catalog Record</v>
      </c>
      <c r="AT84" s="6" t="str">
        <f>HYPERLINK("http://www.worldcat.org/oclc/31455","WorldCat Record")</f>
        <v>WorldCat Record</v>
      </c>
      <c r="AU84" s="3" t="s">
        <v>1192</v>
      </c>
      <c r="AV84" s="3" t="s">
        <v>1193</v>
      </c>
      <c r="AW84" s="3" t="s">
        <v>1194</v>
      </c>
      <c r="AX84" s="3" t="s">
        <v>1194</v>
      </c>
      <c r="AY84" s="3" t="s">
        <v>1195</v>
      </c>
      <c r="AZ84" s="3" t="s">
        <v>74</v>
      </c>
      <c r="BC84" s="3" t="s">
        <v>1196</v>
      </c>
      <c r="BD84" s="3" t="s">
        <v>1197</v>
      </c>
    </row>
    <row r="85" spans="1:56" ht="57.75" customHeight="1" x14ac:dyDescent="0.25">
      <c r="A85" s="7" t="s">
        <v>58</v>
      </c>
      <c r="B85" s="2" t="s">
        <v>1198</v>
      </c>
      <c r="C85" s="2" t="s">
        <v>1199</v>
      </c>
      <c r="D85" s="2" t="s">
        <v>1200</v>
      </c>
      <c r="F85" s="3" t="s">
        <v>58</v>
      </c>
      <c r="G85" s="3" t="s">
        <v>59</v>
      </c>
      <c r="H85" s="3" t="s">
        <v>58</v>
      </c>
      <c r="I85" s="3" t="s">
        <v>58</v>
      </c>
      <c r="J85" s="3" t="s">
        <v>60</v>
      </c>
      <c r="K85" s="2" t="s">
        <v>1201</v>
      </c>
      <c r="L85" s="2" t="s">
        <v>1202</v>
      </c>
      <c r="M85" s="3" t="s">
        <v>293</v>
      </c>
      <c r="O85" s="3" t="s">
        <v>64</v>
      </c>
      <c r="P85" s="3" t="s">
        <v>65</v>
      </c>
      <c r="R85" s="3" t="s">
        <v>1093</v>
      </c>
      <c r="S85" s="4">
        <v>4</v>
      </c>
      <c r="T85" s="4">
        <v>4</v>
      </c>
      <c r="U85" s="5" t="s">
        <v>1203</v>
      </c>
      <c r="V85" s="5" t="s">
        <v>1203</v>
      </c>
      <c r="W85" s="5" t="s">
        <v>372</v>
      </c>
      <c r="X85" s="5" t="s">
        <v>372</v>
      </c>
      <c r="Y85" s="4">
        <v>751</v>
      </c>
      <c r="Z85" s="4">
        <v>595</v>
      </c>
      <c r="AA85" s="4">
        <v>850</v>
      </c>
      <c r="AB85" s="4">
        <v>7</v>
      </c>
      <c r="AC85" s="4">
        <v>8</v>
      </c>
      <c r="AD85" s="4">
        <v>21</v>
      </c>
      <c r="AE85" s="4">
        <v>27</v>
      </c>
      <c r="AF85" s="4">
        <v>9</v>
      </c>
      <c r="AG85" s="4">
        <v>11</v>
      </c>
      <c r="AH85" s="4">
        <v>3</v>
      </c>
      <c r="AI85" s="4">
        <v>5</v>
      </c>
      <c r="AJ85" s="4">
        <v>8</v>
      </c>
      <c r="AK85" s="4">
        <v>11</v>
      </c>
      <c r="AL85" s="4">
        <v>5</v>
      </c>
      <c r="AM85" s="4">
        <v>5</v>
      </c>
      <c r="AN85" s="4">
        <v>0</v>
      </c>
      <c r="AO85" s="4">
        <v>0</v>
      </c>
      <c r="AP85" s="3" t="s">
        <v>58</v>
      </c>
      <c r="AQ85" s="3" t="s">
        <v>69</v>
      </c>
      <c r="AR85" s="6" t="str">
        <f>HYPERLINK("http://catalog.hathitrust.org/Record/001989789","HathiTrust Record")</f>
        <v>HathiTrust Record</v>
      </c>
      <c r="AS85" s="6" t="str">
        <f>HYPERLINK("https://creighton-primo.hosted.exlibrisgroup.com/primo-explore/search?tab=default_tab&amp;search_scope=EVERYTHING&amp;vid=01CRU&amp;lang=en_US&amp;offset=0&amp;query=any,contains,991000663659702656","Catalog Record")</f>
        <v>Catalog Record</v>
      </c>
      <c r="AT85" s="6" t="str">
        <f>HYPERLINK("http://www.worldcat.org/oclc/118016","WorldCat Record")</f>
        <v>WorldCat Record</v>
      </c>
      <c r="AU85" s="3" t="s">
        <v>1204</v>
      </c>
      <c r="AV85" s="3" t="s">
        <v>1205</v>
      </c>
      <c r="AW85" s="3" t="s">
        <v>1206</v>
      </c>
      <c r="AX85" s="3" t="s">
        <v>1206</v>
      </c>
      <c r="AY85" s="3" t="s">
        <v>1207</v>
      </c>
      <c r="AZ85" s="3" t="s">
        <v>74</v>
      </c>
      <c r="BC85" s="3" t="s">
        <v>1208</v>
      </c>
      <c r="BD85" s="3" t="s">
        <v>1209</v>
      </c>
    </row>
    <row r="86" spans="1:56" ht="57.75" customHeight="1" x14ac:dyDescent="0.25">
      <c r="A86" s="7" t="s">
        <v>58</v>
      </c>
      <c r="B86" s="2" t="s">
        <v>1210</v>
      </c>
      <c r="C86" s="2" t="s">
        <v>1211</v>
      </c>
      <c r="D86" s="2" t="s">
        <v>1212</v>
      </c>
      <c r="F86" s="3" t="s">
        <v>58</v>
      </c>
      <c r="G86" s="3" t="s">
        <v>59</v>
      </c>
      <c r="H86" s="3" t="s">
        <v>58</v>
      </c>
      <c r="I86" s="3" t="s">
        <v>58</v>
      </c>
      <c r="J86" s="3" t="s">
        <v>60</v>
      </c>
      <c r="K86" s="2" t="s">
        <v>1213</v>
      </c>
      <c r="L86" s="2" t="s">
        <v>1214</v>
      </c>
      <c r="M86" s="3" t="s">
        <v>1215</v>
      </c>
      <c r="O86" s="3" t="s">
        <v>64</v>
      </c>
      <c r="P86" s="3" t="s">
        <v>385</v>
      </c>
      <c r="R86" s="3" t="s">
        <v>1093</v>
      </c>
      <c r="S86" s="4">
        <v>3</v>
      </c>
      <c r="T86" s="4">
        <v>3</v>
      </c>
      <c r="U86" s="5" t="s">
        <v>1216</v>
      </c>
      <c r="V86" s="5" t="s">
        <v>1216</v>
      </c>
      <c r="W86" s="5" t="s">
        <v>372</v>
      </c>
      <c r="X86" s="5" t="s">
        <v>372</v>
      </c>
      <c r="Y86" s="4">
        <v>126</v>
      </c>
      <c r="Z86" s="4">
        <v>106</v>
      </c>
      <c r="AA86" s="4">
        <v>747</v>
      </c>
      <c r="AB86" s="4">
        <v>2</v>
      </c>
      <c r="AC86" s="4">
        <v>6</v>
      </c>
      <c r="AD86" s="4">
        <v>5</v>
      </c>
      <c r="AE86" s="4">
        <v>24</v>
      </c>
      <c r="AF86" s="4">
        <v>2</v>
      </c>
      <c r="AG86" s="4">
        <v>10</v>
      </c>
      <c r="AH86" s="4">
        <v>0</v>
      </c>
      <c r="AI86" s="4">
        <v>4</v>
      </c>
      <c r="AJ86" s="4">
        <v>2</v>
      </c>
      <c r="AK86" s="4">
        <v>9</v>
      </c>
      <c r="AL86" s="4">
        <v>1</v>
      </c>
      <c r="AM86" s="4">
        <v>4</v>
      </c>
      <c r="AN86" s="4">
        <v>0</v>
      </c>
      <c r="AO86" s="4">
        <v>0</v>
      </c>
      <c r="AP86" s="3" t="s">
        <v>58</v>
      </c>
      <c r="AQ86" s="3" t="s">
        <v>69</v>
      </c>
      <c r="AR86" s="6" t="str">
        <f>HYPERLINK("http://catalog.hathitrust.org/Record/003907937","HathiTrust Record")</f>
        <v>HathiTrust Record</v>
      </c>
      <c r="AS86" s="6" t="str">
        <f>HYPERLINK("https://creighton-primo.hosted.exlibrisgroup.com/primo-explore/search?tab=default_tab&amp;search_scope=EVERYTHING&amp;vid=01CRU&amp;lang=en_US&amp;offset=0&amp;query=any,contains,991003331469702656","Catalog Record")</f>
        <v>Catalog Record</v>
      </c>
      <c r="AT86" s="6" t="str">
        <f>HYPERLINK("http://www.worldcat.org/oclc/862675","WorldCat Record")</f>
        <v>WorldCat Record</v>
      </c>
      <c r="AU86" s="3" t="s">
        <v>1217</v>
      </c>
      <c r="AV86" s="3" t="s">
        <v>1218</v>
      </c>
      <c r="AW86" s="3" t="s">
        <v>1219</v>
      </c>
      <c r="AX86" s="3" t="s">
        <v>1219</v>
      </c>
      <c r="AY86" s="3" t="s">
        <v>1220</v>
      </c>
      <c r="AZ86" s="3" t="s">
        <v>74</v>
      </c>
      <c r="BC86" s="3" t="s">
        <v>1221</v>
      </c>
      <c r="BD86" s="3" t="s">
        <v>1222</v>
      </c>
    </row>
    <row r="87" spans="1:56" ht="57.75" customHeight="1" x14ac:dyDescent="0.25">
      <c r="A87" s="7" t="s">
        <v>58</v>
      </c>
      <c r="B87" s="2" t="s">
        <v>1223</v>
      </c>
      <c r="C87" s="2" t="s">
        <v>1224</v>
      </c>
      <c r="D87" s="2" t="s">
        <v>1225</v>
      </c>
      <c r="F87" s="3" t="s">
        <v>58</v>
      </c>
      <c r="G87" s="3" t="s">
        <v>59</v>
      </c>
      <c r="H87" s="3" t="s">
        <v>58</v>
      </c>
      <c r="I87" s="3" t="s">
        <v>58</v>
      </c>
      <c r="J87" s="3" t="s">
        <v>60</v>
      </c>
      <c r="K87" s="2" t="s">
        <v>1226</v>
      </c>
      <c r="L87" s="2" t="s">
        <v>1227</v>
      </c>
      <c r="M87" s="3" t="s">
        <v>605</v>
      </c>
      <c r="O87" s="3" t="s">
        <v>64</v>
      </c>
      <c r="P87" s="3" t="s">
        <v>65</v>
      </c>
      <c r="R87" s="3" t="s">
        <v>1093</v>
      </c>
      <c r="S87" s="4">
        <v>1</v>
      </c>
      <c r="T87" s="4">
        <v>1</v>
      </c>
      <c r="U87" s="5" t="s">
        <v>1228</v>
      </c>
      <c r="V87" s="5" t="s">
        <v>1228</v>
      </c>
      <c r="W87" s="5" t="s">
        <v>1228</v>
      </c>
      <c r="X87" s="5" t="s">
        <v>1228</v>
      </c>
      <c r="Y87" s="4">
        <v>647</v>
      </c>
      <c r="Z87" s="4">
        <v>535</v>
      </c>
      <c r="AA87" s="4">
        <v>537</v>
      </c>
      <c r="AB87" s="4">
        <v>6</v>
      </c>
      <c r="AC87" s="4">
        <v>6</v>
      </c>
      <c r="AD87" s="4">
        <v>16</v>
      </c>
      <c r="AE87" s="4">
        <v>16</v>
      </c>
      <c r="AF87" s="4">
        <v>7</v>
      </c>
      <c r="AG87" s="4">
        <v>7</v>
      </c>
      <c r="AH87" s="4">
        <v>3</v>
      </c>
      <c r="AI87" s="4">
        <v>3</v>
      </c>
      <c r="AJ87" s="4">
        <v>6</v>
      </c>
      <c r="AK87" s="4">
        <v>6</v>
      </c>
      <c r="AL87" s="4">
        <v>4</v>
      </c>
      <c r="AM87" s="4">
        <v>4</v>
      </c>
      <c r="AN87" s="4">
        <v>0</v>
      </c>
      <c r="AO87" s="4">
        <v>0</v>
      </c>
      <c r="AP87" s="3" t="s">
        <v>58</v>
      </c>
      <c r="AQ87" s="3" t="s">
        <v>69</v>
      </c>
      <c r="AR87" s="6" t="str">
        <f>HYPERLINK("http://catalog.hathitrust.org/Record/003495870","HathiTrust Record")</f>
        <v>HathiTrust Record</v>
      </c>
      <c r="AS87" s="6" t="str">
        <f>HYPERLINK("https://creighton-primo.hosted.exlibrisgroup.com/primo-explore/search?tab=default_tab&amp;search_scope=EVERYTHING&amp;vid=01CRU&amp;lang=en_US&amp;offset=0&amp;query=any,contains,991004525229702656","Catalog Record")</f>
        <v>Catalog Record</v>
      </c>
      <c r="AT87" s="6" t="str">
        <f>HYPERLINK("http://www.worldcat.org/oclc/42690134","WorldCat Record")</f>
        <v>WorldCat Record</v>
      </c>
      <c r="AU87" s="3" t="s">
        <v>1229</v>
      </c>
      <c r="AV87" s="3" t="s">
        <v>1230</v>
      </c>
      <c r="AW87" s="3" t="s">
        <v>1231</v>
      </c>
      <c r="AX87" s="3" t="s">
        <v>1231</v>
      </c>
      <c r="AY87" s="3" t="s">
        <v>1232</v>
      </c>
      <c r="AZ87" s="3" t="s">
        <v>74</v>
      </c>
      <c r="BB87" s="3" t="s">
        <v>1233</v>
      </c>
      <c r="BC87" s="3" t="s">
        <v>1234</v>
      </c>
      <c r="BD87" s="3" t="s">
        <v>1235</v>
      </c>
    </row>
    <row r="88" spans="1:56" ht="57.75" customHeight="1" x14ac:dyDescent="0.25">
      <c r="A88" s="7" t="s">
        <v>58</v>
      </c>
      <c r="B88" s="2" t="s">
        <v>1236</v>
      </c>
      <c r="C88" s="2" t="s">
        <v>1237</v>
      </c>
      <c r="D88" s="2" t="s">
        <v>1238</v>
      </c>
      <c r="F88" s="3" t="s">
        <v>58</v>
      </c>
      <c r="G88" s="3" t="s">
        <v>59</v>
      </c>
      <c r="H88" s="3" t="s">
        <v>58</v>
      </c>
      <c r="I88" s="3" t="s">
        <v>58</v>
      </c>
      <c r="J88" s="3" t="s">
        <v>60</v>
      </c>
      <c r="K88" s="2" t="s">
        <v>1239</v>
      </c>
      <c r="L88" s="2" t="s">
        <v>1240</v>
      </c>
      <c r="M88" s="3" t="s">
        <v>249</v>
      </c>
      <c r="O88" s="3" t="s">
        <v>64</v>
      </c>
      <c r="P88" s="3" t="s">
        <v>65</v>
      </c>
      <c r="R88" s="3" t="s">
        <v>1093</v>
      </c>
      <c r="S88" s="4">
        <v>1</v>
      </c>
      <c r="T88" s="4">
        <v>1</v>
      </c>
      <c r="U88" s="5" t="s">
        <v>1241</v>
      </c>
      <c r="V88" s="5" t="s">
        <v>1241</v>
      </c>
      <c r="W88" s="5" t="s">
        <v>1241</v>
      </c>
      <c r="X88" s="5" t="s">
        <v>1241</v>
      </c>
      <c r="Y88" s="4">
        <v>313</v>
      </c>
      <c r="Z88" s="4">
        <v>294</v>
      </c>
      <c r="AA88" s="4">
        <v>301</v>
      </c>
      <c r="AB88" s="4">
        <v>3</v>
      </c>
      <c r="AC88" s="4">
        <v>3</v>
      </c>
      <c r="AD88" s="4">
        <v>11</v>
      </c>
      <c r="AE88" s="4">
        <v>11</v>
      </c>
      <c r="AF88" s="4">
        <v>5</v>
      </c>
      <c r="AG88" s="4">
        <v>5</v>
      </c>
      <c r="AH88" s="4">
        <v>1</v>
      </c>
      <c r="AI88" s="4">
        <v>1</v>
      </c>
      <c r="AJ88" s="4">
        <v>4</v>
      </c>
      <c r="AK88" s="4">
        <v>4</v>
      </c>
      <c r="AL88" s="4">
        <v>2</v>
      </c>
      <c r="AM88" s="4">
        <v>2</v>
      </c>
      <c r="AN88" s="4">
        <v>0</v>
      </c>
      <c r="AO88" s="4">
        <v>0</v>
      </c>
      <c r="AP88" s="3" t="s">
        <v>58</v>
      </c>
      <c r="AQ88" s="3" t="s">
        <v>58</v>
      </c>
      <c r="AS88" s="6" t="str">
        <f>HYPERLINK("https://creighton-primo.hosted.exlibrisgroup.com/primo-explore/search?tab=default_tab&amp;search_scope=EVERYTHING&amp;vid=01CRU&amp;lang=en_US&amp;offset=0&amp;query=any,contains,991004539169702656","Catalog Record")</f>
        <v>Catalog Record</v>
      </c>
      <c r="AT88" s="6" t="str">
        <f>HYPERLINK("http://www.worldcat.org/oclc/54046180","WorldCat Record")</f>
        <v>WorldCat Record</v>
      </c>
      <c r="AU88" s="3" t="s">
        <v>1242</v>
      </c>
      <c r="AV88" s="3" t="s">
        <v>1243</v>
      </c>
      <c r="AW88" s="3" t="s">
        <v>1244</v>
      </c>
      <c r="AX88" s="3" t="s">
        <v>1244</v>
      </c>
      <c r="AY88" s="3" t="s">
        <v>1245</v>
      </c>
      <c r="AZ88" s="3" t="s">
        <v>74</v>
      </c>
      <c r="BB88" s="3" t="s">
        <v>1246</v>
      </c>
      <c r="BC88" s="3" t="s">
        <v>1247</v>
      </c>
      <c r="BD88" s="3" t="s">
        <v>1248</v>
      </c>
    </row>
    <row r="89" spans="1:56" ht="57.75" customHeight="1" x14ac:dyDescent="0.25">
      <c r="A89" s="7" t="s">
        <v>58</v>
      </c>
      <c r="B89" s="2" t="s">
        <v>1249</v>
      </c>
      <c r="C89" s="2" t="s">
        <v>1250</v>
      </c>
      <c r="D89" s="2" t="s">
        <v>1251</v>
      </c>
      <c r="F89" s="3" t="s">
        <v>58</v>
      </c>
      <c r="G89" s="3" t="s">
        <v>59</v>
      </c>
      <c r="H89" s="3" t="s">
        <v>58</v>
      </c>
      <c r="I89" s="3" t="s">
        <v>58</v>
      </c>
      <c r="J89" s="3" t="s">
        <v>60</v>
      </c>
      <c r="K89" s="2" t="s">
        <v>1252</v>
      </c>
      <c r="L89" s="2" t="s">
        <v>1253</v>
      </c>
      <c r="M89" s="3" t="s">
        <v>1254</v>
      </c>
      <c r="O89" s="3" t="s">
        <v>64</v>
      </c>
      <c r="P89" s="3" t="s">
        <v>412</v>
      </c>
      <c r="R89" s="3" t="s">
        <v>1093</v>
      </c>
      <c r="S89" s="4">
        <v>2</v>
      </c>
      <c r="T89" s="4">
        <v>2</v>
      </c>
      <c r="U89" s="5" t="s">
        <v>1255</v>
      </c>
      <c r="V89" s="5" t="s">
        <v>1255</v>
      </c>
      <c r="W89" s="5" t="s">
        <v>1256</v>
      </c>
      <c r="X89" s="5" t="s">
        <v>1256</v>
      </c>
      <c r="Y89" s="4">
        <v>378</v>
      </c>
      <c r="Z89" s="4">
        <v>201</v>
      </c>
      <c r="AA89" s="4">
        <v>232</v>
      </c>
      <c r="AB89" s="4">
        <v>3</v>
      </c>
      <c r="AC89" s="4">
        <v>3</v>
      </c>
      <c r="AD89" s="4">
        <v>5</v>
      </c>
      <c r="AE89" s="4">
        <v>7</v>
      </c>
      <c r="AF89" s="4">
        <v>0</v>
      </c>
      <c r="AG89" s="4">
        <v>1</v>
      </c>
      <c r="AH89" s="4">
        <v>2</v>
      </c>
      <c r="AI89" s="4">
        <v>3</v>
      </c>
      <c r="AJ89" s="4">
        <v>1</v>
      </c>
      <c r="AK89" s="4">
        <v>2</v>
      </c>
      <c r="AL89" s="4">
        <v>2</v>
      </c>
      <c r="AM89" s="4">
        <v>2</v>
      </c>
      <c r="AN89" s="4">
        <v>0</v>
      </c>
      <c r="AO89" s="4">
        <v>0</v>
      </c>
      <c r="AP89" s="3" t="s">
        <v>58</v>
      </c>
      <c r="AQ89" s="3" t="s">
        <v>69</v>
      </c>
      <c r="AR89" s="6" t="str">
        <f>HYPERLINK("http://catalog.hathitrust.org/Record/004245480","HathiTrust Record")</f>
        <v>HathiTrust Record</v>
      </c>
      <c r="AS89" s="6" t="str">
        <f>HYPERLINK("https://creighton-primo.hosted.exlibrisgroup.com/primo-explore/search?tab=default_tab&amp;search_scope=EVERYTHING&amp;vid=01CRU&amp;lang=en_US&amp;offset=0&amp;query=any,contains,991004223149702656","Catalog Record")</f>
        <v>Catalog Record</v>
      </c>
      <c r="AT89" s="6" t="str">
        <f>HYPERLINK("http://www.worldcat.org/oclc/48415910","WorldCat Record")</f>
        <v>WorldCat Record</v>
      </c>
      <c r="AU89" s="3" t="s">
        <v>1257</v>
      </c>
      <c r="AV89" s="3" t="s">
        <v>1258</v>
      </c>
      <c r="AW89" s="3" t="s">
        <v>1259</v>
      </c>
      <c r="AX89" s="3" t="s">
        <v>1259</v>
      </c>
      <c r="AY89" s="3" t="s">
        <v>1260</v>
      </c>
      <c r="AZ89" s="3" t="s">
        <v>74</v>
      </c>
      <c r="BB89" s="3" t="s">
        <v>1261</v>
      </c>
      <c r="BC89" s="3" t="s">
        <v>1262</v>
      </c>
      <c r="BD89" s="3" t="s">
        <v>1263</v>
      </c>
    </row>
    <row r="90" spans="1:56" ht="57.75" customHeight="1" x14ac:dyDescent="0.25">
      <c r="A90" s="7" t="s">
        <v>58</v>
      </c>
      <c r="B90" s="2" t="s">
        <v>1264</v>
      </c>
      <c r="C90" s="2" t="s">
        <v>1265</v>
      </c>
      <c r="D90" s="2" t="s">
        <v>1266</v>
      </c>
      <c r="F90" s="3" t="s">
        <v>58</v>
      </c>
      <c r="G90" s="3" t="s">
        <v>59</v>
      </c>
      <c r="H90" s="3" t="s">
        <v>58</v>
      </c>
      <c r="I90" s="3" t="s">
        <v>58</v>
      </c>
      <c r="J90" s="3" t="s">
        <v>60</v>
      </c>
      <c r="K90" s="2" t="s">
        <v>1267</v>
      </c>
      <c r="L90" s="2" t="s">
        <v>1268</v>
      </c>
      <c r="M90" s="3" t="s">
        <v>138</v>
      </c>
      <c r="O90" s="3" t="s">
        <v>64</v>
      </c>
      <c r="P90" s="3" t="s">
        <v>412</v>
      </c>
      <c r="R90" s="3" t="s">
        <v>1093</v>
      </c>
      <c r="S90" s="4">
        <v>10</v>
      </c>
      <c r="T90" s="4">
        <v>10</v>
      </c>
      <c r="U90" s="5" t="s">
        <v>1269</v>
      </c>
      <c r="V90" s="5" t="s">
        <v>1269</v>
      </c>
      <c r="W90" s="5" t="s">
        <v>68</v>
      </c>
      <c r="X90" s="5" t="s">
        <v>68</v>
      </c>
      <c r="Y90" s="4">
        <v>348</v>
      </c>
      <c r="Z90" s="4">
        <v>228</v>
      </c>
      <c r="AA90" s="4">
        <v>235</v>
      </c>
      <c r="AB90" s="4">
        <v>3</v>
      </c>
      <c r="AC90" s="4">
        <v>3</v>
      </c>
      <c r="AD90" s="4">
        <v>13</v>
      </c>
      <c r="AE90" s="4">
        <v>14</v>
      </c>
      <c r="AF90" s="4">
        <v>5</v>
      </c>
      <c r="AG90" s="4">
        <v>5</v>
      </c>
      <c r="AH90" s="4">
        <v>1</v>
      </c>
      <c r="AI90" s="4">
        <v>2</v>
      </c>
      <c r="AJ90" s="4">
        <v>6</v>
      </c>
      <c r="AK90" s="4">
        <v>7</v>
      </c>
      <c r="AL90" s="4">
        <v>2</v>
      </c>
      <c r="AM90" s="4">
        <v>2</v>
      </c>
      <c r="AN90" s="4">
        <v>0</v>
      </c>
      <c r="AO90" s="4">
        <v>0</v>
      </c>
      <c r="AP90" s="3" t="s">
        <v>58</v>
      </c>
      <c r="AQ90" s="3" t="s">
        <v>69</v>
      </c>
      <c r="AR90" s="6" t="str">
        <f>HYPERLINK("http://catalog.hathitrust.org/Record/000733623","HathiTrust Record")</f>
        <v>HathiTrust Record</v>
      </c>
      <c r="AS90" s="6" t="str">
        <f>HYPERLINK("https://creighton-primo.hosted.exlibrisgroup.com/primo-explore/search?tab=default_tab&amp;search_scope=EVERYTHING&amp;vid=01CRU&amp;lang=en_US&amp;offset=0&amp;query=any,contains,991004807899702656","Catalog Record")</f>
        <v>Catalog Record</v>
      </c>
      <c r="AT90" s="6" t="str">
        <f>HYPERLINK("http://www.worldcat.org/oclc/5264194","WorldCat Record")</f>
        <v>WorldCat Record</v>
      </c>
      <c r="AU90" s="3" t="s">
        <v>1270</v>
      </c>
      <c r="AV90" s="3" t="s">
        <v>1271</v>
      </c>
      <c r="AW90" s="3" t="s">
        <v>1272</v>
      </c>
      <c r="AX90" s="3" t="s">
        <v>1272</v>
      </c>
      <c r="AY90" s="3" t="s">
        <v>1273</v>
      </c>
      <c r="AZ90" s="3" t="s">
        <v>74</v>
      </c>
      <c r="BB90" s="3" t="s">
        <v>1274</v>
      </c>
      <c r="BC90" s="3" t="s">
        <v>1275</v>
      </c>
      <c r="BD90" s="3" t="s">
        <v>1276</v>
      </c>
    </row>
    <row r="91" spans="1:56" ht="57.75" customHeight="1" x14ac:dyDescent="0.25">
      <c r="A91" s="7" t="s">
        <v>58</v>
      </c>
      <c r="B91" s="2" t="s">
        <v>1277</v>
      </c>
      <c r="C91" s="2" t="s">
        <v>1278</v>
      </c>
      <c r="D91" s="2" t="s">
        <v>1279</v>
      </c>
      <c r="F91" s="3" t="s">
        <v>58</v>
      </c>
      <c r="G91" s="3" t="s">
        <v>59</v>
      </c>
      <c r="H91" s="3" t="s">
        <v>58</v>
      </c>
      <c r="I91" s="3" t="s">
        <v>58</v>
      </c>
      <c r="J91" s="3" t="s">
        <v>60</v>
      </c>
      <c r="K91" s="2" t="s">
        <v>1280</v>
      </c>
      <c r="L91" s="2" t="s">
        <v>1281</v>
      </c>
      <c r="M91" s="3" t="s">
        <v>916</v>
      </c>
      <c r="N91" s="2" t="s">
        <v>606</v>
      </c>
      <c r="O91" s="3" t="s">
        <v>64</v>
      </c>
      <c r="P91" s="3" t="s">
        <v>154</v>
      </c>
      <c r="R91" s="3" t="s">
        <v>1093</v>
      </c>
      <c r="S91" s="4">
        <v>5</v>
      </c>
      <c r="T91" s="4">
        <v>5</v>
      </c>
      <c r="U91" s="5" t="s">
        <v>1282</v>
      </c>
      <c r="V91" s="5" t="s">
        <v>1282</v>
      </c>
      <c r="W91" s="5" t="s">
        <v>1283</v>
      </c>
      <c r="X91" s="5" t="s">
        <v>1283</v>
      </c>
      <c r="Y91" s="4">
        <v>653</v>
      </c>
      <c r="Z91" s="4">
        <v>517</v>
      </c>
      <c r="AA91" s="4">
        <v>526</v>
      </c>
      <c r="AB91" s="4">
        <v>2</v>
      </c>
      <c r="AC91" s="4">
        <v>2</v>
      </c>
      <c r="AD91" s="4">
        <v>14</v>
      </c>
      <c r="AE91" s="4">
        <v>14</v>
      </c>
      <c r="AF91" s="4">
        <v>6</v>
      </c>
      <c r="AG91" s="4">
        <v>6</v>
      </c>
      <c r="AH91" s="4">
        <v>6</v>
      </c>
      <c r="AI91" s="4">
        <v>6</v>
      </c>
      <c r="AJ91" s="4">
        <v>8</v>
      </c>
      <c r="AK91" s="4">
        <v>8</v>
      </c>
      <c r="AL91" s="4">
        <v>1</v>
      </c>
      <c r="AM91" s="4">
        <v>1</v>
      </c>
      <c r="AN91" s="4">
        <v>0</v>
      </c>
      <c r="AO91" s="4">
        <v>0</v>
      </c>
      <c r="AP91" s="3" t="s">
        <v>58</v>
      </c>
      <c r="AQ91" s="3" t="s">
        <v>69</v>
      </c>
      <c r="AR91" s="6" t="str">
        <f>HYPERLINK("http://catalog.hathitrust.org/Record/000261567","HathiTrust Record")</f>
        <v>HathiTrust Record</v>
      </c>
      <c r="AS91" s="6" t="str">
        <f>HYPERLINK("https://creighton-primo.hosted.exlibrisgroup.com/primo-explore/search?tab=default_tab&amp;search_scope=EVERYTHING&amp;vid=01CRU&amp;lang=en_US&amp;offset=0&amp;query=any,contains,991005095769702656","Catalog Record")</f>
        <v>Catalog Record</v>
      </c>
      <c r="AT91" s="6" t="str">
        <f>HYPERLINK("http://www.worldcat.org/oclc/7273039","WorldCat Record")</f>
        <v>WorldCat Record</v>
      </c>
      <c r="AU91" s="3" t="s">
        <v>1284</v>
      </c>
      <c r="AV91" s="3" t="s">
        <v>1285</v>
      </c>
      <c r="AW91" s="3" t="s">
        <v>1286</v>
      </c>
      <c r="AX91" s="3" t="s">
        <v>1286</v>
      </c>
      <c r="AY91" s="3" t="s">
        <v>1287</v>
      </c>
      <c r="AZ91" s="3" t="s">
        <v>74</v>
      </c>
      <c r="BB91" s="3" t="s">
        <v>1288</v>
      </c>
      <c r="BC91" s="3" t="s">
        <v>1289</v>
      </c>
      <c r="BD91" s="3" t="s">
        <v>1290</v>
      </c>
    </row>
    <row r="92" spans="1:56" ht="57.75" customHeight="1" x14ac:dyDescent="0.25">
      <c r="A92" s="7" t="s">
        <v>58</v>
      </c>
      <c r="B92" s="2" t="s">
        <v>1291</v>
      </c>
      <c r="C92" s="2" t="s">
        <v>1292</v>
      </c>
      <c r="D92" s="2" t="s">
        <v>1293</v>
      </c>
      <c r="F92" s="3" t="s">
        <v>58</v>
      </c>
      <c r="G92" s="3" t="s">
        <v>59</v>
      </c>
      <c r="H92" s="3" t="s">
        <v>58</v>
      </c>
      <c r="I92" s="3" t="s">
        <v>58</v>
      </c>
      <c r="J92" s="3" t="s">
        <v>60</v>
      </c>
      <c r="K92" s="2" t="s">
        <v>1294</v>
      </c>
      <c r="L92" s="2" t="s">
        <v>1295</v>
      </c>
      <c r="M92" s="3" t="s">
        <v>778</v>
      </c>
      <c r="O92" s="3" t="s">
        <v>64</v>
      </c>
      <c r="P92" s="3" t="s">
        <v>65</v>
      </c>
      <c r="R92" s="3" t="s">
        <v>1093</v>
      </c>
      <c r="S92" s="4">
        <v>1</v>
      </c>
      <c r="T92" s="4">
        <v>1</v>
      </c>
      <c r="U92" s="5" t="s">
        <v>1296</v>
      </c>
      <c r="V92" s="5" t="s">
        <v>1296</v>
      </c>
      <c r="W92" s="5" t="s">
        <v>372</v>
      </c>
      <c r="X92" s="5" t="s">
        <v>372</v>
      </c>
      <c r="Y92" s="4">
        <v>767</v>
      </c>
      <c r="Z92" s="4">
        <v>727</v>
      </c>
      <c r="AA92" s="4">
        <v>859</v>
      </c>
      <c r="AB92" s="4">
        <v>4</v>
      </c>
      <c r="AC92" s="4">
        <v>5</v>
      </c>
      <c r="AD92" s="4">
        <v>25</v>
      </c>
      <c r="AE92" s="4">
        <v>31</v>
      </c>
      <c r="AF92" s="4">
        <v>10</v>
      </c>
      <c r="AG92" s="4">
        <v>13</v>
      </c>
      <c r="AH92" s="4">
        <v>6</v>
      </c>
      <c r="AI92" s="4">
        <v>6</v>
      </c>
      <c r="AJ92" s="4">
        <v>10</v>
      </c>
      <c r="AK92" s="4">
        <v>13</v>
      </c>
      <c r="AL92" s="4">
        <v>3</v>
      </c>
      <c r="AM92" s="4">
        <v>4</v>
      </c>
      <c r="AN92" s="4">
        <v>0</v>
      </c>
      <c r="AO92" s="4">
        <v>0</v>
      </c>
      <c r="AP92" s="3" t="s">
        <v>58</v>
      </c>
      <c r="AQ92" s="3" t="s">
        <v>69</v>
      </c>
      <c r="AR92" s="6" t="str">
        <f>HYPERLINK("http://catalog.hathitrust.org/Record/001470575","HathiTrust Record")</f>
        <v>HathiTrust Record</v>
      </c>
      <c r="AS92" s="6" t="str">
        <f>HYPERLINK("https://creighton-primo.hosted.exlibrisgroup.com/primo-explore/search?tab=default_tab&amp;search_scope=EVERYTHING&amp;vid=01CRU&amp;lang=en_US&amp;offset=0&amp;query=any,contains,991002905259702656","Catalog Record")</f>
        <v>Catalog Record</v>
      </c>
      <c r="AT92" s="6" t="str">
        <f>HYPERLINK("http://www.worldcat.org/oclc/519184","WorldCat Record")</f>
        <v>WorldCat Record</v>
      </c>
      <c r="AU92" s="3" t="s">
        <v>1297</v>
      </c>
      <c r="AV92" s="3" t="s">
        <v>1298</v>
      </c>
      <c r="AW92" s="3" t="s">
        <v>1299</v>
      </c>
      <c r="AX92" s="3" t="s">
        <v>1299</v>
      </c>
      <c r="AY92" s="3" t="s">
        <v>1300</v>
      </c>
      <c r="AZ92" s="3" t="s">
        <v>74</v>
      </c>
      <c r="BC92" s="3" t="s">
        <v>1301</v>
      </c>
      <c r="BD92" s="3" t="s">
        <v>1302</v>
      </c>
    </row>
    <row r="93" spans="1:56" ht="57.75" customHeight="1" x14ac:dyDescent="0.25">
      <c r="A93" s="7" t="s">
        <v>58</v>
      </c>
      <c r="B93" s="2" t="s">
        <v>1303</v>
      </c>
      <c r="C93" s="2" t="s">
        <v>1304</v>
      </c>
      <c r="D93" s="2" t="s">
        <v>1305</v>
      </c>
      <c r="F93" s="3" t="s">
        <v>58</v>
      </c>
      <c r="G93" s="3" t="s">
        <v>59</v>
      </c>
      <c r="H93" s="3" t="s">
        <v>58</v>
      </c>
      <c r="I93" s="3" t="s">
        <v>58</v>
      </c>
      <c r="J93" s="3" t="s">
        <v>60</v>
      </c>
      <c r="K93" s="2" t="s">
        <v>1306</v>
      </c>
      <c r="L93" s="2" t="s">
        <v>1307</v>
      </c>
      <c r="M93" s="3" t="s">
        <v>293</v>
      </c>
      <c r="O93" s="3" t="s">
        <v>64</v>
      </c>
      <c r="P93" s="3" t="s">
        <v>903</v>
      </c>
      <c r="R93" s="3" t="s">
        <v>1093</v>
      </c>
      <c r="S93" s="4">
        <v>8</v>
      </c>
      <c r="T93" s="4">
        <v>8</v>
      </c>
      <c r="U93" s="5" t="s">
        <v>1308</v>
      </c>
      <c r="V93" s="5" t="s">
        <v>1308</v>
      </c>
      <c r="W93" s="5" t="s">
        <v>1309</v>
      </c>
      <c r="X93" s="5" t="s">
        <v>1309</v>
      </c>
      <c r="Y93" s="4">
        <v>303</v>
      </c>
      <c r="Z93" s="4">
        <v>298</v>
      </c>
      <c r="AA93" s="4">
        <v>762</v>
      </c>
      <c r="AB93" s="4">
        <v>3</v>
      </c>
      <c r="AC93" s="4">
        <v>8</v>
      </c>
      <c r="AD93" s="4">
        <v>9</v>
      </c>
      <c r="AE93" s="4">
        <v>16</v>
      </c>
      <c r="AF93" s="4">
        <v>5</v>
      </c>
      <c r="AG93" s="4">
        <v>6</v>
      </c>
      <c r="AH93" s="4">
        <v>0</v>
      </c>
      <c r="AI93" s="4">
        <v>1</v>
      </c>
      <c r="AJ93" s="4">
        <v>3</v>
      </c>
      <c r="AK93" s="4">
        <v>6</v>
      </c>
      <c r="AL93" s="4">
        <v>2</v>
      </c>
      <c r="AM93" s="4">
        <v>4</v>
      </c>
      <c r="AN93" s="4">
        <v>0</v>
      </c>
      <c r="AO93" s="4">
        <v>0</v>
      </c>
      <c r="AP93" s="3" t="s">
        <v>58</v>
      </c>
      <c r="AQ93" s="3" t="s">
        <v>58</v>
      </c>
      <c r="AS93" s="6" t="str">
        <f>HYPERLINK("https://creighton-primo.hosted.exlibrisgroup.com/primo-explore/search?tab=default_tab&amp;search_scope=EVERYTHING&amp;vid=01CRU&amp;lang=en_US&amp;offset=0&amp;query=any,contains,991002359079702656","Catalog Record")</f>
        <v>Catalog Record</v>
      </c>
      <c r="AT93" s="6" t="str">
        <f>HYPERLINK("http://www.worldcat.org/oclc/325663","WorldCat Record")</f>
        <v>WorldCat Record</v>
      </c>
      <c r="AU93" s="3" t="s">
        <v>1310</v>
      </c>
      <c r="AV93" s="3" t="s">
        <v>1311</v>
      </c>
      <c r="AW93" s="3" t="s">
        <v>1312</v>
      </c>
      <c r="AX93" s="3" t="s">
        <v>1312</v>
      </c>
      <c r="AY93" s="3" t="s">
        <v>1313</v>
      </c>
      <c r="AZ93" s="3" t="s">
        <v>74</v>
      </c>
      <c r="BC93" s="3" t="s">
        <v>1314</v>
      </c>
      <c r="BD93" s="3" t="s">
        <v>1315</v>
      </c>
    </row>
    <row r="94" spans="1:56" ht="57.75" customHeight="1" x14ac:dyDescent="0.25">
      <c r="A94" s="7" t="s">
        <v>58</v>
      </c>
      <c r="B94" s="2" t="s">
        <v>1316</v>
      </c>
      <c r="C94" s="2" t="s">
        <v>1317</v>
      </c>
      <c r="D94" s="2" t="s">
        <v>1318</v>
      </c>
      <c r="F94" s="3" t="s">
        <v>58</v>
      </c>
      <c r="G94" s="3" t="s">
        <v>59</v>
      </c>
      <c r="H94" s="3" t="s">
        <v>58</v>
      </c>
      <c r="I94" s="3" t="s">
        <v>58</v>
      </c>
      <c r="J94" s="3" t="s">
        <v>60</v>
      </c>
      <c r="K94" s="2" t="s">
        <v>1319</v>
      </c>
      <c r="L94" s="2" t="s">
        <v>1320</v>
      </c>
      <c r="M94" s="3" t="s">
        <v>678</v>
      </c>
      <c r="O94" s="3" t="s">
        <v>64</v>
      </c>
      <c r="P94" s="3" t="s">
        <v>540</v>
      </c>
      <c r="R94" s="3" t="s">
        <v>1093</v>
      </c>
      <c r="S94" s="4">
        <v>5</v>
      </c>
      <c r="T94" s="4">
        <v>5</v>
      </c>
      <c r="U94" s="5" t="s">
        <v>1321</v>
      </c>
      <c r="V94" s="5" t="s">
        <v>1321</v>
      </c>
      <c r="W94" s="5" t="s">
        <v>1322</v>
      </c>
      <c r="X94" s="5" t="s">
        <v>1322</v>
      </c>
      <c r="Y94" s="4">
        <v>243</v>
      </c>
      <c r="Z94" s="4">
        <v>185</v>
      </c>
      <c r="AA94" s="4">
        <v>187</v>
      </c>
      <c r="AB94" s="4">
        <v>2</v>
      </c>
      <c r="AC94" s="4">
        <v>2</v>
      </c>
      <c r="AD94" s="4">
        <v>3</v>
      </c>
      <c r="AE94" s="4">
        <v>3</v>
      </c>
      <c r="AF94" s="4">
        <v>2</v>
      </c>
      <c r="AG94" s="4">
        <v>2</v>
      </c>
      <c r="AH94" s="4">
        <v>0</v>
      </c>
      <c r="AI94" s="4">
        <v>0</v>
      </c>
      <c r="AJ94" s="4">
        <v>0</v>
      </c>
      <c r="AK94" s="4">
        <v>0</v>
      </c>
      <c r="AL94" s="4">
        <v>1</v>
      </c>
      <c r="AM94" s="4">
        <v>1</v>
      </c>
      <c r="AN94" s="4">
        <v>0</v>
      </c>
      <c r="AO94" s="4">
        <v>0</v>
      </c>
      <c r="AP94" s="3" t="s">
        <v>58</v>
      </c>
      <c r="AQ94" s="3" t="s">
        <v>69</v>
      </c>
      <c r="AR94" s="6" t="str">
        <f>HYPERLINK("http://catalog.hathitrust.org/Record/000285640","HathiTrust Record")</f>
        <v>HathiTrust Record</v>
      </c>
      <c r="AS94" s="6" t="str">
        <f>HYPERLINK("https://creighton-primo.hosted.exlibrisgroup.com/primo-explore/search?tab=default_tab&amp;search_scope=EVERYTHING&amp;vid=01CRU&amp;lang=en_US&amp;offset=0&amp;query=any,contains,991000165269702656","Catalog Record")</f>
        <v>Catalog Record</v>
      </c>
      <c r="AT94" s="6" t="str">
        <f>HYPERLINK("http://www.worldcat.org/oclc/9282869","WorldCat Record")</f>
        <v>WorldCat Record</v>
      </c>
      <c r="AU94" s="3" t="s">
        <v>1323</v>
      </c>
      <c r="AV94" s="3" t="s">
        <v>1324</v>
      </c>
      <c r="AW94" s="3" t="s">
        <v>1325</v>
      </c>
      <c r="AX94" s="3" t="s">
        <v>1325</v>
      </c>
      <c r="AY94" s="3" t="s">
        <v>1326</v>
      </c>
      <c r="AZ94" s="3" t="s">
        <v>74</v>
      </c>
      <c r="BB94" s="3" t="s">
        <v>1327</v>
      </c>
      <c r="BC94" s="3" t="s">
        <v>1328</v>
      </c>
      <c r="BD94" s="3" t="s">
        <v>1329</v>
      </c>
    </row>
    <row r="95" spans="1:56" ht="57.75" customHeight="1" x14ac:dyDescent="0.25">
      <c r="A95" s="7" t="s">
        <v>58</v>
      </c>
      <c r="B95" s="2" t="s">
        <v>1330</v>
      </c>
      <c r="C95" s="2" t="s">
        <v>1331</v>
      </c>
      <c r="D95" s="2" t="s">
        <v>1332</v>
      </c>
      <c r="F95" s="3" t="s">
        <v>58</v>
      </c>
      <c r="G95" s="3" t="s">
        <v>59</v>
      </c>
      <c r="H95" s="3" t="s">
        <v>58</v>
      </c>
      <c r="I95" s="3" t="s">
        <v>58</v>
      </c>
      <c r="J95" s="3" t="s">
        <v>60</v>
      </c>
      <c r="K95" s="2" t="s">
        <v>1333</v>
      </c>
      <c r="L95" s="2" t="s">
        <v>1334</v>
      </c>
      <c r="M95" s="3" t="s">
        <v>293</v>
      </c>
      <c r="N95" s="2" t="s">
        <v>1335</v>
      </c>
      <c r="O95" s="3" t="s">
        <v>64</v>
      </c>
      <c r="P95" s="3" t="s">
        <v>65</v>
      </c>
      <c r="R95" s="3" t="s">
        <v>1093</v>
      </c>
      <c r="S95" s="4">
        <v>3</v>
      </c>
      <c r="T95" s="4">
        <v>3</v>
      </c>
      <c r="U95" s="5" t="s">
        <v>1308</v>
      </c>
      <c r="V95" s="5" t="s">
        <v>1308</v>
      </c>
      <c r="W95" s="5" t="s">
        <v>1336</v>
      </c>
      <c r="X95" s="5" t="s">
        <v>1336</v>
      </c>
      <c r="Y95" s="4">
        <v>605</v>
      </c>
      <c r="Z95" s="4">
        <v>521</v>
      </c>
      <c r="AA95" s="4">
        <v>1064</v>
      </c>
      <c r="AB95" s="4">
        <v>3</v>
      </c>
      <c r="AC95" s="4">
        <v>6</v>
      </c>
      <c r="AD95" s="4">
        <v>14</v>
      </c>
      <c r="AE95" s="4">
        <v>29</v>
      </c>
      <c r="AF95" s="4">
        <v>5</v>
      </c>
      <c r="AG95" s="4">
        <v>14</v>
      </c>
      <c r="AH95" s="4">
        <v>3</v>
      </c>
      <c r="AI95" s="4">
        <v>5</v>
      </c>
      <c r="AJ95" s="4">
        <v>7</v>
      </c>
      <c r="AK95" s="4">
        <v>11</v>
      </c>
      <c r="AL95" s="4">
        <v>3</v>
      </c>
      <c r="AM95" s="4">
        <v>6</v>
      </c>
      <c r="AN95" s="4">
        <v>0</v>
      </c>
      <c r="AO95" s="4">
        <v>0</v>
      </c>
      <c r="AP95" s="3" t="s">
        <v>58</v>
      </c>
      <c r="AQ95" s="3" t="s">
        <v>69</v>
      </c>
      <c r="AR95" s="6" t="str">
        <f>HYPERLINK("http://catalog.hathitrust.org/Record/001470847","HathiTrust Record")</f>
        <v>HathiTrust Record</v>
      </c>
      <c r="AS95" s="6" t="str">
        <f>HYPERLINK("https://creighton-primo.hosted.exlibrisgroup.com/primo-explore/search?tab=default_tab&amp;search_scope=EVERYTHING&amp;vid=01CRU&amp;lang=en_US&amp;offset=0&amp;query=any,contains,991000436419702656","Catalog Record")</f>
        <v>Catalog Record</v>
      </c>
      <c r="AT95" s="6" t="str">
        <f>HYPERLINK("http://www.worldcat.org/oclc/76111","WorldCat Record")</f>
        <v>WorldCat Record</v>
      </c>
      <c r="AU95" s="3" t="s">
        <v>1337</v>
      </c>
      <c r="AV95" s="3" t="s">
        <v>1338</v>
      </c>
      <c r="AW95" s="3" t="s">
        <v>1339</v>
      </c>
      <c r="AX95" s="3" t="s">
        <v>1339</v>
      </c>
      <c r="AY95" s="3" t="s">
        <v>1340</v>
      </c>
      <c r="AZ95" s="3" t="s">
        <v>74</v>
      </c>
      <c r="BB95" s="3" t="s">
        <v>1341</v>
      </c>
      <c r="BC95" s="3" t="s">
        <v>1342</v>
      </c>
      <c r="BD95" s="3" t="s">
        <v>1343</v>
      </c>
    </row>
    <row r="96" spans="1:56" ht="57.75" customHeight="1" x14ac:dyDescent="0.25">
      <c r="A96" s="7" t="s">
        <v>58</v>
      </c>
      <c r="B96" s="2" t="s">
        <v>1344</v>
      </c>
      <c r="C96" s="2" t="s">
        <v>1345</v>
      </c>
      <c r="D96" s="2" t="s">
        <v>1346</v>
      </c>
      <c r="F96" s="3" t="s">
        <v>58</v>
      </c>
      <c r="G96" s="3" t="s">
        <v>59</v>
      </c>
      <c r="H96" s="3" t="s">
        <v>58</v>
      </c>
      <c r="I96" s="3" t="s">
        <v>58</v>
      </c>
      <c r="J96" s="3" t="s">
        <v>60</v>
      </c>
      <c r="K96" s="2" t="s">
        <v>1347</v>
      </c>
      <c r="L96" s="2" t="s">
        <v>1348</v>
      </c>
      <c r="M96" s="3" t="s">
        <v>847</v>
      </c>
      <c r="O96" s="3" t="s">
        <v>64</v>
      </c>
      <c r="P96" s="3" t="s">
        <v>540</v>
      </c>
      <c r="R96" s="3" t="s">
        <v>1093</v>
      </c>
      <c r="S96" s="4">
        <v>6</v>
      </c>
      <c r="T96" s="4">
        <v>6</v>
      </c>
      <c r="U96" s="5" t="s">
        <v>1349</v>
      </c>
      <c r="V96" s="5" t="s">
        <v>1349</v>
      </c>
      <c r="W96" s="5" t="s">
        <v>68</v>
      </c>
      <c r="X96" s="5" t="s">
        <v>68</v>
      </c>
      <c r="Y96" s="4">
        <v>251</v>
      </c>
      <c r="Z96" s="4">
        <v>199</v>
      </c>
      <c r="AA96" s="4">
        <v>310</v>
      </c>
      <c r="AB96" s="4">
        <v>2</v>
      </c>
      <c r="AC96" s="4">
        <v>2</v>
      </c>
      <c r="AD96" s="4">
        <v>3</v>
      </c>
      <c r="AE96" s="4">
        <v>8</v>
      </c>
      <c r="AF96" s="4">
        <v>1</v>
      </c>
      <c r="AG96" s="4">
        <v>4</v>
      </c>
      <c r="AH96" s="4">
        <v>1</v>
      </c>
      <c r="AI96" s="4">
        <v>2</v>
      </c>
      <c r="AJ96" s="4">
        <v>0</v>
      </c>
      <c r="AK96" s="4">
        <v>4</v>
      </c>
      <c r="AL96" s="4">
        <v>1</v>
      </c>
      <c r="AM96" s="4">
        <v>1</v>
      </c>
      <c r="AN96" s="4">
        <v>0</v>
      </c>
      <c r="AO96" s="4">
        <v>0</v>
      </c>
      <c r="AP96" s="3" t="s">
        <v>58</v>
      </c>
      <c r="AQ96" s="3" t="s">
        <v>58</v>
      </c>
      <c r="AS96" s="6" t="str">
        <f>HYPERLINK("https://creighton-primo.hosted.exlibrisgroup.com/primo-explore/search?tab=default_tab&amp;search_scope=EVERYTHING&amp;vid=01CRU&amp;lang=en_US&amp;offset=0&amp;query=any,contains,991000035519702656","Catalog Record")</f>
        <v>Catalog Record</v>
      </c>
      <c r="AT96" s="6" t="str">
        <f>HYPERLINK("http://www.worldcat.org/oclc/8627501","WorldCat Record")</f>
        <v>WorldCat Record</v>
      </c>
      <c r="AU96" s="3" t="s">
        <v>1350</v>
      </c>
      <c r="AV96" s="3" t="s">
        <v>1351</v>
      </c>
      <c r="AW96" s="3" t="s">
        <v>1352</v>
      </c>
      <c r="AX96" s="3" t="s">
        <v>1352</v>
      </c>
      <c r="AY96" s="3" t="s">
        <v>1353</v>
      </c>
      <c r="AZ96" s="3" t="s">
        <v>74</v>
      </c>
      <c r="BB96" s="3" t="s">
        <v>1354</v>
      </c>
      <c r="BC96" s="3" t="s">
        <v>1355</v>
      </c>
      <c r="BD96" s="3" t="s">
        <v>1356</v>
      </c>
    </row>
    <row r="97" spans="1:56" ht="57.75" customHeight="1" x14ac:dyDescent="0.25">
      <c r="A97" s="7" t="s">
        <v>58</v>
      </c>
      <c r="B97" s="2" t="s">
        <v>1357</v>
      </c>
      <c r="C97" s="2" t="s">
        <v>1358</v>
      </c>
      <c r="D97" s="2" t="s">
        <v>1359</v>
      </c>
      <c r="F97" s="3" t="s">
        <v>58</v>
      </c>
      <c r="G97" s="3" t="s">
        <v>59</v>
      </c>
      <c r="H97" s="3" t="s">
        <v>58</v>
      </c>
      <c r="I97" s="3" t="s">
        <v>58</v>
      </c>
      <c r="J97" s="3" t="s">
        <v>60</v>
      </c>
      <c r="K97" s="2" t="s">
        <v>1360</v>
      </c>
      <c r="L97" s="2" t="s">
        <v>1361</v>
      </c>
      <c r="M97" s="3" t="s">
        <v>1362</v>
      </c>
      <c r="O97" s="3" t="s">
        <v>64</v>
      </c>
      <c r="P97" s="3" t="s">
        <v>65</v>
      </c>
      <c r="Q97" s="2" t="s">
        <v>1363</v>
      </c>
      <c r="R97" s="3" t="s">
        <v>1093</v>
      </c>
      <c r="S97" s="4">
        <v>4</v>
      </c>
      <c r="T97" s="4">
        <v>4</v>
      </c>
      <c r="U97" s="5" t="s">
        <v>1364</v>
      </c>
      <c r="V97" s="5" t="s">
        <v>1364</v>
      </c>
      <c r="W97" s="5" t="s">
        <v>1365</v>
      </c>
      <c r="X97" s="5" t="s">
        <v>1365</v>
      </c>
      <c r="Y97" s="4">
        <v>350</v>
      </c>
      <c r="Z97" s="4">
        <v>296</v>
      </c>
      <c r="AA97" s="4">
        <v>299</v>
      </c>
      <c r="AB97" s="4">
        <v>3</v>
      </c>
      <c r="AC97" s="4">
        <v>3</v>
      </c>
      <c r="AD97" s="4">
        <v>12</v>
      </c>
      <c r="AE97" s="4">
        <v>12</v>
      </c>
      <c r="AF97" s="4">
        <v>5</v>
      </c>
      <c r="AG97" s="4">
        <v>5</v>
      </c>
      <c r="AH97" s="4">
        <v>1</v>
      </c>
      <c r="AI97" s="4">
        <v>1</v>
      </c>
      <c r="AJ97" s="4">
        <v>7</v>
      </c>
      <c r="AK97" s="4">
        <v>7</v>
      </c>
      <c r="AL97" s="4">
        <v>2</v>
      </c>
      <c r="AM97" s="4">
        <v>2</v>
      </c>
      <c r="AN97" s="4">
        <v>0</v>
      </c>
      <c r="AO97" s="4">
        <v>0</v>
      </c>
      <c r="AP97" s="3" t="s">
        <v>58</v>
      </c>
      <c r="AQ97" s="3" t="s">
        <v>58</v>
      </c>
      <c r="AS97" s="6" t="str">
        <f>HYPERLINK("https://creighton-primo.hosted.exlibrisgroup.com/primo-explore/search?tab=default_tab&amp;search_scope=EVERYTHING&amp;vid=01CRU&amp;lang=en_US&amp;offset=0&amp;query=any,contains,991001069029702656","Catalog Record")</f>
        <v>Catalog Record</v>
      </c>
      <c r="AT97" s="6" t="str">
        <f>HYPERLINK("http://www.worldcat.org/oclc/15856525","WorldCat Record")</f>
        <v>WorldCat Record</v>
      </c>
      <c r="AU97" s="3" t="s">
        <v>1366</v>
      </c>
      <c r="AV97" s="3" t="s">
        <v>1367</v>
      </c>
      <c r="AW97" s="3" t="s">
        <v>1368</v>
      </c>
      <c r="AX97" s="3" t="s">
        <v>1368</v>
      </c>
      <c r="AY97" s="3" t="s">
        <v>1369</v>
      </c>
      <c r="AZ97" s="3" t="s">
        <v>74</v>
      </c>
      <c r="BB97" s="3" t="s">
        <v>1370</v>
      </c>
      <c r="BC97" s="3" t="s">
        <v>1371</v>
      </c>
      <c r="BD97" s="3" t="s">
        <v>1372</v>
      </c>
    </row>
    <row r="98" spans="1:56" ht="57.75" customHeight="1" x14ac:dyDescent="0.25">
      <c r="A98" s="7" t="s">
        <v>58</v>
      </c>
      <c r="B98" s="2" t="s">
        <v>1373</v>
      </c>
      <c r="C98" s="2" t="s">
        <v>1374</v>
      </c>
      <c r="D98" s="2" t="s">
        <v>1375</v>
      </c>
      <c r="F98" s="3" t="s">
        <v>58</v>
      </c>
      <c r="G98" s="3" t="s">
        <v>59</v>
      </c>
      <c r="H98" s="3" t="s">
        <v>58</v>
      </c>
      <c r="I98" s="3" t="s">
        <v>58</v>
      </c>
      <c r="J98" s="3" t="s">
        <v>60</v>
      </c>
      <c r="K98" s="2" t="s">
        <v>1376</v>
      </c>
      <c r="L98" s="2" t="s">
        <v>1377</v>
      </c>
      <c r="M98" s="3" t="s">
        <v>847</v>
      </c>
      <c r="O98" s="3" t="s">
        <v>64</v>
      </c>
      <c r="P98" s="3" t="s">
        <v>453</v>
      </c>
      <c r="R98" s="3" t="s">
        <v>1093</v>
      </c>
      <c r="S98" s="4">
        <v>2</v>
      </c>
      <c r="T98" s="4">
        <v>2</v>
      </c>
      <c r="U98" s="5" t="s">
        <v>1378</v>
      </c>
      <c r="V98" s="5" t="s">
        <v>1378</v>
      </c>
      <c r="W98" s="5" t="s">
        <v>68</v>
      </c>
      <c r="X98" s="5" t="s">
        <v>68</v>
      </c>
      <c r="Y98" s="4">
        <v>336</v>
      </c>
      <c r="Z98" s="4">
        <v>296</v>
      </c>
      <c r="AA98" s="4">
        <v>357</v>
      </c>
      <c r="AB98" s="4">
        <v>4</v>
      </c>
      <c r="AC98" s="4">
        <v>5</v>
      </c>
      <c r="AD98" s="4">
        <v>5</v>
      </c>
      <c r="AE98" s="4">
        <v>5</v>
      </c>
      <c r="AF98" s="4">
        <v>1</v>
      </c>
      <c r="AG98" s="4">
        <v>1</v>
      </c>
      <c r="AH98" s="4">
        <v>0</v>
      </c>
      <c r="AI98" s="4">
        <v>0</v>
      </c>
      <c r="AJ98" s="4">
        <v>1</v>
      </c>
      <c r="AK98" s="4">
        <v>1</v>
      </c>
      <c r="AL98" s="4">
        <v>3</v>
      </c>
      <c r="AM98" s="4">
        <v>3</v>
      </c>
      <c r="AN98" s="4">
        <v>0</v>
      </c>
      <c r="AO98" s="4">
        <v>0</v>
      </c>
      <c r="AP98" s="3" t="s">
        <v>58</v>
      </c>
      <c r="AQ98" s="3" t="s">
        <v>69</v>
      </c>
      <c r="AR98" s="6" t="str">
        <f>HYPERLINK("http://catalog.hathitrust.org/Record/000110711","HathiTrust Record")</f>
        <v>HathiTrust Record</v>
      </c>
      <c r="AS98" s="6" t="str">
        <f>HYPERLINK("https://creighton-primo.hosted.exlibrisgroup.com/primo-explore/search?tab=default_tab&amp;search_scope=EVERYTHING&amp;vid=01CRU&amp;lang=en_US&amp;offset=0&amp;query=any,contains,991000236679702656","Catalog Record")</f>
        <v>Catalog Record</v>
      </c>
      <c r="AT98" s="6" t="str">
        <f>HYPERLINK("http://www.worldcat.org/oclc/9656650","WorldCat Record")</f>
        <v>WorldCat Record</v>
      </c>
      <c r="AU98" s="3" t="s">
        <v>1379</v>
      </c>
      <c r="AV98" s="3" t="s">
        <v>1380</v>
      </c>
      <c r="AW98" s="3" t="s">
        <v>1381</v>
      </c>
      <c r="AX98" s="3" t="s">
        <v>1381</v>
      </c>
      <c r="AY98" s="3" t="s">
        <v>1382</v>
      </c>
      <c r="AZ98" s="3" t="s">
        <v>74</v>
      </c>
      <c r="BB98" s="3" t="s">
        <v>1383</v>
      </c>
      <c r="BC98" s="3" t="s">
        <v>1384</v>
      </c>
      <c r="BD98" s="3" t="s">
        <v>1385</v>
      </c>
    </row>
    <row r="99" spans="1:56" ht="57.75" customHeight="1" x14ac:dyDescent="0.25">
      <c r="A99" s="7" t="s">
        <v>58</v>
      </c>
      <c r="B99" s="2" t="s">
        <v>1386</v>
      </c>
      <c r="C99" s="2" t="s">
        <v>1387</v>
      </c>
      <c r="D99" s="2" t="s">
        <v>1388</v>
      </c>
      <c r="F99" s="3" t="s">
        <v>58</v>
      </c>
      <c r="G99" s="3" t="s">
        <v>59</v>
      </c>
      <c r="H99" s="3" t="s">
        <v>58</v>
      </c>
      <c r="I99" s="3" t="s">
        <v>58</v>
      </c>
      <c r="J99" s="3" t="s">
        <v>60</v>
      </c>
      <c r="K99" s="2" t="s">
        <v>1389</v>
      </c>
      <c r="L99" s="2" t="s">
        <v>1390</v>
      </c>
      <c r="M99" s="3" t="s">
        <v>1391</v>
      </c>
      <c r="O99" s="3" t="s">
        <v>64</v>
      </c>
      <c r="P99" s="3" t="s">
        <v>1392</v>
      </c>
      <c r="R99" s="3" t="s">
        <v>1093</v>
      </c>
      <c r="S99" s="4">
        <v>2</v>
      </c>
      <c r="T99" s="4">
        <v>2</v>
      </c>
      <c r="U99" s="5" t="s">
        <v>1393</v>
      </c>
      <c r="V99" s="5" t="s">
        <v>1393</v>
      </c>
      <c r="W99" s="5" t="s">
        <v>1394</v>
      </c>
      <c r="X99" s="5" t="s">
        <v>1394</v>
      </c>
      <c r="Y99" s="4">
        <v>147</v>
      </c>
      <c r="Z99" s="4">
        <v>123</v>
      </c>
      <c r="AA99" s="4">
        <v>123</v>
      </c>
      <c r="AB99" s="4">
        <v>2</v>
      </c>
      <c r="AC99" s="4">
        <v>2</v>
      </c>
      <c r="AD99" s="4">
        <v>5</v>
      </c>
      <c r="AE99" s="4">
        <v>5</v>
      </c>
      <c r="AF99" s="4">
        <v>2</v>
      </c>
      <c r="AG99" s="4">
        <v>2</v>
      </c>
      <c r="AH99" s="4">
        <v>1</v>
      </c>
      <c r="AI99" s="4">
        <v>1</v>
      </c>
      <c r="AJ99" s="4">
        <v>2</v>
      </c>
      <c r="AK99" s="4">
        <v>2</v>
      </c>
      <c r="AL99" s="4">
        <v>1</v>
      </c>
      <c r="AM99" s="4">
        <v>1</v>
      </c>
      <c r="AN99" s="4">
        <v>0</v>
      </c>
      <c r="AO99" s="4">
        <v>0</v>
      </c>
      <c r="AP99" s="3" t="s">
        <v>58</v>
      </c>
      <c r="AQ99" s="3" t="s">
        <v>58</v>
      </c>
      <c r="AS99" s="6" t="str">
        <f>HYPERLINK("https://creighton-primo.hosted.exlibrisgroup.com/primo-explore/search?tab=default_tab&amp;search_scope=EVERYTHING&amp;vid=01CRU&amp;lang=en_US&amp;offset=0&amp;query=any,contains,991003511379702656","Catalog Record")</f>
        <v>Catalog Record</v>
      </c>
      <c r="AT99" s="6" t="str">
        <f>HYPERLINK("http://www.worldcat.org/oclc/1066153","WorldCat Record")</f>
        <v>WorldCat Record</v>
      </c>
      <c r="AU99" s="3" t="s">
        <v>1395</v>
      </c>
      <c r="AV99" s="3" t="s">
        <v>1396</v>
      </c>
      <c r="AW99" s="3" t="s">
        <v>1397</v>
      </c>
      <c r="AX99" s="3" t="s">
        <v>1397</v>
      </c>
      <c r="AY99" s="3" t="s">
        <v>1398</v>
      </c>
      <c r="AZ99" s="3" t="s">
        <v>74</v>
      </c>
      <c r="BC99" s="3" t="s">
        <v>1399</v>
      </c>
      <c r="BD99" s="3" t="s">
        <v>1400</v>
      </c>
    </row>
    <row r="100" spans="1:56" ht="57.75" customHeight="1" x14ac:dyDescent="0.25">
      <c r="A100" s="7" t="s">
        <v>58</v>
      </c>
      <c r="B100" s="2" t="s">
        <v>1401</v>
      </c>
      <c r="C100" s="2" t="s">
        <v>1402</v>
      </c>
      <c r="D100" s="2" t="s">
        <v>1403</v>
      </c>
      <c r="F100" s="3" t="s">
        <v>58</v>
      </c>
      <c r="G100" s="3" t="s">
        <v>59</v>
      </c>
      <c r="H100" s="3" t="s">
        <v>58</v>
      </c>
      <c r="I100" s="3" t="s">
        <v>58</v>
      </c>
      <c r="J100" s="3" t="s">
        <v>60</v>
      </c>
      <c r="L100" s="2" t="s">
        <v>1404</v>
      </c>
      <c r="M100" s="3" t="s">
        <v>1405</v>
      </c>
      <c r="O100" s="3" t="s">
        <v>64</v>
      </c>
      <c r="P100" s="3" t="s">
        <v>65</v>
      </c>
      <c r="R100" s="3" t="s">
        <v>1093</v>
      </c>
      <c r="S100" s="4">
        <v>1</v>
      </c>
      <c r="T100" s="4">
        <v>1</v>
      </c>
      <c r="U100" s="5" t="s">
        <v>1406</v>
      </c>
      <c r="V100" s="5" t="s">
        <v>1406</v>
      </c>
      <c r="W100" s="5" t="s">
        <v>1407</v>
      </c>
      <c r="X100" s="5" t="s">
        <v>1407</v>
      </c>
      <c r="Y100" s="4">
        <v>611</v>
      </c>
      <c r="Z100" s="4">
        <v>558</v>
      </c>
      <c r="AA100" s="4">
        <v>626</v>
      </c>
      <c r="AB100" s="4">
        <v>4</v>
      </c>
      <c r="AC100" s="4">
        <v>4</v>
      </c>
      <c r="AD100" s="4">
        <v>20</v>
      </c>
      <c r="AE100" s="4">
        <v>21</v>
      </c>
      <c r="AF100" s="4">
        <v>6</v>
      </c>
      <c r="AG100" s="4">
        <v>7</v>
      </c>
      <c r="AH100" s="4">
        <v>5</v>
      </c>
      <c r="AI100" s="4">
        <v>5</v>
      </c>
      <c r="AJ100" s="4">
        <v>12</v>
      </c>
      <c r="AK100" s="4">
        <v>12</v>
      </c>
      <c r="AL100" s="4">
        <v>2</v>
      </c>
      <c r="AM100" s="4">
        <v>2</v>
      </c>
      <c r="AN100" s="4">
        <v>0</v>
      </c>
      <c r="AO100" s="4">
        <v>0</v>
      </c>
      <c r="AP100" s="3" t="s">
        <v>58</v>
      </c>
      <c r="AQ100" s="3" t="s">
        <v>69</v>
      </c>
      <c r="AR100" s="6" t="str">
        <f>HYPERLINK("http://catalog.hathitrust.org/Record/003110260","HathiTrust Record")</f>
        <v>HathiTrust Record</v>
      </c>
      <c r="AS100" s="6" t="str">
        <f>HYPERLINK("https://creighton-primo.hosted.exlibrisgroup.com/primo-explore/search?tab=default_tab&amp;search_scope=EVERYTHING&amp;vid=01CRU&amp;lang=en_US&amp;offset=0&amp;query=any,contains,991002587279702656","Catalog Record")</f>
        <v>Catalog Record</v>
      </c>
      <c r="AT100" s="6" t="str">
        <f>HYPERLINK("http://www.worldcat.org/oclc/33899041","WorldCat Record")</f>
        <v>WorldCat Record</v>
      </c>
      <c r="AU100" s="3" t="s">
        <v>1408</v>
      </c>
      <c r="AV100" s="3" t="s">
        <v>1409</v>
      </c>
      <c r="AW100" s="3" t="s">
        <v>1410</v>
      </c>
      <c r="AX100" s="3" t="s">
        <v>1410</v>
      </c>
      <c r="AY100" s="3" t="s">
        <v>1411</v>
      </c>
      <c r="AZ100" s="3" t="s">
        <v>74</v>
      </c>
      <c r="BB100" s="3" t="s">
        <v>1412</v>
      </c>
      <c r="BC100" s="3" t="s">
        <v>1413</v>
      </c>
      <c r="BD100" s="3" t="s">
        <v>1414</v>
      </c>
    </row>
    <row r="101" spans="1:56" ht="57.75" customHeight="1" x14ac:dyDescent="0.25">
      <c r="A101" s="7" t="s">
        <v>58</v>
      </c>
      <c r="B101" s="2" t="s">
        <v>1415</v>
      </c>
      <c r="C101" s="2" t="s">
        <v>1416</v>
      </c>
      <c r="D101" s="2" t="s">
        <v>1417</v>
      </c>
      <c r="F101" s="3" t="s">
        <v>58</v>
      </c>
      <c r="G101" s="3" t="s">
        <v>59</v>
      </c>
      <c r="H101" s="3" t="s">
        <v>58</v>
      </c>
      <c r="I101" s="3" t="s">
        <v>58</v>
      </c>
      <c r="J101" s="3" t="s">
        <v>60</v>
      </c>
      <c r="K101" s="2" t="s">
        <v>1418</v>
      </c>
      <c r="L101" s="2" t="s">
        <v>1419</v>
      </c>
      <c r="M101" s="3" t="s">
        <v>1420</v>
      </c>
      <c r="O101" s="3" t="s">
        <v>64</v>
      </c>
      <c r="P101" s="3" t="s">
        <v>65</v>
      </c>
      <c r="R101" s="3" t="s">
        <v>1093</v>
      </c>
      <c r="S101" s="4">
        <v>4</v>
      </c>
      <c r="T101" s="4">
        <v>4</v>
      </c>
      <c r="U101" s="5" t="s">
        <v>1421</v>
      </c>
      <c r="V101" s="5" t="s">
        <v>1421</v>
      </c>
      <c r="W101" s="5" t="s">
        <v>1422</v>
      </c>
      <c r="X101" s="5" t="s">
        <v>1422</v>
      </c>
      <c r="Y101" s="4">
        <v>508</v>
      </c>
      <c r="Z101" s="4">
        <v>394</v>
      </c>
      <c r="AA101" s="4">
        <v>533</v>
      </c>
      <c r="AB101" s="4">
        <v>3</v>
      </c>
      <c r="AC101" s="4">
        <v>4</v>
      </c>
      <c r="AD101" s="4">
        <v>19</v>
      </c>
      <c r="AE101" s="4">
        <v>27</v>
      </c>
      <c r="AF101" s="4">
        <v>7</v>
      </c>
      <c r="AG101" s="4">
        <v>11</v>
      </c>
      <c r="AH101" s="4">
        <v>4</v>
      </c>
      <c r="AI101" s="4">
        <v>7</v>
      </c>
      <c r="AJ101" s="4">
        <v>11</v>
      </c>
      <c r="AK101" s="4">
        <v>14</v>
      </c>
      <c r="AL101" s="4">
        <v>2</v>
      </c>
      <c r="AM101" s="4">
        <v>3</v>
      </c>
      <c r="AN101" s="4">
        <v>0</v>
      </c>
      <c r="AO101" s="4">
        <v>0</v>
      </c>
      <c r="AP101" s="3" t="s">
        <v>58</v>
      </c>
      <c r="AQ101" s="3" t="s">
        <v>69</v>
      </c>
      <c r="AR101" s="6" t="str">
        <f>HYPERLINK("http://catalog.hathitrust.org/Record/004012354","HathiTrust Record")</f>
        <v>HathiTrust Record</v>
      </c>
      <c r="AS101" s="6" t="str">
        <f>HYPERLINK("https://creighton-primo.hosted.exlibrisgroup.com/primo-explore/search?tab=default_tab&amp;search_scope=EVERYTHING&amp;vid=01CRU&amp;lang=en_US&amp;offset=0&amp;query=any,contains,991003230489702656","Catalog Record")</f>
        <v>Catalog Record</v>
      </c>
      <c r="AT101" s="6" t="str">
        <f>HYPERLINK("http://www.worldcat.org/oclc/36900882","WorldCat Record")</f>
        <v>WorldCat Record</v>
      </c>
      <c r="AU101" s="3" t="s">
        <v>1423</v>
      </c>
      <c r="AV101" s="3" t="s">
        <v>1424</v>
      </c>
      <c r="AW101" s="3" t="s">
        <v>1425</v>
      </c>
      <c r="AX101" s="3" t="s">
        <v>1425</v>
      </c>
      <c r="AY101" s="3" t="s">
        <v>1426</v>
      </c>
      <c r="AZ101" s="3" t="s">
        <v>74</v>
      </c>
      <c r="BB101" s="3" t="s">
        <v>1427</v>
      </c>
      <c r="BC101" s="3" t="s">
        <v>1428</v>
      </c>
      <c r="BD101" s="3" t="s">
        <v>1429</v>
      </c>
    </row>
    <row r="102" spans="1:56" ht="57.75" customHeight="1" x14ac:dyDescent="0.25">
      <c r="A102" s="7" t="s">
        <v>58</v>
      </c>
      <c r="B102" s="2" t="s">
        <v>1430</v>
      </c>
      <c r="C102" s="2" t="s">
        <v>1431</v>
      </c>
      <c r="D102" s="2" t="s">
        <v>1432</v>
      </c>
      <c r="F102" s="3" t="s">
        <v>58</v>
      </c>
      <c r="G102" s="3" t="s">
        <v>59</v>
      </c>
      <c r="H102" s="3" t="s">
        <v>58</v>
      </c>
      <c r="I102" s="3" t="s">
        <v>58</v>
      </c>
      <c r="J102" s="3" t="s">
        <v>60</v>
      </c>
      <c r="K102" s="2" t="s">
        <v>1433</v>
      </c>
      <c r="L102" s="2" t="s">
        <v>1434</v>
      </c>
      <c r="M102" s="3" t="s">
        <v>605</v>
      </c>
      <c r="O102" s="3" t="s">
        <v>64</v>
      </c>
      <c r="P102" s="3" t="s">
        <v>65</v>
      </c>
      <c r="R102" s="3" t="s">
        <v>1093</v>
      </c>
      <c r="S102" s="4">
        <v>6</v>
      </c>
      <c r="T102" s="4">
        <v>6</v>
      </c>
      <c r="U102" s="5" t="s">
        <v>1435</v>
      </c>
      <c r="V102" s="5" t="s">
        <v>1435</v>
      </c>
      <c r="W102" s="5" t="s">
        <v>1436</v>
      </c>
      <c r="X102" s="5" t="s">
        <v>1436</v>
      </c>
      <c r="Y102" s="4">
        <v>169</v>
      </c>
      <c r="Z102" s="4">
        <v>156</v>
      </c>
      <c r="AA102" s="4">
        <v>516</v>
      </c>
      <c r="AB102" s="4">
        <v>1</v>
      </c>
      <c r="AC102" s="4">
        <v>3</v>
      </c>
      <c r="AD102" s="4">
        <v>1</v>
      </c>
      <c r="AE102" s="4">
        <v>12</v>
      </c>
      <c r="AF102" s="4">
        <v>1</v>
      </c>
      <c r="AG102" s="4">
        <v>3</v>
      </c>
      <c r="AH102" s="4">
        <v>0</v>
      </c>
      <c r="AI102" s="4">
        <v>4</v>
      </c>
      <c r="AJ102" s="4">
        <v>1</v>
      </c>
      <c r="AK102" s="4">
        <v>6</v>
      </c>
      <c r="AL102" s="4">
        <v>0</v>
      </c>
      <c r="AM102" s="4">
        <v>2</v>
      </c>
      <c r="AN102" s="4">
        <v>0</v>
      </c>
      <c r="AO102" s="4">
        <v>0</v>
      </c>
      <c r="AP102" s="3" t="s">
        <v>58</v>
      </c>
      <c r="AQ102" s="3" t="s">
        <v>58</v>
      </c>
      <c r="AS102" s="6" t="str">
        <f>HYPERLINK("https://creighton-primo.hosted.exlibrisgroup.com/primo-explore/search?tab=default_tab&amp;search_scope=EVERYTHING&amp;vid=01CRU&amp;lang=en_US&amp;offset=0&amp;query=any,contains,991003797829702656","Catalog Record")</f>
        <v>Catalog Record</v>
      </c>
      <c r="AT102" s="6" t="str">
        <f>HYPERLINK("http://www.worldcat.org/oclc/47051391","WorldCat Record")</f>
        <v>WorldCat Record</v>
      </c>
      <c r="AU102" s="3" t="s">
        <v>1437</v>
      </c>
      <c r="AV102" s="3" t="s">
        <v>1438</v>
      </c>
      <c r="AW102" s="3" t="s">
        <v>1439</v>
      </c>
      <c r="AX102" s="3" t="s">
        <v>1439</v>
      </c>
      <c r="AY102" s="3" t="s">
        <v>1440</v>
      </c>
      <c r="AZ102" s="3" t="s">
        <v>74</v>
      </c>
      <c r="BB102" s="3" t="s">
        <v>1441</v>
      </c>
      <c r="BC102" s="3" t="s">
        <v>1442</v>
      </c>
      <c r="BD102" s="3" t="s">
        <v>1443</v>
      </c>
    </row>
    <row r="103" spans="1:56" ht="57.75" customHeight="1" x14ac:dyDescent="0.25">
      <c r="A103" s="7" t="s">
        <v>58</v>
      </c>
      <c r="B103" s="2" t="s">
        <v>1444</v>
      </c>
      <c r="C103" s="2" t="s">
        <v>1445</v>
      </c>
      <c r="D103" s="2" t="s">
        <v>1446</v>
      </c>
      <c r="F103" s="3" t="s">
        <v>58</v>
      </c>
      <c r="G103" s="3" t="s">
        <v>59</v>
      </c>
      <c r="H103" s="3" t="s">
        <v>58</v>
      </c>
      <c r="I103" s="3" t="s">
        <v>58</v>
      </c>
      <c r="J103" s="3" t="s">
        <v>60</v>
      </c>
      <c r="K103" s="2" t="s">
        <v>1447</v>
      </c>
      <c r="L103" s="2" t="s">
        <v>1448</v>
      </c>
      <c r="M103" s="3" t="s">
        <v>98</v>
      </c>
      <c r="O103" s="3" t="s">
        <v>64</v>
      </c>
      <c r="P103" s="3" t="s">
        <v>65</v>
      </c>
      <c r="R103" s="3" t="s">
        <v>1093</v>
      </c>
      <c r="S103" s="4">
        <v>6</v>
      </c>
      <c r="T103" s="4">
        <v>6</v>
      </c>
      <c r="U103" s="5" t="s">
        <v>1449</v>
      </c>
      <c r="V103" s="5" t="s">
        <v>1449</v>
      </c>
      <c r="W103" s="5" t="s">
        <v>1450</v>
      </c>
      <c r="X103" s="5" t="s">
        <v>1450</v>
      </c>
      <c r="Y103" s="4">
        <v>931</v>
      </c>
      <c r="Z103" s="4">
        <v>871</v>
      </c>
      <c r="AA103" s="4">
        <v>882</v>
      </c>
      <c r="AB103" s="4">
        <v>6</v>
      </c>
      <c r="AC103" s="4">
        <v>6</v>
      </c>
      <c r="AD103" s="4">
        <v>30</v>
      </c>
      <c r="AE103" s="4">
        <v>30</v>
      </c>
      <c r="AF103" s="4">
        <v>14</v>
      </c>
      <c r="AG103" s="4">
        <v>14</v>
      </c>
      <c r="AH103" s="4">
        <v>8</v>
      </c>
      <c r="AI103" s="4">
        <v>8</v>
      </c>
      <c r="AJ103" s="4">
        <v>10</v>
      </c>
      <c r="AK103" s="4">
        <v>10</v>
      </c>
      <c r="AL103" s="4">
        <v>4</v>
      </c>
      <c r="AM103" s="4">
        <v>4</v>
      </c>
      <c r="AN103" s="4">
        <v>0</v>
      </c>
      <c r="AO103" s="4">
        <v>0</v>
      </c>
      <c r="AP103" s="3" t="s">
        <v>58</v>
      </c>
      <c r="AQ103" s="3" t="s">
        <v>69</v>
      </c>
      <c r="AR103" s="6" t="str">
        <f>HYPERLINK("http://catalog.hathitrust.org/Record/001470936","HathiTrust Record")</f>
        <v>HathiTrust Record</v>
      </c>
      <c r="AS103" s="6" t="str">
        <f>HYPERLINK("https://creighton-primo.hosted.exlibrisgroup.com/primo-explore/search?tab=default_tab&amp;search_scope=EVERYTHING&amp;vid=01CRU&amp;lang=en_US&amp;offset=0&amp;query=any,contains,991001291889702656","Catalog Record")</f>
        <v>Catalog Record</v>
      </c>
      <c r="AT103" s="6" t="str">
        <f>HYPERLINK("http://www.worldcat.org/oclc/218123","WorldCat Record")</f>
        <v>WorldCat Record</v>
      </c>
      <c r="AU103" s="3" t="s">
        <v>1451</v>
      </c>
      <c r="AV103" s="3" t="s">
        <v>1452</v>
      </c>
      <c r="AW103" s="3" t="s">
        <v>1453</v>
      </c>
      <c r="AX103" s="3" t="s">
        <v>1453</v>
      </c>
      <c r="AY103" s="3" t="s">
        <v>1454</v>
      </c>
      <c r="AZ103" s="3" t="s">
        <v>74</v>
      </c>
      <c r="BC103" s="3" t="s">
        <v>1455</v>
      </c>
      <c r="BD103" s="3" t="s">
        <v>1456</v>
      </c>
    </row>
    <row r="104" spans="1:56" ht="57.75" customHeight="1" x14ac:dyDescent="0.25">
      <c r="A104" s="7" t="s">
        <v>58</v>
      </c>
      <c r="B104" s="2" t="s">
        <v>1457</v>
      </c>
      <c r="C104" s="2" t="s">
        <v>1458</v>
      </c>
      <c r="D104" s="2" t="s">
        <v>1459</v>
      </c>
      <c r="F104" s="3" t="s">
        <v>58</v>
      </c>
      <c r="G104" s="3" t="s">
        <v>59</v>
      </c>
      <c r="H104" s="3" t="s">
        <v>58</v>
      </c>
      <c r="I104" s="3" t="s">
        <v>58</v>
      </c>
      <c r="J104" s="3" t="s">
        <v>60</v>
      </c>
      <c r="K104" s="2" t="s">
        <v>1447</v>
      </c>
      <c r="L104" s="2" t="s">
        <v>1460</v>
      </c>
      <c r="M104" s="3" t="s">
        <v>98</v>
      </c>
      <c r="O104" s="3" t="s">
        <v>64</v>
      </c>
      <c r="P104" s="3" t="s">
        <v>412</v>
      </c>
      <c r="R104" s="3" t="s">
        <v>1093</v>
      </c>
      <c r="S104" s="4">
        <v>1</v>
      </c>
      <c r="T104" s="4">
        <v>1</v>
      </c>
      <c r="U104" s="5" t="s">
        <v>1461</v>
      </c>
      <c r="V104" s="5" t="s">
        <v>1461</v>
      </c>
      <c r="W104" s="5" t="s">
        <v>1462</v>
      </c>
      <c r="X104" s="5" t="s">
        <v>1462</v>
      </c>
      <c r="Y104" s="4">
        <v>159</v>
      </c>
      <c r="Z104" s="4">
        <v>56</v>
      </c>
      <c r="AA104" s="4">
        <v>524</v>
      </c>
      <c r="AB104" s="4">
        <v>1</v>
      </c>
      <c r="AC104" s="4">
        <v>4</v>
      </c>
      <c r="AD104" s="4">
        <v>3</v>
      </c>
      <c r="AE104" s="4">
        <v>21</v>
      </c>
      <c r="AF104" s="4">
        <v>2</v>
      </c>
      <c r="AG104" s="4">
        <v>8</v>
      </c>
      <c r="AH104" s="4">
        <v>0</v>
      </c>
      <c r="AI104" s="4">
        <v>5</v>
      </c>
      <c r="AJ104" s="4">
        <v>1</v>
      </c>
      <c r="AK104" s="4">
        <v>9</v>
      </c>
      <c r="AL104" s="4">
        <v>0</v>
      </c>
      <c r="AM104" s="4">
        <v>3</v>
      </c>
      <c r="AN104" s="4">
        <v>0</v>
      </c>
      <c r="AO104" s="4">
        <v>0</v>
      </c>
      <c r="AP104" s="3" t="s">
        <v>58</v>
      </c>
      <c r="AQ104" s="3" t="s">
        <v>69</v>
      </c>
      <c r="AR104" s="6" t="str">
        <f>HYPERLINK("http://catalog.hathitrust.org/Record/001990149","HathiTrust Record")</f>
        <v>HathiTrust Record</v>
      </c>
      <c r="AS104" s="6" t="str">
        <f>HYPERLINK("https://creighton-primo.hosted.exlibrisgroup.com/primo-explore/search?tab=default_tab&amp;search_scope=EVERYTHING&amp;vid=01CRU&amp;lang=en_US&amp;offset=0&amp;query=any,contains,991004788119702656","Catalog Record")</f>
        <v>Catalog Record</v>
      </c>
      <c r="AT104" s="6" t="str">
        <f>HYPERLINK("http://www.worldcat.org/oclc/5159207","WorldCat Record")</f>
        <v>WorldCat Record</v>
      </c>
      <c r="AU104" s="3" t="s">
        <v>1463</v>
      </c>
      <c r="AV104" s="3" t="s">
        <v>1464</v>
      </c>
      <c r="AW104" s="3" t="s">
        <v>1465</v>
      </c>
      <c r="AX104" s="3" t="s">
        <v>1465</v>
      </c>
      <c r="AY104" s="3" t="s">
        <v>1466</v>
      </c>
      <c r="AZ104" s="3" t="s">
        <v>74</v>
      </c>
      <c r="BC104" s="3" t="s">
        <v>1467</v>
      </c>
      <c r="BD104" s="3" t="s">
        <v>1468</v>
      </c>
    </row>
    <row r="105" spans="1:56" ht="57.75" customHeight="1" x14ac:dyDescent="0.25">
      <c r="A105" s="7" t="s">
        <v>58</v>
      </c>
      <c r="B105" s="2" t="s">
        <v>1469</v>
      </c>
      <c r="C105" s="2" t="s">
        <v>1470</v>
      </c>
      <c r="D105" s="2" t="s">
        <v>1471</v>
      </c>
      <c r="F105" s="3" t="s">
        <v>58</v>
      </c>
      <c r="G105" s="3" t="s">
        <v>59</v>
      </c>
      <c r="H105" s="3" t="s">
        <v>58</v>
      </c>
      <c r="I105" s="3" t="s">
        <v>58</v>
      </c>
      <c r="J105" s="3" t="s">
        <v>60</v>
      </c>
      <c r="K105" s="2" t="s">
        <v>1472</v>
      </c>
      <c r="L105" s="2" t="s">
        <v>1473</v>
      </c>
      <c r="M105" s="3" t="s">
        <v>1474</v>
      </c>
      <c r="N105" s="2" t="s">
        <v>1475</v>
      </c>
      <c r="O105" s="3" t="s">
        <v>64</v>
      </c>
      <c r="P105" s="3" t="s">
        <v>385</v>
      </c>
      <c r="R105" s="3" t="s">
        <v>1093</v>
      </c>
      <c r="S105" s="4">
        <v>6</v>
      </c>
      <c r="T105" s="4">
        <v>6</v>
      </c>
      <c r="U105" s="5" t="s">
        <v>1449</v>
      </c>
      <c r="V105" s="5" t="s">
        <v>1449</v>
      </c>
      <c r="W105" s="5" t="s">
        <v>1450</v>
      </c>
      <c r="X105" s="5" t="s">
        <v>1450</v>
      </c>
      <c r="Y105" s="4">
        <v>742</v>
      </c>
      <c r="Z105" s="4">
        <v>704</v>
      </c>
      <c r="AA105" s="4">
        <v>856</v>
      </c>
      <c r="AB105" s="4">
        <v>5</v>
      </c>
      <c r="AC105" s="4">
        <v>11</v>
      </c>
      <c r="AD105" s="4">
        <v>16</v>
      </c>
      <c r="AE105" s="4">
        <v>20</v>
      </c>
      <c r="AF105" s="4">
        <v>8</v>
      </c>
      <c r="AG105" s="4">
        <v>9</v>
      </c>
      <c r="AH105" s="4">
        <v>2</v>
      </c>
      <c r="AI105" s="4">
        <v>2</v>
      </c>
      <c r="AJ105" s="4">
        <v>7</v>
      </c>
      <c r="AK105" s="4">
        <v>9</v>
      </c>
      <c r="AL105" s="4">
        <v>2</v>
      </c>
      <c r="AM105" s="4">
        <v>4</v>
      </c>
      <c r="AN105" s="4">
        <v>0</v>
      </c>
      <c r="AO105" s="4">
        <v>0</v>
      </c>
      <c r="AP105" s="3" t="s">
        <v>58</v>
      </c>
      <c r="AQ105" s="3" t="s">
        <v>58</v>
      </c>
      <c r="AR105" s="6" t="str">
        <f>HYPERLINK("http://catalog.hathitrust.org/Record/003258145","HathiTrust Record")</f>
        <v>HathiTrust Record</v>
      </c>
      <c r="AS105" s="6" t="str">
        <f>HYPERLINK("https://creighton-primo.hosted.exlibrisgroup.com/primo-explore/search?tab=default_tab&amp;search_scope=EVERYTHING&amp;vid=01CRU&amp;lang=en_US&amp;offset=0&amp;query=any,contains,991003216869702656","Catalog Record")</f>
        <v>Catalog Record</v>
      </c>
      <c r="AT105" s="6" t="str">
        <f>HYPERLINK("http://www.worldcat.org/oclc/743046","WorldCat Record")</f>
        <v>WorldCat Record</v>
      </c>
      <c r="AU105" s="3" t="s">
        <v>1476</v>
      </c>
      <c r="AV105" s="3" t="s">
        <v>1477</v>
      </c>
      <c r="AW105" s="3" t="s">
        <v>1478</v>
      </c>
      <c r="AX105" s="3" t="s">
        <v>1478</v>
      </c>
      <c r="AY105" s="3" t="s">
        <v>1479</v>
      </c>
      <c r="AZ105" s="3" t="s">
        <v>74</v>
      </c>
      <c r="BC105" s="3" t="s">
        <v>1480</v>
      </c>
      <c r="BD105" s="3" t="s">
        <v>1481</v>
      </c>
    </row>
    <row r="106" spans="1:56" ht="57.75" customHeight="1" x14ac:dyDescent="0.25">
      <c r="A106" s="7" t="s">
        <v>58</v>
      </c>
      <c r="B106" s="2" t="s">
        <v>1482</v>
      </c>
      <c r="C106" s="2" t="s">
        <v>1483</v>
      </c>
      <c r="D106" s="2" t="s">
        <v>1484</v>
      </c>
      <c r="F106" s="3" t="s">
        <v>58</v>
      </c>
      <c r="G106" s="3" t="s">
        <v>59</v>
      </c>
      <c r="H106" s="3" t="s">
        <v>58</v>
      </c>
      <c r="I106" s="3" t="s">
        <v>58</v>
      </c>
      <c r="J106" s="3" t="s">
        <v>60</v>
      </c>
      <c r="L106" s="2" t="s">
        <v>1485</v>
      </c>
      <c r="M106" s="3" t="s">
        <v>496</v>
      </c>
      <c r="N106" s="2" t="s">
        <v>606</v>
      </c>
      <c r="O106" s="3" t="s">
        <v>64</v>
      </c>
      <c r="P106" s="3" t="s">
        <v>234</v>
      </c>
      <c r="R106" s="3" t="s">
        <v>1093</v>
      </c>
      <c r="S106" s="4">
        <v>3</v>
      </c>
      <c r="T106" s="4">
        <v>3</v>
      </c>
      <c r="U106" s="5" t="s">
        <v>1449</v>
      </c>
      <c r="V106" s="5" t="s">
        <v>1449</v>
      </c>
      <c r="W106" s="5" t="s">
        <v>1486</v>
      </c>
      <c r="X106" s="5" t="s">
        <v>1486</v>
      </c>
      <c r="Y106" s="4">
        <v>291</v>
      </c>
      <c r="Z106" s="4">
        <v>275</v>
      </c>
      <c r="AA106" s="4">
        <v>414</v>
      </c>
      <c r="AB106" s="4">
        <v>1</v>
      </c>
      <c r="AC106" s="4">
        <v>2</v>
      </c>
      <c r="AD106" s="4">
        <v>2</v>
      </c>
      <c r="AE106" s="4">
        <v>5</v>
      </c>
      <c r="AF106" s="4">
        <v>0</v>
      </c>
      <c r="AG106" s="4">
        <v>1</v>
      </c>
      <c r="AH106" s="4">
        <v>2</v>
      </c>
      <c r="AI106" s="4">
        <v>3</v>
      </c>
      <c r="AJ106" s="4">
        <v>1</v>
      </c>
      <c r="AK106" s="4">
        <v>2</v>
      </c>
      <c r="AL106" s="4">
        <v>0</v>
      </c>
      <c r="AM106" s="4">
        <v>1</v>
      </c>
      <c r="AN106" s="4">
        <v>0</v>
      </c>
      <c r="AO106" s="4">
        <v>0</v>
      </c>
      <c r="AP106" s="3" t="s">
        <v>58</v>
      </c>
      <c r="AQ106" s="3" t="s">
        <v>69</v>
      </c>
      <c r="AR106" s="6" t="str">
        <f>HYPERLINK("http://catalog.hathitrust.org/Record/007961502","HathiTrust Record")</f>
        <v>HathiTrust Record</v>
      </c>
      <c r="AS106" s="6" t="str">
        <f>HYPERLINK("https://creighton-primo.hosted.exlibrisgroup.com/primo-explore/search?tab=default_tab&amp;search_scope=EVERYTHING&amp;vid=01CRU&amp;lang=en_US&amp;offset=0&amp;query=any,contains,991004399959702656","Catalog Record")</f>
        <v>Catalog Record</v>
      </c>
      <c r="AT106" s="6" t="str">
        <f>HYPERLINK("http://www.worldcat.org/oclc/3294520","WorldCat Record")</f>
        <v>WorldCat Record</v>
      </c>
      <c r="AU106" s="3" t="s">
        <v>1487</v>
      </c>
      <c r="AV106" s="3" t="s">
        <v>1488</v>
      </c>
      <c r="AW106" s="3" t="s">
        <v>1489</v>
      </c>
      <c r="AX106" s="3" t="s">
        <v>1489</v>
      </c>
      <c r="AY106" s="3" t="s">
        <v>1490</v>
      </c>
      <c r="AZ106" s="3" t="s">
        <v>74</v>
      </c>
      <c r="BB106" s="3" t="s">
        <v>1491</v>
      </c>
      <c r="BC106" s="3" t="s">
        <v>1492</v>
      </c>
      <c r="BD106" s="3" t="s">
        <v>1493</v>
      </c>
    </row>
    <row r="107" spans="1:56" ht="57.75" customHeight="1" x14ac:dyDescent="0.25">
      <c r="A107" s="7" t="s">
        <v>58</v>
      </c>
      <c r="B107" s="2" t="s">
        <v>1494</v>
      </c>
      <c r="C107" s="2" t="s">
        <v>1495</v>
      </c>
      <c r="D107" s="2" t="s">
        <v>1496</v>
      </c>
      <c r="F107" s="3" t="s">
        <v>58</v>
      </c>
      <c r="G107" s="3" t="s">
        <v>59</v>
      </c>
      <c r="H107" s="3" t="s">
        <v>58</v>
      </c>
      <c r="I107" s="3" t="s">
        <v>58</v>
      </c>
      <c r="J107" s="3" t="s">
        <v>60</v>
      </c>
      <c r="K107" s="2" t="s">
        <v>1497</v>
      </c>
      <c r="L107" s="2" t="s">
        <v>1498</v>
      </c>
      <c r="M107" s="3" t="s">
        <v>496</v>
      </c>
      <c r="O107" s="3" t="s">
        <v>64</v>
      </c>
      <c r="P107" s="3" t="s">
        <v>278</v>
      </c>
      <c r="Q107" s="2" t="s">
        <v>1499</v>
      </c>
      <c r="R107" s="3" t="s">
        <v>1093</v>
      </c>
      <c r="S107" s="4">
        <v>1</v>
      </c>
      <c r="T107" s="4">
        <v>1</v>
      </c>
      <c r="U107" s="5" t="s">
        <v>1449</v>
      </c>
      <c r="V107" s="5" t="s">
        <v>1449</v>
      </c>
      <c r="W107" s="5" t="s">
        <v>1500</v>
      </c>
      <c r="X107" s="5" t="s">
        <v>1500</v>
      </c>
      <c r="Y107" s="4">
        <v>631</v>
      </c>
      <c r="Z107" s="4">
        <v>474</v>
      </c>
      <c r="AA107" s="4">
        <v>499</v>
      </c>
      <c r="AB107" s="4">
        <v>2</v>
      </c>
      <c r="AC107" s="4">
        <v>2</v>
      </c>
      <c r="AD107" s="4">
        <v>16</v>
      </c>
      <c r="AE107" s="4">
        <v>19</v>
      </c>
      <c r="AF107" s="4">
        <v>8</v>
      </c>
      <c r="AG107" s="4">
        <v>10</v>
      </c>
      <c r="AH107" s="4">
        <v>4</v>
      </c>
      <c r="AI107" s="4">
        <v>5</v>
      </c>
      <c r="AJ107" s="4">
        <v>6</v>
      </c>
      <c r="AK107" s="4">
        <v>7</v>
      </c>
      <c r="AL107" s="4">
        <v>1</v>
      </c>
      <c r="AM107" s="4">
        <v>1</v>
      </c>
      <c r="AN107" s="4">
        <v>0</v>
      </c>
      <c r="AO107" s="4">
        <v>0</v>
      </c>
      <c r="AP107" s="3" t="s">
        <v>58</v>
      </c>
      <c r="AQ107" s="3" t="s">
        <v>58</v>
      </c>
      <c r="AS107" s="6" t="str">
        <f>HYPERLINK("https://creighton-primo.hosted.exlibrisgroup.com/primo-explore/search?tab=default_tab&amp;search_scope=EVERYTHING&amp;vid=01CRU&amp;lang=en_US&amp;offset=0&amp;query=any,contains,991004609809702656","Catalog Record")</f>
        <v>Catalog Record</v>
      </c>
      <c r="AT107" s="6" t="str">
        <f>HYPERLINK("http://www.worldcat.org/oclc/4210710","WorldCat Record")</f>
        <v>WorldCat Record</v>
      </c>
      <c r="AU107" s="3" t="s">
        <v>1501</v>
      </c>
      <c r="AV107" s="3" t="s">
        <v>1502</v>
      </c>
      <c r="AW107" s="3" t="s">
        <v>1503</v>
      </c>
      <c r="AX107" s="3" t="s">
        <v>1503</v>
      </c>
      <c r="AY107" s="3" t="s">
        <v>1504</v>
      </c>
      <c r="AZ107" s="3" t="s">
        <v>74</v>
      </c>
      <c r="BB107" s="3" t="s">
        <v>1505</v>
      </c>
      <c r="BC107" s="3" t="s">
        <v>1506</v>
      </c>
      <c r="BD107" s="3" t="s">
        <v>1507</v>
      </c>
    </row>
    <row r="108" spans="1:56" ht="57.75" customHeight="1" x14ac:dyDescent="0.25">
      <c r="A108" s="7" t="s">
        <v>58</v>
      </c>
      <c r="B108" s="2" t="s">
        <v>1508</v>
      </c>
      <c r="C108" s="2" t="s">
        <v>1509</v>
      </c>
      <c r="D108" s="2" t="s">
        <v>1510</v>
      </c>
      <c r="F108" s="3" t="s">
        <v>58</v>
      </c>
      <c r="G108" s="3" t="s">
        <v>59</v>
      </c>
      <c r="H108" s="3" t="s">
        <v>58</v>
      </c>
      <c r="I108" s="3" t="s">
        <v>58</v>
      </c>
      <c r="J108" s="3" t="s">
        <v>60</v>
      </c>
      <c r="K108" s="2" t="s">
        <v>1511</v>
      </c>
      <c r="L108" s="2" t="s">
        <v>1512</v>
      </c>
      <c r="M108" s="3" t="s">
        <v>1362</v>
      </c>
      <c r="O108" s="3" t="s">
        <v>64</v>
      </c>
      <c r="P108" s="3" t="s">
        <v>65</v>
      </c>
      <c r="R108" s="3" t="s">
        <v>1093</v>
      </c>
      <c r="S108" s="4">
        <v>7</v>
      </c>
      <c r="T108" s="4">
        <v>7</v>
      </c>
      <c r="U108" s="5" t="s">
        <v>1513</v>
      </c>
      <c r="V108" s="5" t="s">
        <v>1513</v>
      </c>
      <c r="W108" s="5" t="s">
        <v>1514</v>
      </c>
      <c r="X108" s="5" t="s">
        <v>1514</v>
      </c>
      <c r="Y108" s="4">
        <v>670</v>
      </c>
      <c r="Z108" s="4">
        <v>596</v>
      </c>
      <c r="AA108" s="4">
        <v>625</v>
      </c>
      <c r="AB108" s="4">
        <v>8</v>
      </c>
      <c r="AC108" s="4">
        <v>8</v>
      </c>
      <c r="AD108" s="4">
        <v>12</v>
      </c>
      <c r="AE108" s="4">
        <v>12</v>
      </c>
      <c r="AF108" s="4">
        <v>2</v>
      </c>
      <c r="AG108" s="4">
        <v>2</v>
      </c>
      <c r="AH108" s="4">
        <v>2</v>
      </c>
      <c r="AI108" s="4">
        <v>2</v>
      </c>
      <c r="AJ108" s="4">
        <v>5</v>
      </c>
      <c r="AK108" s="4">
        <v>5</v>
      </c>
      <c r="AL108" s="4">
        <v>5</v>
      </c>
      <c r="AM108" s="4">
        <v>5</v>
      </c>
      <c r="AN108" s="4">
        <v>0</v>
      </c>
      <c r="AO108" s="4">
        <v>0</v>
      </c>
      <c r="AP108" s="3" t="s">
        <v>58</v>
      </c>
      <c r="AQ108" s="3" t="s">
        <v>58</v>
      </c>
      <c r="AS108" s="6" t="str">
        <f>HYPERLINK("https://creighton-primo.hosted.exlibrisgroup.com/primo-explore/search?tab=default_tab&amp;search_scope=EVERYTHING&amp;vid=01CRU&amp;lang=en_US&amp;offset=0&amp;query=any,contains,991000997039702656","Catalog Record")</f>
        <v>Catalog Record</v>
      </c>
      <c r="AT108" s="6" t="str">
        <f>HYPERLINK("http://www.worldcat.org/oclc/15163055","WorldCat Record")</f>
        <v>WorldCat Record</v>
      </c>
      <c r="AU108" s="3" t="s">
        <v>1515</v>
      </c>
      <c r="AV108" s="3" t="s">
        <v>1516</v>
      </c>
      <c r="AW108" s="3" t="s">
        <v>1517</v>
      </c>
      <c r="AX108" s="3" t="s">
        <v>1517</v>
      </c>
      <c r="AY108" s="3" t="s">
        <v>1518</v>
      </c>
      <c r="AZ108" s="3" t="s">
        <v>74</v>
      </c>
      <c r="BB108" s="3" t="s">
        <v>1519</v>
      </c>
      <c r="BC108" s="3" t="s">
        <v>1520</v>
      </c>
      <c r="BD108" s="3" t="s">
        <v>1521</v>
      </c>
    </row>
    <row r="109" spans="1:56" ht="57.75" customHeight="1" x14ac:dyDescent="0.25">
      <c r="A109" s="7" t="s">
        <v>58</v>
      </c>
      <c r="B109" s="2" t="s">
        <v>1522</v>
      </c>
      <c r="C109" s="2" t="s">
        <v>1523</v>
      </c>
      <c r="D109" s="2" t="s">
        <v>1524</v>
      </c>
      <c r="F109" s="3" t="s">
        <v>58</v>
      </c>
      <c r="G109" s="3" t="s">
        <v>59</v>
      </c>
      <c r="H109" s="3" t="s">
        <v>58</v>
      </c>
      <c r="I109" s="3" t="s">
        <v>58</v>
      </c>
      <c r="J109" s="3" t="s">
        <v>60</v>
      </c>
      <c r="K109" s="2" t="s">
        <v>1525</v>
      </c>
      <c r="L109" s="2" t="s">
        <v>1526</v>
      </c>
      <c r="M109" s="3" t="s">
        <v>1120</v>
      </c>
      <c r="O109" s="3" t="s">
        <v>64</v>
      </c>
      <c r="P109" s="3" t="s">
        <v>65</v>
      </c>
      <c r="R109" s="3" t="s">
        <v>1093</v>
      </c>
      <c r="S109" s="4">
        <v>6</v>
      </c>
      <c r="T109" s="4">
        <v>6</v>
      </c>
      <c r="U109" s="5" t="s">
        <v>1527</v>
      </c>
      <c r="V109" s="5" t="s">
        <v>1527</v>
      </c>
      <c r="W109" s="5" t="s">
        <v>68</v>
      </c>
      <c r="X109" s="5" t="s">
        <v>68</v>
      </c>
      <c r="Y109" s="4">
        <v>538</v>
      </c>
      <c r="Z109" s="4">
        <v>517</v>
      </c>
      <c r="AA109" s="4">
        <v>584</v>
      </c>
      <c r="AB109" s="4">
        <v>2</v>
      </c>
      <c r="AC109" s="4">
        <v>2</v>
      </c>
      <c r="AD109" s="4">
        <v>2</v>
      </c>
      <c r="AE109" s="4">
        <v>2</v>
      </c>
      <c r="AF109" s="4">
        <v>0</v>
      </c>
      <c r="AG109" s="4">
        <v>0</v>
      </c>
      <c r="AH109" s="4">
        <v>1</v>
      </c>
      <c r="AI109" s="4">
        <v>1</v>
      </c>
      <c r="AJ109" s="4">
        <v>1</v>
      </c>
      <c r="AK109" s="4">
        <v>1</v>
      </c>
      <c r="AL109" s="4">
        <v>0</v>
      </c>
      <c r="AM109" s="4">
        <v>0</v>
      </c>
      <c r="AN109" s="4">
        <v>0</v>
      </c>
      <c r="AO109" s="4">
        <v>0</v>
      </c>
      <c r="AP109" s="3" t="s">
        <v>58</v>
      </c>
      <c r="AQ109" s="3" t="s">
        <v>69</v>
      </c>
      <c r="AR109" s="6" t="str">
        <f>HYPERLINK("http://catalog.hathitrust.org/Record/009133654","HathiTrust Record")</f>
        <v>HathiTrust Record</v>
      </c>
      <c r="AS109" s="6" t="str">
        <f>HYPERLINK("https://creighton-primo.hosted.exlibrisgroup.com/primo-explore/search?tab=default_tab&amp;search_scope=EVERYTHING&amp;vid=01CRU&amp;lang=en_US&amp;offset=0&amp;query=any,contains,991000601969702656","Catalog Record")</f>
        <v>Catalog Record</v>
      </c>
      <c r="AT109" s="6" t="str">
        <f>HYPERLINK("http://www.worldcat.org/oclc/11842211","WorldCat Record")</f>
        <v>WorldCat Record</v>
      </c>
      <c r="AU109" s="3" t="s">
        <v>1528</v>
      </c>
      <c r="AV109" s="3" t="s">
        <v>1529</v>
      </c>
      <c r="AW109" s="3" t="s">
        <v>1530</v>
      </c>
      <c r="AX109" s="3" t="s">
        <v>1530</v>
      </c>
      <c r="AY109" s="3" t="s">
        <v>1531</v>
      </c>
      <c r="AZ109" s="3" t="s">
        <v>74</v>
      </c>
      <c r="BB109" s="3" t="s">
        <v>1532</v>
      </c>
      <c r="BC109" s="3" t="s">
        <v>1533</v>
      </c>
      <c r="BD109" s="3" t="s">
        <v>1534</v>
      </c>
    </row>
    <row r="110" spans="1:56" ht="57.75" customHeight="1" x14ac:dyDescent="0.25">
      <c r="A110" s="7" t="s">
        <v>58</v>
      </c>
      <c r="B110" s="2" t="s">
        <v>1535</v>
      </c>
      <c r="C110" s="2" t="s">
        <v>1536</v>
      </c>
      <c r="D110" s="2" t="s">
        <v>1537</v>
      </c>
      <c r="F110" s="3" t="s">
        <v>58</v>
      </c>
      <c r="G110" s="3" t="s">
        <v>59</v>
      </c>
      <c r="H110" s="3" t="s">
        <v>58</v>
      </c>
      <c r="I110" s="3" t="s">
        <v>58</v>
      </c>
      <c r="J110" s="3" t="s">
        <v>60</v>
      </c>
      <c r="K110" s="2" t="s">
        <v>1538</v>
      </c>
      <c r="L110" s="2" t="s">
        <v>1539</v>
      </c>
      <c r="M110" s="3" t="s">
        <v>138</v>
      </c>
      <c r="O110" s="3" t="s">
        <v>64</v>
      </c>
      <c r="P110" s="3" t="s">
        <v>65</v>
      </c>
      <c r="R110" s="3" t="s">
        <v>1093</v>
      </c>
      <c r="S110" s="4">
        <v>4</v>
      </c>
      <c r="T110" s="4">
        <v>4</v>
      </c>
      <c r="U110" s="5" t="s">
        <v>1527</v>
      </c>
      <c r="V110" s="5" t="s">
        <v>1527</v>
      </c>
      <c r="W110" s="5" t="s">
        <v>483</v>
      </c>
      <c r="X110" s="5" t="s">
        <v>483</v>
      </c>
      <c r="Y110" s="4">
        <v>255</v>
      </c>
      <c r="Z110" s="4">
        <v>241</v>
      </c>
      <c r="AA110" s="4">
        <v>248</v>
      </c>
      <c r="AB110" s="4">
        <v>2</v>
      </c>
      <c r="AC110" s="4">
        <v>2</v>
      </c>
      <c r="AD110" s="4">
        <v>3</v>
      </c>
      <c r="AE110" s="4">
        <v>3</v>
      </c>
      <c r="AF110" s="4">
        <v>2</v>
      </c>
      <c r="AG110" s="4">
        <v>2</v>
      </c>
      <c r="AH110" s="4">
        <v>0</v>
      </c>
      <c r="AI110" s="4">
        <v>0</v>
      </c>
      <c r="AJ110" s="4">
        <v>1</v>
      </c>
      <c r="AK110" s="4">
        <v>1</v>
      </c>
      <c r="AL110" s="4">
        <v>0</v>
      </c>
      <c r="AM110" s="4">
        <v>0</v>
      </c>
      <c r="AN110" s="4">
        <v>0</v>
      </c>
      <c r="AO110" s="4">
        <v>0</v>
      </c>
      <c r="AP110" s="3" t="s">
        <v>58</v>
      </c>
      <c r="AQ110" s="3" t="s">
        <v>69</v>
      </c>
      <c r="AR110" s="6" t="str">
        <f>HYPERLINK("http://catalog.hathitrust.org/Record/007961719","HathiTrust Record")</f>
        <v>HathiTrust Record</v>
      </c>
      <c r="AS110" s="6" t="str">
        <f>HYPERLINK("https://creighton-primo.hosted.exlibrisgroup.com/primo-explore/search?tab=default_tab&amp;search_scope=EVERYTHING&amp;vid=01CRU&amp;lang=en_US&amp;offset=0&amp;query=any,contains,991005028299702656","Catalog Record")</f>
        <v>Catalog Record</v>
      </c>
      <c r="AT110" s="6" t="str">
        <f>HYPERLINK("http://www.worldcat.org/oclc/6708078","WorldCat Record")</f>
        <v>WorldCat Record</v>
      </c>
      <c r="AU110" s="3" t="s">
        <v>1540</v>
      </c>
      <c r="AV110" s="3" t="s">
        <v>1541</v>
      </c>
      <c r="AW110" s="3" t="s">
        <v>1542</v>
      </c>
      <c r="AX110" s="3" t="s">
        <v>1542</v>
      </c>
      <c r="AY110" s="3" t="s">
        <v>1543</v>
      </c>
      <c r="AZ110" s="3" t="s">
        <v>74</v>
      </c>
      <c r="BB110" s="3" t="s">
        <v>1544</v>
      </c>
      <c r="BC110" s="3" t="s">
        <v>1545</v>
      </c>
      <c r="BD110" s="3" t="s">
        <v>1546</v>
      </c>
    </row>
    <row r="111" spans="1:56" ht="57.75" customHeight="1" x14ac:dyDescent="0.25">
      <c r="A111" s="7" t="s">
        <v>58</v>
      </c>
      <c r="B111" s="2" t="s">
        <v>1547</v>
      </c>
      <c r="C111" s="2" t="s">
        <v>1548</v>
      </c>
      <c r="D111" s="2" t="s">
        <v>1549</v>
      </c>
      <c r="F111" s="3" t="s">
        <v>58</v>
      </c>
      <c r="G111" s="3" t="s">
        <v>59</v>
      </c>
      <c r="H111" s="3" t="s">
        <v>58</v>
      </c>
      <c r="I111" s="3" t="s">
        <v>58</v>
      </c>
      <c r="J111" s="3" t="s">
        <v>60</v>
      </c>
      <c r="K111" s="2" t="s">
        <v>1550</v>
      </c>
      <c r="L111" s="2" t="s">
        <v>1551</v>
      </c>
      <c r="M111" s="3" t="s">
        <v>1552</v>
      </c>
      <c r="O111" s="3" t="s">
        <v>64</v>
      </c>
      <c r="P111" s="3" t="s">
        <v>65</v>
      </c>
      <c r="R111" s="3" t="s">
        <v>1093</v>
      </c>
      <c r="S111" s="4">
        <v>1</v>
      </c>
      <c r="T111" s="4">
        <v>1</v>
      </c>
      <c r="U111" s="5" t="s">
        <v>1553</v>
      </c>
      <c r="V111" s="5" t="s">
        <v>1553</v>
      </c>
      <c r="W111" s="5" t="s">
        <v>372</v>
      </c>
      <c r="X111" s="5" t="s">
        <v>372</v>
      </c>
      <c r="Y111" s="4">
        <v>141</v>
      </c>
      <c r="Z111" s="4">
        <v>126</v>
      </c>
      <c r="AA111" s="4">
        <v>742</v>
      </c>
      <c r="AB111" s="4">
        <v>1</v>
      </c>
      <c r="AC111" s="4">
        <v>6</v>
      </c>
      <c r="AD111" s="4">
        <v>2</v>
      </c>
      <c r="AE111" s="4">
        <v>19</v>
      </c>
      <c r="AF111" s="4">
        <v>0</v>
      </c>
      <c r="AG111" s="4">
        <v>9</v>
      </c>
      <c r="AH111" s="4">
        <v>1</v>
      </c>
      <c r="AI111" s="4">
        <v>3</v>
      </c>
      <c r="AJ111" s="4">
        <v>2</v>
      </c>
      <c r="AK111" s="4">
        <v>6</v>
      </c>
      <c r="AL111" s="4">
        <v>0</v>
      </c>
      <c r="AM111" s="4">
        <v>4</v>
      </c>
      <c r="AN111" s="4">
        <v>0</v>
      </c>
      <c r="AO111" s="4">
        <v>0</v>
      </c>
      <c r="AP111" s="3" t="s">
        <v>58</v>
      </c>
      <c r="AQ111" s="3" t="s">
        <v>58</v>
      </c>
      <c r="AS111" s="6" t="str">
        <f>HYPERLINK("https://creighton-primo.hosted.exlibrisgroup.com/primo-explore/search?tab=default_tab&amp;search_scope=EVERYTHING&amp;vid=01CRU&amp;lang=en_US&amp;offset=0&amp;query=any,contains,991000081199702656","Catalog Record")</f>
        <v>Catalog Record</v>
      </c>
      <c r="AT111" s="6" t="str">
        <f>HYPERLINK("http://www.worldcat.org/oclc/8832933","WorldCat Record")</f>
        <v>WorldCat Record</v>
      </c>
      <c r="AU111" s="3" t="s">
        <v>1554</v>
      </c>
      <c r="AV111" s="3" t="s">
        <v>1555</v>
      </c>
      <c r="AW111" s="3" t="s">
        <v>1556</v>
      </c>
      <c r="AX111" s="3" t="s">
        <v>1556</v>
      </c>
      <c r="AY111" s="3" t="s">
        <v>1557</v>
      </c>
      <c r="AZ111" s="3" t="s">
        <v>74</v>
      </c>
      <c r="BC111" s="3" t="s">
        <v>1558</v>
      </c>
      <c r="BD111" s="3" t="s">
        <v>1559</v>
      </c>
    </row>
    <row r="112" spans="1:56" ht="57.75" customHeight="1" x14ac:dyDescent="0.25">
      <c r="A112" s="7" t="s">
        <v>58</v>
      </c>
      <c r="B112" s="2" t="s">
        <v>1560</v>
      </c>
      <c r="C112" s="2" t="s">
        <v>1561</v>
      </c>
      <c r="D112" s="2" t="s">
        <v>1562</v>
      </c>
      <c r="F112" s="3" t="s">
        <v>58</v>
      </c>
      <c r="G112" s="3" t="s">
        <v>59</v>
      </c>
      <c r="H112" s="3" t="s">
        <v>58</v>
      </c>
      <c r="I112" s="3" t="s">
        <v>58</v>
      </c>
      <c r="J112" s="3" t="s">
        <v>60</v>
      </c>
      <c r="K112" s="2" t="s">
        <v>1563</v>
      </c>
      <c r="L112" s="2" t="s">
        <v>1564</v>
      </c>
      <c r="M112" s="3" t="s">
        <v>153</v>
      </c>
      <c r="O112" s="3" t="s">
        <v>64</v>
      </c>
      <c r="P112" s="3" t="s">
        <v>65</v>
      </c>
      <c r="R112" s="3" t="s">
        <v>1093</v>
      </c>
      <c r="S112" s="4">
        <v>1</v>
      </c>
      <c r="T112" s="4">
        <v>1</v>
      </c>
      <c r="U112" s="5" t="s">
        <v>1553</v>
      </c>
      <c r="V112" s="5" t="s">
        <v>1553</v>
      </c>
      <c r="W112" s="5" t="s">
        <v>372</v>
      </c>
      <c r="X112" s="5" t="s">
        <v>372</v>
      </c>
      <c r="Y112" s="4">
        <v>531</v>
      </c>
      <c r="Z112" s="4">
        <v>482</v>
      </c>
      <c r="AA112" s="4">
        <v>1329</v>
      </c>
      <c r="AB112" s="4">
        <v>1</v>
      </c>
      <c r="AC112" s="4">
        <v>10</v>
      </c>
      <c r="AD112" s="4">
        <v>10</v>
      </c>
      <c r="AE112" s="4">
        <v>32</v>
      </c>
      <c r="AF112" s="4">
        <v>6</v>
      </c>
      <c r="AG112" s="4">
        <v>12</v>
      </c>
      <c r="AH112" s="4">
        <v>3</v>
      </c>
      <c r="AI112" s="4">
        <v>6</v>
      </c>
      <c r="AJ112" s="4">
        <v>3</v>
      </c>
      <c r="AK112" s="4">
        <v>13</v>
      </c>
      <c r="AL112" s="4">
        <v>0</v>
      </c>
      <c r="AM112" s="4">
        <v>6</v>
      </c>
      <c r="AN112" s="4">
        <v>0</v>
      </c>
      <c r="AO112" s="4">
        <v>0</v>
      </c>
      <c r="AP112" s="3" t="s">
        <v>58</v>
      </c>
      <c r="AQ112" s="3" t="s">
        <v>69</v>
      </c>
      <c r="AR112" s="6" t="str">
        <f>HYPERLINK("http://catalog.hathitrust.org/Record/007122057","HathiTrust Record")</f>
        <v>HathiTrust Record</v>
      </c>
      <c r="AS112" s="6" t="str">
        <f>HYPERLINK("https://creighton-primo.hosted.exlibrisgroup.com/primo-explore/search?tab=default_tab&amp;search_scope=EVERYTHING&amp;vid=01CRU&amp;lang=en_US&amp;offset=0&amp;query=any,contains,991002731239702656","Catalog Record")</f>
        <v>Catalog Record</v>
      </c>
      <c r="AT112" s="6" t="str">
        <f>HYPERLINK("http://www.worldcat.org/oclc/416575","WorldCat Record")</f>
        <v>WorldCat Record</v>
      </c>
      <c r="AU112" s="3" t="s">
        <v>1565</v>
      </c>
      <c r="AV112" s="3" t="s">
        <v>1566</v>
      </c>
      <c r="AW112" s="3" t="s">
        <v>1567</v>
      </c>
      <c r="AX112" s="3" t="s">
        <v>1567</v>
      </c>
      <c r="AY112" s="3" t="s">
        <v>1568</v>
      </c>
      <c r="AZ112" s="3" t="s">
        <v>74</v>
      </c>
      <c r="BC112" s="3" t="s">
        <v>1569</v>
      </c>
      <c r="BD112" s="3" t="s">
        <v>1570</v>
      </c>
    </row>
    <row r="113" spans="1:56" ht="57.75" customHeight="1" x14ac:dyDescent="0.25">
      <c r="A113" s="7" t="s">
        <v>58</v>
      </c>
      <c r="B113" s="2" t="s">
        <v>1571</v>
      </c>
      <c r="C113" s="2" t="s">
        <v>1572</v>
      </c>
      <c r="D113" s="2" t="s">
        <v>1573</v>
      </c>
      <c r="F113" s="3" t="s">
        <v>58</v>
      </c>
      <c r="G113" s="3" t="s">
        <v>59</v>
      </c>
      <c r="H113" s="3" t="s">
        <v>58</v>
      </c>
      <c r="I113" s="3" t="s">
        <v>58</v>
      </c>
      <c r="J113" s="3" t="s">
        <v>60</v>
      </c>
      <c r="K113" s="2" t="s">
        <v>1574</v>
      </c>
      <c r="L113" s="2" t="s">
        <v>1575</v>
      </c>
      <c r="M113" s="3" t="s">
        <v>1576</v>
      </c>
      <c r="O113" s="3" t="s">
        <v>64</v>
      </c>
      <c r="P113" s="3" t="s">
        <v>65</v>
      </c>
      <c r="R113" s="3" t="s">
        <v>1093</v>
      </c>
      <c r="S113" s="4">
        <v>1</v>
      </c>
      <c r="T113" s="4">
        <v>1</v>
      </c>
      <c r="U113" s="5" t="s">
        <v>1553</v>
      </c>
      <c r="V113" s="5" t="s">
        <v>1553</v>
      </c>
      <c r="W113" s="5" t="s">
        <v>372</v>
      </c>
      <c r="X113" s="5" t="s">
        <v>372</v>
      </c>
      <c r="Y113" s="4">
        <v>475</v>
      </c>
      <c r="Z113" s="4">
        <v>450</v>
      </c>
      <c r="AA113" s="4">
        <v>676</v>
      </c>
      <c r="AB113" s="4">
        <v>4</v>
      </c>
      <c r="AC113" s="4">
        <v>6</v>
      </c>
      <c r="AD113" s="4">
        <v>14</v>
      </c>
      <c r="AE113" s="4">
        <v>17</v>
      </c>
      <c r="AF113" s="4">
        <v>7</v>
      </c>
      <c r="AG113" s="4">
        <v>7</v>
      </c>
      <c r="AH113" s="4">
        <v>3</v>
      </c>
      <c r="AI113" s="4">
        <v>3</v>
      </c>
      <c r="AJ113" s="4">
        <v>5</v>
      </c>
      <c r="AK113" s="4">
        <v>7</v>
      </c>
      <c r="AL113" s="4">
        <v>2</v>
      </c>
      <c r="AM113" s="4">
        <v>3</v>
      </c>
      <c r="AN113" s="4">
        <v>0</v>
      </c>
      <c r="AO113" s="4">
        <v>0</v>
      </c>
      <c r="AP113" s="3" t="s">
        <v>58</v>
      </c>
      <c r="AQ113" s="3" t="s">
        <v>69</v>
      </c>
      <c r="AR113" s="6" t="str">
        <f>HYPERLINK("http://catalog.hathitrust.org/Record/000282676","HathiTrust Record")</f>
        <v>HathiTrust Record</v>
      </c>
      <c r="AS113" s="6" t="str">
        <f>HYPERLINK("https://creighton-primo.hosted.exlibrisgroup.com/primo-explore/search?tab=default_tab&amp;search_scope=EVERYTHING&amp;vid=01CRU&amp;lang=en_US&amp;offset=0&amp;query=any,contains,991002910729702656","Catalog Record")</f>
        <v>Catalog Record</v>
      </c>
      <c r="AT113" s="6" t="str">
        <f>HYPERLINK("http://www.worldcat.org/oclc/521953","WorldCat Record")</f>
        <v>WorldCat Record</v>
      </c>
      <c r="AU113" s="3" t="s">
        <v>1577</v>
      </c>
      <c r="AV113" s="3" t="s">
        <v>1578</v>
      </c>
      <c r="AW113" s="3" t="s">
        <v>1579</v>
      </c>
      <c r="AX113" s="3" t="s">
        <v>1579</v>
      </c>
      <c r="AY113" s="3" t="s">
        <v>1580</v>
      </c>
      <c r="AZ113" s="3" t="s">
        <v>74</v>
      </c>
      <c r="BC113" s="3" t="s">
        <v>1581</v>
      </c>
      <c r="BD113" s="3" t="s">
        <v>1582</v>
      </c>
    </row>
    <row r="114" spans="1:56" ht="57.75" customHeight="1" x14ac:dyDescent="0.25">
      <c r="A114" s="7" t="s">
        <v>58</v>
      </c>
      <c r="B114" s="2" t="s">
        <v>1583</v>
      </c>
      <c r="C114" s="2" t="s">
        <v>1584</v>
      </c>
      <c r="D114" s="2" t="s">
        <v>1585</v>
      </c>
      <c r="F114" s="3" t="s">
        <v>58</v>
      </c>
      <c r="G114" s="3" t="s">
        <v>59</v>
      </c>
      <c r="H114" s="3" t="s">
        <v>58</v>
      </c>
      <c r="I114" s="3" t="s">
        <v>58</v>
      </c>
      <c r="J114" s="3" t="s">
        <v>60</v>
      </c>
      <c r="K114" s="2" t="s">
        <v>1586</v>
      </c>
      <c r="L114" s="2" t="s">
        <v>1587</v>
      </c>
      <c r="M114" s="3" t="s">
        <v>1588</v>
      </c>
      <c r="O114" s="3" t="s">
        <v>64</v>
      </c>
      <c r="P114" s="3" t="s">
        <v>412</v>
      </c>
      <c r="R114" s="3" t="s">
        <v>1093</v>
      </c>
      <c r="S114" s="4">
        <v>1</v>
      </c>
      <c r="T114" s="4">
        <v>1</v>
      </c>
      <c r="U114" s="5" t="s">
        <v>1553</v>
      </c>
      <c r="V114" s="5" t="s">
        <v>1553</v>
      </c>
      <c r="W114" s="5" t="s">
        <v>372</v>
      </c>
      <c r="X114" s="5" t="s">
        <v>372</v>
      </c>
      <c r="Y114" s="4">
        <v>740</v>
      </c>
      <c r="Z114" s="4">
        <v>566</v>
      </c>
      <c r="AA114" s="4">
        <v>578</v>
      </c>
      <c r="AB114" s="4">
        <v>4</v>
      </c>
      <c r="AC114" s="4">
        <v>4</v>
      </c>
      <c r="AD114" s="4">
        <v>22</v>
      </c>
      <c r="AE114" s="4">
        <v>22</v>
      </c>
      <c r="AF114" s="4">
        <v>7</v>
      </c>
      <c r="AG114" s="4">
        <v>7</v>
      </c>
      <c r="AH114" s="4">
        <v>6</v>
      </c>
      <c r="AI114" s="4">
        <v>6</v>
      </c>
      <c r="AJ114" s="4">
        <v>10</v>
      </c>
      <c r="AK114" s="4">
        <v>10</v>
      </c>
      <c r="AL114" s="4">
        <v>3</v>
      </c>
      <c r="AM114" s="4">
        <v>3</v>
      </c>
      <c r="AN114" s="4">
        <v>0</v>
      </c>
      <c r="AO114" s="4">
        <v>0</v>
      </c>
      <c r="AP114" s="3" t="s">
        <v>58</v>
      </c>
      <c r="AQ114" s="3" t="s">
        <v>69</v>
      </c>
      <c r="AR114" s="6" t="str">
        <f>HYPERLINK("http://catalog.hathitrust.org/Record/001471072","HathiTrust Record")</f>
        <v>HathiTrust Record</v>
      </c>
      <c r="AS114" s="6" t="str">
        <f>HYPERLINK("https://creighton-primo.hosted.exlibrisgroup.com/primo-explore/search?tab=default_tab&amp;search_scope=EVERYTHING&amp;vid=01CRU&amp;lang=en_US&amp;offset=0&amp;query=any,contains,991002387799702656","Catalog Record")</f>
        <v>Catalog Record</v>
      </c>
      <c r="AT114" s="6" t="str">
        <f>HYPERLINK("http://www.worldcat.org/oclc/330988","WorldCat Record")</f>
        <v>WorldCat Record</v>
      </c>
      <c r="AU114" s="3" t="s">
        <v>1589</v>
      </c>
      <c r="AV114" s="3" t="s">
        <v>1590</v>
      </c>
      <c r="AW114" s="3" t="s">
        <v>1591</v>
      </c>
      <c r="AX114" s="3" t="s">
        <v>1591</v>
      </c>
      <c r="AY114" s="3" t="s">
        <v>1592</v>
      </c>
      <c r="AZ114" s="3" t="s">
        <v>74</v>
      </c>
      <c r="BC114" s="3" t="s">
        <v>1593</v>
      </c>
      <c r="BD114" s="3" t="s">
        <v>1594</v>
      </c>
    </row>
    <row r="115" spans="1:56" ht="57.75" customHeight="1" x14ac:dyDescent="0.25">
      <c r="A115" s="7" t="s">
        <v>58</v>
      </c>
      <c r="B115" s="2" t="s">
        <v>1595</v>
      </c>
      <c r="C115" s="2" t="s">
        <v>1596</v>
      </c>
      <c r="D115" s="2" t="s">
        <v>1597</v>
      </c>
      <c r="F115" s="3" t="s">
        <v>58</v>
      </c>
      <c r="G115" s="3" t="s">
        <v>59</v>
      </c>
      <c r="H115" s="3" t="s">
        <v>58</v>
      </c>
      <c r="I115" s="3" t="s">
        <v>58</v>
      </c>
      <c r="J115" s="3" t="s">
        <v>60</v>
      </c>
      <c r="K115" s="2" t="s">
        <v>1598</v>
      </c>
      <c r="L115" s="2" t="s">
        <v>1599</v>
      </c>
      <c r="M115" s="3" t="s">
        <v>1600</v>
      </c>
      <c r="O115" s="3" t="s">
        <v>64</v>
      </c>
      <c r="P115" s="3" t="s">
        <v>65</v>
      </c>
      <c r="R115" s="3" t="s">
        <v>1093</v>
      </c>
      <c r="S115" s="4">
        <v>4</v>
      </c>
      <c r="T115" s="4">
        <v>4</v>
      </c>
      <c r="U115" s="5" t="s">
        <v>1553</v>
      </c>
      <c r="V115" s="5" t="s">
        <v>1553</v>
      </c>
      <c r="W115" s="5" t="s">
        <v>1601</v>
      </c>
      <c r="X115" s="5" t="s">
        <v>1601</v>
      </c>
      <c r="Y115" s="4">
        <v>1150</v>
      </c>
      <c r="Z115" s="4">
        <v>1098</v>
      </c>
      <c r="AA115" s="4">
        <v>1253</v>
      </c>
      <c r="AB115" s="4">
        <v>4</v>
      </c>
      <c r="AC115" s="4">
        <v>4</v>
      </c>
      <c r="AD115" s="4">
        <v>16</v>
      </c>
      <c r="AE115" s="4">
        <v>19</v>
      </c>
      <c r="AF115" s="4">
        <v>8</v>
      </c>
      <c r="AG115" s="4">
        <v>10</v>
      </c>
      <c r="AH115" s="4">
        <v>3</v>
      </c>
      <c r="AI115" s="4">
        <v>3</v>
      </c>
      <c r="AJ115" s="4">
        <v>6</v>
      </c>
      <c r="AK115" s="4">
        <v>8</v>
      </c>
      <c r="AL115" s="4">
        <v>2</v>
      </c>
      <c r="AM115" s="4">
        <v>2</v>
      </c>
      <c r="AN115" s="4">
        <v>0</v>
      </c>
      <c r="AO115" s="4">
        <v>0</v>
      </c>
      <c r="AP115" s="3" t="s">
        <v>58</v>
      </c>
      <c r="AQ115" s="3" t="s">
        <v>58</v>
      </c>
      <c r="AR115" s="6" t="str">
        <f>HYPERLINK("http://catalog.hathitrust.org/Record/001471086","HathiTrust Record")</f>
        <v>HathiTrust Record</v>
      </c>
      <c r="AS115" s="6" t="str">
        <f>HYPERLINK("https://creighton-primo.hosted.exlibrisgroup.com/primo-explore/search?tab=default_tab&amp;search_scope=EVERYTHING&amp;vid=01CRU&amp;lang=en_US&amp;offset=0&amp;query=any,contains,991003412859702656","Catalog Record")</f>
        <v>Catalog Record</v>
      </c>
      <c r="AT115" s="6" t="str">
        <f>HYPERLINK("http://www.worldcat.org/oclc/520155","WorldCat Record")</f>
        <v>WorldCat Record</v>
      </c>
      <c r="AU115" s="3" t="s">
        <v>1602</v>
      </c>
      <c r="AV115" s="3" t="s">
        <v>1603</v>
      </c>
      <c r="AW115" s="3" t="s">
        <v>1604</v>
      </c>
      <c r="AX115" s="3" t="s">
        <v>1604</v>
      </c>
      <c r="AY115" s="3" t="s">
        <v>1605</v>
      </c>
      <c r="AZ115" s="3" t="s">
        <v>74</v>
      </c>
      <c r="BC115" s="3" t="s">
        <v>1606</v>
      </c>
      <c r="BD115" s="3" t="s">
        <v>1607</v>
      </c>
    </row>
    <row r="116" spans="1:56" ht="57.75" customHeight="1" x14ac:dyDescent="0.25">
      <c r="A116" s="7" t="s">
        <v>58</v>
      </c>
      <c r="B116" s="2" t="s">
        <v>1608</v>
      </c>
      <c r="C116" s="2" t="s">
        <v>1609</v>
      </c>
      <c r="D116" s="2" t="s">
        <v>1610</v>
      </c>
      <c r="F116" s="3" t="s">
        <v>58</v>
      </c>
      <c r="G116" s="3" t="s">
        <v>59</v>
      </c>
      <c r="H116" s="3" t="s">
        <v>58</v>
      </c>
      <c r="I116" s="3" t="s">
        <v>58</v>
      </c>
      <c r="J116" s="3" t="s">
        <v>60</v>
      </c>
      <c r="K116" s="2" t="s">
        <v>1611</v>
      </c>
      <c r="L116" s="2" t="s">
        <v>1612</v>
      </c>
      <c r="M116" s="3" t="s">
        <v>792</v>
      </c>
      <c r="O116" s="3" t="s">
        <v>64</v>
      </c>
      <c r="P116" s="3" t="s">
        <v>65</v>
      </c>
      <c r="R116" s="3" t="s">
        <v>1093</v>
      </c>
      <c r="S116" s="4">
        <v>1</v>
      </c>
      <c r="T116" s="4">
        <v>1</v>
      </c>
      <c r="U116" s="5" t="s">
        <v>1553</v>
      </c>
      <c r="V116" s="5" t="s">
        <v>1553</v>
      </c>
      <c r="W116" s="5" t="s">
        <v>372</v>
      </c>
      <c r="X116" s="5" t="s">
        <v>372</v>
      </c>
      <c r="Y116" s="4">
        <v>1016</v>
      </c>
      <c r="Z116" s="4">
        <v>970</v>
      </c>
      <c r="AA116" s="4">
        <v>1018</v>
      </c>
      <c r="AB116" s="4">
        <v>7</v>
      </c>
      <c r="AC116" s="4">
        <v>7</v>
      </c>
      <c r="AD116" s="4">
        <v>11</v>
      </c>
      <c r="AE116" s="4">
        <v>11</v>
      </c>
      <c r="AF116" s="4">
        <v>2</v>
      </c>
      <c r="AG116" s="4">
        <v>2</v>
      </c>
      <c r="AH116" s="4">
        <v>3</v>
      </c>
      <c r="AI116" s="4">
        <v>3</v>
      </c>
      <c r="AJ116" s="4">
        <v>4</v>
      </c>
      <c r="AK116" s="4">
        <v>4</v>
      </c>
      <c r="AL116" s="4">
        <v>4</v>
      </c>
      <c r="AM116" s="4">
        <v>4</v>
      </c>
      <c r="AN116" s="4">
        <v>0</v>
      </c>
      <c r="AO116" s="4">
        <v>0</v>
      </c>
      <c r="AP116" s="3" t="s">
        <v>58</v>
      </c>
      <c r="AQ116" s="3" t="s">
        <v>69</v>
      </c>
      <c r="AR116" s="6" t="str">
        <f>HYPERLINK("http://catalog.hathitrust.org/Record/001471091","HathiTrust Record")</f>
        <v>HathiTrust Record</v>
      </c>
      <c r="AS116" s="6" t="str">
        <f>HYPERLINK("https://creighton-primo.hosted.exlibrisgroup.com/primo-explore/search?tab=default_tab&amp;search_scope=EVERYTHING&amp;vid=01CRU&amp;lang=en_US&amp;offset=0&amp;query=any,contains,991003208089702656","Catalog Record")</f>
        <v>Catalog Record</v>
      </c>
      <c r="AT116" s="6" t="str">
        <f>HYPERLINK("http://www.worldcat.org/oclc/733509","WorldCat Record")</f>
        <v>WorldCat Record</v>
      </c>
      <c r="AU116" s="3" t="s">
        <v>1613</v>
      </c>
      <c r="AV116" s="3" t="s">
        <v>1614</v>
      </c>
      <c r="AW116" s="3" t="s">
        <v>1615</v>
      </c>
      <c r="AX116" s="3" t="s">
        <v>1615</v>
      </c>
      <c r="AY116" s="3" t="s">
        <v>1616</v>
      </c>
      <c r="AZ116" s="3" t="s">
        <v>74</v>
      </c>
      <c r="BC116" s="3" t="s">
        <v>1617</v>
      </c>
      <c r="BD116" s="3" t="s">
        <v>1618</v>
      </c>
    </row>
    <row r="117" spans="1:56" ht="57.75" customHeight="1" x14ac:dyDescent="0.25">
      <c r="A117" s="7" t="s">
        <v>58</v>
      </c>
      <c r="B117" s="2" t="s">
        <v>1619</v>
      </c>
      <c r="C117" s="2" t="s">
        <v>1620</v>
      </c>
      <c r="D117" s="2" t="s">
        <v>1621</v>
      </c>
      <c r="F117" s="3" t="s">
        <v>58</v>
      </c>
      <c r="G117" s="3" t="s">
        <v>59</v>
      </c>
      <c r="H117" s="3" t="s">
        <v>58</v>
      </c>
      <c r="I117" s="3" t="s">
        <v>58</v>
      </c>
      <c r="J117" s="3" t="s">
        <v>60</v>
      </c>
      <c r="K117" s="2" t="s">
        <v>1622</v>
      </c>
      <c r="L117" s="2" t="s">
        <v>1623</v>
      </c>
      <c r="M117" s="3" t="s">
        <v>1624</v>
      </c>
      <c r="O117" s="3" t="s">
        <v>64</v>
      </c>
      <c r="P117" s="3" t="s">
        <v>65</v>
      </c>
      <c r="R117" s="3" t="s">
        <v>1093</v>
      </c>
      <c r="S117" s="4">
        <v>2</v>
      </c>
      <c r="T117" s="4">
        <v>2</v>
      </c>
      <c r="U117" s="5" t="s">
        <v>1553</v>
      </c>
      <c r="V117" s="5" t="s">
        <v>1553</v>
      </c>
      <c r="W117" s="5" t="s">
        <v>1625</v>
      </c>
      <c r="X117" s="5" t="s">
        <v>1625</v>
      </c>
      <c r="Y117" s="4">
        <v>33</v>
      </c>
      <c r="Z117" s="4">
        <v>33</v>
      </c>
      <c r="AA117" s="4">
        <v>821</v>
      </c>
      <c r="AB117" s="4">
        <v>1</v>
      </c>
      <c r="AC117" s="4">
        <v>5</v>
      </c>
      <c r="AD117" s="4">
        <v>0</v>
      </c>
      <c r="AE117" s="4">
        <v>11</v>
      </c>
      <c r="AF117" s="4">
        <v>0</v>
      </c>
      <c r="AG117" s="4">
        <v>6</v>
      </c>
      <c r="AH117" s="4">
        <v>0</v>
      </c>
      <c r="AI117" s="4">
        <v>3</v>
      </c>
      <c r="AJ117" s="4">
        <v>0</v>
      </c>
      <c r="AK117" s="4">
        <v>5</v>
      </c>
      <c r="AL117" s="4">
        <v>0</v>
      </c>
      <c r="AM117" s="4">
        <v>1</v>
      </c>
      <c r="AN117" s="4">
        <v>0</v>
      </c>
      <c r="AO117" s="4">
        <v>0</v>
      </c>
      <c r="AP117" s="3" t="s">
        <v>58</v>
      </c>
      <c r="AQ117" s="3" t="s">
        <v>58</v>
      </c>
      <c r="AS117" s="6" t="str">
        <f>HYPERLINK("https://creighton-primo.hosted.exlibrisgroup.com/primo-explore/search?tab=default_tab&amp;search_scope=EVERYTHING&amp;vid=01CRU&amp;lang=en_US&amp;offset=0&amp;query=any,contains,991000623489702656","Catalog Record")</f>
        <v>Catalog Record</v>
      </c>
      <c r="AT117" s="6" t="str">
        <f>HYPERLINK("http://www.worldcat.org/oclc/11984244","WorldCat Record")</f>
        <v>WorldCat Record</v>
      </c>
      <c r="AU117" s="3" t="s">
        <v>1626</v>
      </c>
      <c r="AV117" s="3" t="s">
        <v>1627</v>
      </c>
      <c r="AW117" s="3" t="s">
        <v>1628</v>
      </c>
      <c r="AX117" s="3" t="s">
        <v>1628</v>
      </c>
      <c r="AY117" s="3" t="s">
        <v>1629</v>
      </c>
      <c r="AZ117" s="3" t="s">
        <v>74</v>
      </c>
      <c r="BC117" s="3" t="s">
        <v>1630</v>
      </c>
      <c r="BD117" s="3" t="s">
        <v>1631</v>
      </c>
    </row>
    <row r="118" spans="1:56" ht="57.75" customHeight="1" x14ac:dyDescent="0.25">
      <c r="A118" s="7" t="s">
        <v>58</v>
      </c>
      <c r="B118" s="2" t="s">
        <v>1632</v>
      </c>
      <c r="C118" s="2" t="s">
        <v>1633</v>
      </c>
      <c r="D118" s="2" t="s">
        <v>1634</v>
      </c>
      <c r="F118" s="3" t="s">
        <v>58</v>
      </c>
      <c r="G118" s="3" t="s">
        <v>59</v>
      </c>
      <c r="H118" s="3" t="s">
        <v>58</v>
      </c>
      <c r="I118" s="3" t="s">
        <v>58</v>
      </c>
      <c r="J118" s="3" t="s">
        <v>60</v>
      </c>
      <c r="K118" s="2" t="s">
        <v>1635</v>
      </c>
      <c r="L118" s="2" t="s">
        <v>1636</v>
      </c>
      <c r="M118" s="3" t="s">
        <v>358</v>
      </c>
      <c r="O118" s="3" t="s">
        <v>64</v>
      </c>
      <c r="P118" s="3" t="s">
        <v>65</v>
      </c>
      <c r="R118" s="3" t="s">
        <v>1093</v>
      </c>
      <c r="S118" s="4">
        <v>2</v>
      </c>
      <c r="T118" s="4">
        <v>2</v>
      </c>
      <c r="U118" s="5" t="s">
        <v>1553</v>
      </c>
      <c r="V118" s="5" t="s">
        <v>1553</v>
      </c>
      <c r="W118" s="5" t="s">
        <v>1637</v>
      </c>
      <c r="X118" s="5" t="s">
        <v>1637</v>
      </c>
      <c r="Y118" s="4">
        <v>827</v>
      </c>
      <c r="Z118" s="4">
        <v>782</v>
      </c>
      <c r="AA118" s="4">
        <v>812</v>
      </c>
      <c r="AB118" s="4">
        <v>4</v>
      </c>
      <c r="AC118" s="4">
        <v>4</v>
      </c>
      <c r="AD118" s="4">
        <v>11</v>
      </c>
      <c r="AE118" s="4">
        <v>11</v>
      </c>
      <c r="AF118" s="4">
        <v>4</v>
      </c>
      <c r="AG118" s="4">
        <v>4</v>
      </c>
      <c r="AH118" s="4">
        <v>2</v>
      </c>
      <c r="AI118" s="4">
        <v>2</v>
      </c>
      <c r="AJ118" s="4">
        <v>8</v>
      </c>
      <c r="AK118" s="4">
        <v>8</v>
      </c>
      <c r="AL118" s="4">
        <v>0</v>
      </c>
      <c r="AM118" s="4">
        <v>0</v>
      </c>
      <c r="AN118" s="4">
        <v>0</v>
      </c>
      <c r="AO118" s="4">
        <v>0</v>
      </c>
      <c r="AP118" s="3" t="s">
        <v>69</v>
      </c>
      <c r="AQ118" s="3" t="s">
        <v>58</v>
      </c>
      <c r="AR118" s="6" t="str">
        <f>HYPERLINK("http://catalog.hathitrust.org/Record/000007002","HathiTrust Record")</f>
        <v>HathiTrust Record</v>
      </c>
      <c r="AS118" s="6" t="str">
        <f>HYPERLINK("https://creighton-primo.hosted.exlibrisgroup.com/primo-explore/search?tab=default_tab&amp;search_scope=EVERYTHING&amp;vid=01CRU&amp;lang=en_US&amp;offset=0&amp;query=any,contains,991002907439702656","Catalog Record")</f>
        <v>Catalog Record</v>
      </c>
      <c r="AT118" s="6" t="str">
        <f>HYPERLINK("http://www.worldcat.org/oclc/520177","WorldCat Record")</f>
        <v>WorldCat Record</v>
      </c>
      <c r="AU118" s="3" t="s">
        <v>1638</v>
      </c>
      <c r="AV118" s="3" t="s">
        <v>1639</v>
      </c>
      <c r="AW118" s="3" t="s">
        <v>1640</v>
      </c>
      <c r="AX118" s="3" t="s">
        <v>1640</v>
      </c>
      <c r="AY118" s="3" t="s">
        <v>1641</v>
      </c>
      <c r="AZ118" s="3" t="s">
        <v>74</v>
      </c>
      <c r="BC118" s="3" t="s">
        <v>1642</v>
      </c>
      <c r="BD118" s="3" t="s">
        <v>1643</v>
      </c>
    </row>
    <row r="119" spans="1:56" ht="57.75" customHeight="1" x14ac:dyDescent="0.25">
      <c r="A119" s="7" t="s">
        <v>58</v>
      </c>
      <c r="B119" s="2" t="s">
        <v>1644</v>
      </c>
      <c r="C119" s="2" t="s">
        <v>1645</v>
      </c>
      <c r="D119" s="2" t="s">
        <v>1646</v>
      </c>
      <c r="F119" s="3" t="s">
        <v>58</v>
      </c>
      <c r="G119" s="3" t="s">
        <v>59</v>
      </c>
      <c r="H119" s="3" t="s">
        <v>58</v>
      </c>
      <c r="I119" s="3" t="s">
        <v>58</v>
      </c>
      <c r="J119" s="3" t="s">
        <v>60</v>
      </c>
      <c r="K119" s="2" t="s">
        <v>1647</v>
      </c>
      <c r="L119" s="2" t="s">
        <v>1648</v>
      </c>
      <c r="M119" s="3" t="s">
        <v>792</v>
      </c>
      <c r="O119" s="3" t="s">
        <v>64</v>
      </c>
      <c r="P119" s="3" t="s">
        <v>385</v>
      </c>
      <c r="Q119" s="2" t="s">
        <v>1649</v>
      </c>
      <c r="R119" s="3" t="s">
        <v>1093</v>
      </c>
      <c r="S119" s="4">
        <v>7</v>
      </c>
      <c r="T119" s="4">
        <v>7</v>
      </c>
      <c r="U119" s="5" t="s">
        <v>1553</v>
      </c>
      <c r="V119" s="5" t="s">
        <v>1553</v>
      </c>
      <c r="W119" s="5" t="s">
        <v>1650</v>
      </c>
      <c r="X119" s="5" t="s">
        <v>1650</v>
      </c>
      <c r="Y119" s="4">
        <v>579</v>
      </c>
      <c r="Z119" s="4">
        <v>556</v>
      </c>
      <c r="AA119" s="4">
        <v>618</v>
      </c>
      <c r="AB119" s="4">
        <v>5</v>
      </c>
      <c r="AC119" s="4">
        <v>5</v>
      </c>
      <c r="AD119" s="4">
        <v>8</v>
      </c>
      <c r="AE119" s="4">
        <v>8</v>
      </c>
      <c r="AF119" s="4">
        <v>2</v>
      </c>
      <c r="AG119" s="4">
        <v>2</v>
      </c>
      <c r="AH119" s="4">
        <v>0</v>
      </c>
      <c r="AI119" s="4">
        <v>0</v>
      </c>
      <c r="AJ119" s="4">
        <v>5</v>
      </c>
      <c r="AK119" s="4">
        <v>5</v>
      </c>
      <c r="AL119" s="4">
        <v>2</v>
      </c>
      <c r="AM119" s="4">
        <v>2</v>
      </c>
      <c r="AN119" s="4">
        <v>0</v>
      </c>
      <c r="AO119" s="4">
        <v>0</v>
      </c>
      <c r="AP119" s="3" t="s">
        <v>58</v>
      </c>
      <c r="AQ119" s="3" t="s">
        <v>69</v>
      </c>
      <c r="AR119" s="6" t="str">
        <f>HYPERLINK("http://catalog.hathitrust.org/Record/001471103","HathiTrust Record")</f>
        <v>HathiTrust Record</v>
      </c>
      <c r="AS119" s="6" t="str">
        <f>HYPERLINK("https://creighton-primo.hosted.exlibrisgroup.com/primo-explore/search?tab=default_tab&amp;search_scope=EVERYTHING&amp;vid=01CRU&amp;lang=en_US&amp;offset=0&amp;query=any,contains,991003164149702656","Catalog Record")</f>
        <v>Catalog Record</v>
      </c>
      <c r="AT119" s="6" t="str">
        <f>HYPERLINK("http://www.worldcat.org/oclc/702619","WorldCat Record")</f>
        <v>WorldCat Record</v>
      </c>
      <c r="AU119" s="3" t="s">
        <v>1651</v>
      </c>
      <c r="AV119" s="3" t="s">
        <v>1652</v>
      </c>
      <c r="AW119" s="3" t="s">
        <v>1653</v>
      </c>
      <c r="AX119" s="3" t="s">
        <v>1653</v>
      </c>
      <c r="AY119" s="3" t="s">
        <v>1654</v>
      </c>
      <c r="AZ119" s="3" t="s">
        <v>74</v>
      </c>
      <c r="BC119" s="3" t="s">
        <v>1655</v>
      </c>
      <c r="BD119" s="3" t="s">
        <v>1656</v>
      </c>
    </row>
    <row r="120" spans="1:56" ht="57.75" customHeight="1" x14ac:dyDescent="0.25">
      <c r="A120" s="7" t="s">
        <v>58</v>
      </c>
      <c r="B120" s="2" t="s">
        <v>1657</v>
      </c>
      <c r="C120" s="2" t="s">
        <v>1658</v>
      </c>
      <c r="D120" s="2" t="s">
        <v>1659</v>
      </c>
      <c r="F120" s="3" t="s">
        <v>58</v>
      </c>
      <c r="G120" s="3" t="s">
        <v>59</v>
      </c>
      <c r="H120" s="3" t="s">
        <v>58</v>
      </c>
      <c r="I120" s="3" t="s">
        <v>58</v>
      </c>
      <c r="J120" s="3" t="s">
        <v>60</v>
      </c>
      <c r="K120" s="2" t="s">
        <v>1660</v>
      </c>
      <c r="L120" s="2" t="s">
        <v>1661</v>
      </c>
      <c r="M120" s="3" t="s">
        <v>1061</v>
      </c>
      <c r="N120" s="2" t="s">
        <v>606</v>
      </c>
      <c r="O120" s="3" t="s">
        <v>64</v>
      </c>
      <c r="P120" s="3" t="s">
        <v>453</v>
      </c>
      <c r="R120" s="3" t="s">
        <v>1093</v>
      </c>
      <c r="S120" s="4">
        <v>1</v>
      </c>
      <c r="T120" s="4">
        <v>1</v>
      </c>
      <c r="U120" s="5" t="s">
        <v>1662</v>
      </c>
      <c r="V120" s="5" t="s">
        <v>1662</v>
      </c>
      <c r="W120" s="5" t="s">
        <v>1662</v>
      </c>
      <c r="X120" s="5" t="s">
        <v>1662</v>
      </c>
      <c r="Y120" s="4">
        <v>455</v>
      </c>
      <c r="Z120" s="4">
        <v>406</v>
      </c>
      <c r="AA120" s="4">
        <v>408</v>
      </c>
      <c r="AB120" s="4">
        <v>5</v>
      </c>
      <c r="AC120" s="4">
        <v>5</v>
      </c>
      <c r="AD120" s="4">
        <v>8</v>
      </c>
      <c r="AE120" s="4">
        <v>8</v>
      </c>
      <c r="AF120" s="4">
        <v>3</v>
      </c>
      <c r="AG120" s="4">
        <v>3</v>
      </c>
      <c r="AH120" s="4">
        <v>0</v>
      </c>
      <c r="AI120" s="4">
        <v>0</v>
      </c>
      <c r="AJ120" s="4">
        <v>4</v>
      </c>
      <c r="AK120" s="4">
        <v>4</v>
      </c>
      <c r="AL120" s="4">
        <v>3</v>
      </c>
      <c r="AM120" s="4">
        <v>3</v>
      </c>
      <c r="AN120" s="4">
        <v>0</v>
      </c>
      <c r="AO120" s="4">
        <v>0</v>
      </c>
      <c r="AP120" s="3" t="s">
        <v>58</v>
      </c>
      <c r="AQ120" s="3" t="s">
        <v>69</v>
      </c>
      <c r="AR120" s="6" t="str">
        <f>HYPERLINK("http://catalog.hathitrust.org/Record/004358124","HathiTrust Record")</f>
        <v>HathiTrust Record</v>
      </c>
      <c r="AS120" s="6" t="str">
        <f>HYPERLINK("https://creighton-primo.hosted.exlibrisgroup.com/primo-explore/search?tab=default_tab&amp;search_scope=EVERYTHING&amp;vid=01CRU&amp;lang=en_US&amp;offset=0&amp;query=any,contains,991004539359702656","Catalog Record")</f>
        <v>Catalog Record</v>
      </c>
      <c r="AT120" s="6" t="str">
        <f>HYPERLINK("http://www.worldcat.org/oclc/53883909","WorldCat Record")</f>
        <v>WorldCat Record</v>
      </c>
      <c r="AU120" s="3" t="s">
        <v>1663</v>
      </c>
      <c r="AV120" s="3" t="s">
        <v>1664</v>
      </c>
      <c r="AW120" s="3" t="s">
        <v>1665</v>
      </c>
      <c r="AX120" s="3" t="s">
        <v>1665</v>
      </c>
      <c r="AY120" s="3" t="s">
        <v>1666</v>
      </c>
      <c r="AZ120" s="3" t="s">
        <v>74</v>
      </c>
      <c r="BB120" s="3" t="s">
        <v>1667</v>
      </c>
      <c r="BC120" s="3" t="s">
        <v>1668</v>
      </c>
      <c r="BD120" s="3" t="s">
        <v>1669</v>
      </c>
    </row>
    <row r="121" spans="1:56" ht="57.75" customHeight="1" x14ac:dyDescent="0.25">
      <c r="A121" s="7" t="s">
        <v>58</v>
      </c>
      <c r="B121" s="2" t="s">
        <v>1670</v>
      </c>
      <c r="C121" s="2" t="s">
        <v>1671</v>
      </c>
      <c r="D121" s="2" t="s">
        <v>1672</v>
      </c>
      <c r="F121" s="3" t="s">
        <v>58</v>
      </c>
      <c r="G121" s="3" t="s">
        <v>59</v>
      </c>
      <c r="H121" s="3" t="s">
        <v>58</v>
      </c>
      <c r="I121" s="3" t="s">
        <v>58</v>
      </c>
      <c r="J121" s="3" t="s">
        <v>60</v>
      </c>
      <c r="K121" s="2" t="s">
        <v>1673</v>
      </c>
      <c r="L121" s="2" t="s">
        <v>1674</v>
      </c>
      <c r="M121" s="3" t="s">
        <v>1061</v>
      </c>
      <c r="O121" s="3" t="s">
        <v>64</v>
      </c>
      <c r="P121" s="3" t="s">
        <v>453</v>
      </c>
      <c r="Q121" s="2" t="s">
        <v>1675</v>
      </c>
      <c r="R121" s="3" t="s">
        <v>1093</v>
      </c>
      <c r="S121" s="4">
        <v>1</v>
      </c>
      <c r="T121" s="4">
        <v>1</v>
      </c>
      <c r="U121" s="5" t="s">
        <v>1676</v>
      </c>
      <c r="V121" s="5" t="s">
        <v>1676</v>
      </c>
      <c r="W121" s="5" t="s">
        <v>1677</v>
      </c>
      <c r="X121" s="5" t="s">
        <v>1677</v>
      </c>
      <c r="Y121" s="4">
        <v>190</v>
      </c>
      <c r="Z121" s="4">
        <v>177</v>
      </c>
      <c r="AA121" s="4">
        <v>177</v>
      </c>
      <c r="AB121" s="4">
        <v>2</v>
      </c>
      <c r="AC121" s="4">
        <v>2</v>
      </c>
      <c r="AD121" s="4">
        <v>6</v>
      </c>
      <c r="AE121" s="4">
        <v>6</v>
      </c>
      <c r="AF121" s="4">
        <v>0</v>
      </c>
      <c r="AG121" s="4">
        <v>0</v>
      </c>
      <c r="AH121" s="4">
        <v>2</v>
      </c>
      <c r="AI121" s="4">
        <v>2</v>
      </c>
      <c r="AJ121" s="4">
        <v>4</v>
      </c>
      <c r="AK121" s="4">
        <v>4</v>
      </c>
      <c r="AL121" s="4">
        <v>1</v>
      </c>
      <c r="AM121" s="4">
        <v>1</v>
      </c>
      <c r="AN121" s="4">
        <v>0</v>
      </c>
      <c r="AO121" s="4">
        <v>0</v>
      </c>
      <c r="AP121" s="3" t="s">
        <v>58</v>
      </c>
      <c r="AQ121" s="3" t="s">
        <v>58</v>
      </c>
      <c r="AS121" s="6" t="str">
        <f>HYPERLINK("https://creighton-primo.hosted.exlibrisgroup.com/primo-explore/search?tab=default_tab&amp;search_scope=EVERYTHING&amp;vid=01CRU&amp;lang=en_US&amp;offset=0&amp;query=any,contains,991004218409702656","Catalog Record")</f>
        <v>Catalog Record</v>
      </c>
      <c r="AT121" s="6" t="str">
        <f>HYPERLINK("http://www.worldcat.org/oclc/53994338","WorldCat Record")</f>
        <v>WorldCat Record</v>
      </c>
      <c r="AU121" s="3" t="s">
        <v>1678</v>
      </c>
      <c r="AV121" s="3" t="s">
        <v>1679</v>
      </c>
      <c r="AW121" s="3" t="s">
        <v>1680</v>
      </c>
      <c r="AX121" s="3" t="s">
        <v>1680</v>
      </c>
      <c r="AY121" s="3" t="s">
        <v>1681</v>
      </c>
      <c r="AZ121" s="3" t="s">
        <v>74</v>
      </c>
      <c r="BB121" s="3" t="s">
        <v>1682</v>
      </c>
      <c r="BC121" s="3" t="s">
        <v>1683</v>
      </c>
      <c r="BD121" s="3" t="s">
        <v>1684</v>
      </c>
    </row>
    <row r="122" spans="1:56" ht="57.75" customHeight="1" x14ac:dyDescent="0.25">
      <c r="A122" s="7" t="s">
        <v>58</v>
      </c>
      <c r="B122" s="2" t="s">
        <v>1685</v>
      </c>
      <c r="C122" s="2" t="s">
        <v>1686</v>
      </c>
      <c r="D122" s="2" t="s">
        <v>1687</v>
      </c>
      <c r="F122" s="3" t="s">
        <v>58</v>
      </c>
      <c r="G122" s="3" t="s">
        <v>59</v>
      </c>
      <c r="H122" s="3" t="s">
        <v>58</v>
      </c>
      <c r="I122" s="3" t="s">
        <v>58</v>
      </c>
      <c r="J122" s="3" t="s">
        <v>60</v>
      </c>
      <c r="K122" s="2" t="s">
        <v>1688</v>
      </c>
      <c r="L122" s="2" t="s">
        <v>1689</v>
      </c>
      <c r="M122" s="3" t="s">
        <v>792</v>
      </c>
      <c r="N122" s="2" t="s">
        <v>1690</v>
      </c>
      <c r="O122" s="3" t="s">
        <v>64</v>
      </c>
      <c r="P122" s="3" t="s">
        <v>412</v>
      </c>
      <c r="Q122" s="2" t="s">
        <v>1691</v>
      </c>
      <c r="R122" s="3" t="s">
        <v>1093</v>
      </c>
      <c r="S122" s="4">
        <v>2</v>
      </c>
      <c r="T122" s="4">
        <v>2</v>
      </c>
      <c r="U122" s="5" t="s">
        <v>1461</v>
      </c>
      <c r="V122" s="5" t="s">
        <v>1461</v>
      </c>
      <c r="W122" s="5" t="s">
        <v>1692</v>
      </c>
      <c r="X122" s="5" t="s">
        <v>1692</v>
      </c>
      <c r="Y122" s="4">
        <v>185</v>
      </c>
      <c r="Z122" s="4">
        <v>147</v>
      </c>
      <c r="AA122" s="4">
        <v>324</v>
      </c>
      <c r="AB122" s="4">
        <v>3</v>
      </c>
      <c r="AC122" s="4">
        <v>4</v>
      </c>
      <c r="AD122" s="4">
        <v>5</v>
      </c>
      <c r="AE122" s="4">
        <v>9</v>
      </c>
      <c r="AF122" s="4">
        <v>1</v>
      </c>
      <c r="AG122" s="4">
        <v>2</v>
      </c>
      <c r="AH122" s="4">
        <v>0</v>
      </c>
      <c r="AI122" s="4">
        <v>1</v>
      </c>
      <c r="AJ122" s="4">
        <v>2</v>
      </c>
      <c r="AK122" s="4">
        <v>6</v>
      </c>
      <c r="AL122" s="4">
        <v>2</v>
      </c>
      <c r="AM122" s="4">
        <v>2</v>
      </c>
      <c r="AN122" s="4">
        <v>0</v>
      </c>
      <c r="AO122" s="4">
        <v>0</v>
      </c>
      <c r="AP122" s="3" t="s">
        <v>58</v>
      </c>
      <c r="AQ122" s="3" t="s">
        <v>69</v>
      </c>
      <c r="AR122" s="6" t="str">
        <f>HYPERLINK("http://catalog.hathitrust.org/Record/006126999","HathiTrust Record")</f>
        <v>HathiTrust Record</v>
      </c>
      <c r="AS122" s="6" t="str">
        <f>HYPERLINK("https://creighton-primo.hosted.exlibrisgroup.com/primo-explore/search?tab=default_tab&amp;search_scope=EVERYTHING&amp;vid=01CRU&amp;lang=en_US&amp;offset=0&amp;query=any,contains,991003948129702656","Catalog Record")</f>
        <v>Catalog Record</v>
      </c>
      <c r="AT122" s="6" t="str">
        <f>HYPERLINK("http://www.worldcat.org/oclc/1949784","WorldCat Record")</f>
        <v>WorldCat Record</v>
      </c>
      <c r="AU122" s="3" t="s">
        <v>1693</v>
      </c>
      <c r="AV122" s="3" t="s">
        <v>1694</v>
      </c>
      <c r="AW122" s="3" t="s">
        <v>1695</v>
      </c>
      <c r="AX122" s="3" t="s">
        <v>1695</v>
      </c>
      <c r="AY122" s="3" t="s">
        <v>1696</v>
      </c>
      <c r="AZ122" s="3" t="s">
        <v>74</v>
      </c>
      <c r="BC122" s="3" t="s">
        <v>1697</v>
      </c>
      <c r="BD122" s="3" t="s">
        <v>1698</v>
      </c>
    </row>
    <row r="123" spans="1:56" ht="57.75" customHeight="1" x14ac:dyDescent="0.25">
      <c r="A123" s="7" t="s">
        <v>58</v>
      </c>
      <c r="B123" s="2" t="s">
        <v>1699</v>
      </c>
      <c r="C123" s="2" t="s">
        <v>1700</v>
      </c>
      <c r="D123" s="2" t="s">
        <v>1701</v>
      </c>
      <c r="F123" s="3" t="s">
        <v>58</v>
      </c>
      <c r="G123" s="3" t="s">
        <v>59</v>
      </c>
      <c r="H123" s="3" t="s">
        <v>58</v>
      </c>
      <c r="I123" s="3" t="s">
        <v>58</v>
      </c>
      <c r="J123" s="3" t="s">
        <v>60</v>
      </c>
      <c r="L123" s="2" t="s">
        <v>1702</v>
      </c>
      <c r="M123" s="3" t="s">
        <v>621</v>
      </c>
      <c r="O123" s="3" t="s">
        <v>64</v>
      </c>
      <c r="P123" s="3" t="s">
        <v>412</v>
      </c>
      <c r="R123" s="3" t="s">
        <v>1093</v>
      </c>
      <c r="S123" s="4">
        <v>7</v>
      </c>
      <c r="T123" s="4">
        <v>7</v>
      </c>
      <c r="U123" s="5" t="s">
        <v>1703</v>
      </c>
      <c r="V123" s="5" t="s">
        <v>1703</v>
      </c>
      <c r="W123" s="5" t="s">
        <v>1704</v>
      </c>
      <c r="X123" s="5" t="s">
        <v>1704</v>
      </c>
      <c r="Y123" s="4">
        <v>205</v>
      </c>
      <c r="Z123" s="4">
        <v>147</v>
      </c>
      <c r="AA123" s="4">
        <v>157</v>
      </c>
      <c r="AB123" s="4">
        <v>2</v>
      </c>
      <c r="AC123" s="4">
        <v>2</v>
      </c>
      <c r="AD123" s="4">
        <v>3</v>
      </c>
      <c r="AE123" s="4">
        <v>3</v>
      </c>
      <c r="AF123" s="4">
        <v>0</v>
      </c>
      <c r="AG123" s="4">
        <v>0</v>
      </c>
      <c r="AH123" s="4">
        <v>1</v>
      </c>
      <c r="AI123" s="4">
        <v>1</v>
      </c>
      <c r="AJ123" s="4">
        <v>1</v>
      </c>
      <c r="AK123" s="4">
        <v>1</v>
      </c>
      <c r="AL123" s="4">
        <v>1</v>
      </c>
      <c r="AM123" s="4">
        <v>1</v>
      </c>
      <c r="AN123" s="4">
        <v>0</v>
      </c>
      <c r="AO123" s="4">
        <v>0</v>
      </c>
      <c r="AP123" s="3" t="s">
        <v>58</v>
      </c>
      <c r="AQ123" s="3" t="s">
        <v>69</v>
      </c>
      <c r="AR123" s="6" t="str">
        <f>HYPERLINK("http://catalog.hathitrust.org/Record/008544960","HathiTrust Record")</f>
        <v>HathiTrust Record</v>
      </c>
      <c r="AS123" s="6" t="str">
        <f>HYPERLINK("https://creighton-primo.hosted.exlibrisgroup.com/primo-explore/search?tab=default_tab&amp;search_scope=EVERYTHING&amp;vid=01CRU&amp;lang=en_US&amp;offset=0&amp;query=any,contains,991005356229702656","Catalog Record")</f>
        <v>Catalog Record</v>
      </c>
      <c r="AT123" s="6" t="str">
        <f>HYPERLINK("http://www.worldcat.org/oclc/672770","WorldCat Record")</f>
        <v>WorldCat Record</v>
      </c>
      <c r="AU123" s="3" t="s">
        <v>1705</v>
      </c>
      <c r="AV123" s="3" t="s">
        <v>1706</v>
      </c>
      <c r="AW123" s="3" t="s">
        <v>1707</v>
      </c>
      <c r="AX123" s="3" t="s">
        <v>1707</v>
      </c>
      <c r="AY123" s="3" t="s">
        <v>1708</v>
      </c>
      <c r="AZ123" s="3" t="s">
        <v>74</v>
      </c>
      <c r="BB123" s="3" t="s">
        <v>1709</v>
      </c>
      <c r="BC123" s="3" t="s">
        <v>1710</v>
      </c>
      <c r="BD123" s="3" t="s">
        <v>1711</v>
      </c>
    </row>
    <row r="124" spans="1:56" ht="57.75" customHeight="1" x14ac:dyDescent="0.25">
      <c r="A124" s="7" t="s">
        <v>58</v>
      </c>
      <c r="B124" s="2" t="s">
        <v>1712</v>
      </c>
      <c r="C124" s="2" t="s">
        <v>1713</v>
      </c>
      <c r="D124" s="2" t="s">
        <v>1714</v>
      </c>
      <c r="F124" s="3" t="s">
        <v>58</v>
      </c>
      <c r="G124" s="3" t="s">
        <v>59</v>
      </c>
      <c r="H124" s="3" t="s">
        <v>58</v>
      </c>
      <c r="I124" s="3" t="s">
        <v>58</v>
      </c>
      <c r="J124" s="3" t="s">
        <v>60</v>
      </c>
      <c r="K124" s="2" t="s">
        <v>1715</v>
      </c>
      <c r="L124" s="2" t="s">
        <v>1716</v>
      </c>
      <c r="M124" s="3" t="s">
        <v>1717</v>
      </c>
      <c r="O124" s="3" t="s">
        <v>64</v>
      </c>
      <c r="P124" s="3" t="s">
        <v>65</v>
      </c>
      <c r="R124" s="3" t="s">
        <v>1093</v>
      </c>
      <c r="S124" s="4">
        <v>2</v>
      </c>
      <c r="T124" s="4">
        <v>2</v>
      </c>
      <c r="U124" s="5" t="s">
        <v>1718</v>
      </c>
      <c r="V124" s="5" t="s">
        <v>1718</v>
      </c>
      <c r="W124" s="5" t="s">
        <v>1719</v>
      </c>
      <c r="X124" s="5" t="s">
        <v>1719</v>
      </c>
      <c r="Y124" s="4">
        <v>286</v>
      </c>
      <c r="Z124" s="4">
        <v>251</v>
      </c>
      <c r="AA124" s="4">
        <v>315</v>
      </c>
      <c r="AB124" s="4">
        <v>3</v>
      </c>
      <c r="AC124" s="4">
        <v>3</v>
      </c>
      <c r="AD124" s="4">
        <v>7</v>
      </c>
      <c r="AE124" s="4">
        <v>7</v>
      </c>
      <c r="AF124" s="4">
        <v>0</v>
      </c>
      <c r="AG124" s="4">
        <v>0</v>
      </c>
      <c r="AH124" s="4">
        <v>1</v>
      </c>
      <c r="AI124" s="4">
        <v>1</v>
      </c>
      <c r="AJ124" s="4">
        <v>4</v>
      </c>
      <c r="AK124" s="4">
        <v>4</v>
      </c>
      <c r="AL124" s="4">
        <v>2</v>
      </c>
      <c r="AM124" s="4">
        <v>2</v>
      </c>
      <c r="AN124" s="4">
        <v>0</v>
      </c>
      <c r="AO124" s="4">
        <v>0</v>
      </c>
      <c r="AP124" s="3" t="s">
        <v>69</v>
      </c>
      <c r="AQ124" s="3" t="s">
        <v>58</v>
      </c>
      <c r="AR124" s="6" t="str">
        <f>HYPERLINK("http://catalog.hathitrust.org/Record/001471264","HathiTrust Record")</f>
        <v>HathiTrust Record</v>
      </c>
      <c r="AS124" s="6" t="str">
        <f>HYPERLINK("https://creighton-primo.hosted.exlibrisgroup.com/primo-explore/search?tab=default_tab&amp;search_scope=EVERYTHING&amp;vid=01CRU&amp;lang=en_US&amp;offset=0&amp;query=any,contains,991003831679702656","Catalog Record")</f>
        <v>Catalog Record</v>
      </c>
      <c r="AT124" s="6" t="str">
        <f>HYPERLINK("http://www.worldcat.org/oclc/50387853","WorldCat Record")</f>
        <v>WorldCat Record</v>
      </c>
      <c r="AU124" s="3" t="s">
        <v>1720</v>
      </c>
      <c r="AV124" s="3" t="s">
        <v>1721</v>
      </c>
      <c r="AW124" s="3" t="s">
        <v>1722</v>
      </c>
      <c r="AX124" s="3" t="s">
        <v>1722</v>
      </c>
      <c r="AY124" s="3" t="s">
        <v>1723</v>
      </c>
      <c r="AZ124" s="3" t="s">
        <v>74</v>
      </c>
      <c r="BC124" s="3" t="s">
        <v>1724</v>
      </c>
      <c r="BD124" s="3" t="s">
        <v>1725</v>
      </c>
    </row>
    <row r="125" spans="1:56" ht="57.75" customHeight="1" x14ac:dyDescent="0.25">
      <c r="A125" s="7" t="s">
        <v>58</v>
      </c>
      <c r="B125" s="2" t="s">
        <v>1726</v>
      </c>
      <c r="C125" s="2" t="s">
        <v>1727</v>
      </c>
      <c r="D125" s="2" t="s">
        <v>1728</v>
      </c>
      <c r="F125" s="3" t="s">
        <v>58</v>
      </c>
      <c r="G125" s="3" t="s">
        <v>59</v>
      </c>
      <c r="H125" s="3" t="s">
        <v>58</v>
      </c>
      <c r="I125" s="3" t="s">
        <v>58</v>
      </c>
      <c r="J125" s="3" t="s">
        <v>60</v>
      </c>
      <c r="K125" s="2" t="s">
        <v>1729</v>
      </c>
      <c r="L125" s="2" t="s">
        <v>1730</v>
      </c>
      <c r="M125" s="3" t="s">
        <v>792</v>
      </c>
      <c r="N125" s="2" t="s">
        <v>1731</v>
      </c>
      <c r="O125" s="3" t="s">
        <v>64</v>
      </c>
      <c r="P125" s="3" t="s">
        <v>412</v>
      </c>
      <c r="R125" s="3" t="s">
        <v>1093</v>
      </c>
      <c r="S125" s="4">
        <v>7</v>
      </c>
      <c r="T125" s="4">
        <v>7</v>
      </c>
      <c r="U125" s="5" t="s">
        <v>1732</v>
      </c>
      <c r="V125" s="5" t="s">
        <v>1732</v>
      </c>
      <c r="W125" s="5" t="s">
        <v>1733</v>
      </c>
      <c r="X125" s="5" t="s">
        <v>1733</v>
      </c>
      <c r="Y125" s="4">
        <v>653</v>
      </c>
      <c r="Z125" s="4">
        <v>564</v>
      </c>
      <c r="AA125" s="4">
        <v>577</v>
      </c>
      <c r="AB125" s="4">
        <v>4</v>
      </c>
      <c r="AC125" s="4">
        <v>4</v>
      </c>
      <c r="AD125" s="4">
        <v>23</v>
      </c>
      <c r="AE125" s="4">
        <v>23</v>
      </c>
      <c r="AF125" s="4">
        <v>10</v>
      </c>
      <c r="AG125" s="4">
        <v>10</v>
      </c>
      <c r="AH125" s="4">
        <v>2</v>
      </c>
      <c r="AI125" s="4">
        <v>2</v>
      </c>
      <c r="AJ125" s="4">
        <v>10</v>
      </c>
      <c r="AK125" s="4">
        <v>10</v>
      </c>
      <c r="AL125" s="4">
        <v>3</v>
      </c>
      <c r="AM125" s="4">
        <v>3</v>
      </c>
      <c r="AN125" s="4">
        <v>0</v>
      </c>
      <c r="AO125" s="4">
        <v>0</v>
      </c>
      <c r="AP125" s="3" t="s">
        <v>58</v>
      </c>
      <c r="AQ125" s="3" t="s">
        <v>69</v>
      </c>
      <c r="AR125" s="6" t="str">
        <f>HYPERLINK("http://catalog.hathitrust.org/Record/001471289","HathiTrust Record")</f>
        <v>HathiTrust Record</v>
      </c>
      <c r="AS125" s="6" t="str">
        <f>HYPERLINK("https://creighton-primo.hosted.exlibrisgroup.com/primo-explore/search?tab=default_tab&amp;search_scope=EVERYTHING&amp;vid=01CRU&amp;lang=en_US&amp;offset=0&amp;query=any,contains,991002907369702656","Catalog Record")</f>
        <v>Catalog Record</v>
      </c>
      <c r="AT125" s="6" t="str">
        <f>HYPERLINK("http://www.worldcat.org/oclc/520138","WorldCat Record")</f>
        <v>WorldCat Record</v>
      </c>
      <c r="AU125" s="3" t="s">
        <v>1734</v>
      </c>
      <c r="AV125" s="3" t="s">
        <v>1735</v>
      </c>
      <c r="AW125" s="3" t="s">
        <v>1736</v>
      </c>
      <c r="AX125" s="3" t="s">
        <v>1736</v>
      </c>
      <c r="AY125" s="3" t="s">
        <v>1737</v>
      </c>
      <c r="AZ125" s="3" t="s">
        <v>74</v>
      </c>
      <c r="BC125" s="3" t="s">
        <v>1738</v>
      </c>
      <c r="BD125" s="3" t="s">
        <v>1739</v>
      </c>
    </row>
    <row r="126" spans="1:56" ht="57.75" customHeight="1" x14ac:dyDescent="0.25">
      <c r="A126" s="7" t="s">
        <v>58</v>
      </c>
      <c r="B126" s="2" t="s">
        <v>1740</v>
      </c>
      <c r="C126" s="2" t="s">
        <v>1741</v>
      </c>
      <c r="D126" s="2" t="s">
        <v>1742</v>
      </c>
      <c r="F126" s="3" t="s">
        <v>58</v>
      </c>
      <c r="G126" s="3" t="s">
        <v>59</v>
      </c>
      <c r="H126" s="3" t="s">
        <v>58</v>
      </c>
      <c r="I126" s="3" t="s">
        <v>58</v>
      </c>
      <c r="J126" s="3" t="s">
        <v>60</v>
      </c>
      <c r="K126" s="2" t="s">
        <v>1743</v>
      </c>
      <c r="L126" s="2" t="s">
        <v>1744</v>
      </c>
      <c r="M126" s="3" t="s">
        <v>577</v>
      </c>
      <c r="O126" s="3" t="s">
        <v>64</v>
      </c>
      <c r="P126" s="3" t="s">
        <v>65</v>
      </c>
      <c r="R126" s="3" t="s">
        <v>1093</v>
      </c>
      <c r="S126" s="4">
        <v>2</v>
      </c>
      <c r="T126" s="4">
        <v>2</v>
      </c>
      <c r="U126" s="5" t="s">
        <v>1745</v>
      </c>
      <c r="V126" s="5" t="s">
        <v>1745</v>
      </c>
      <c r="W126" s="5" t="s">
        <v>1746</v>
      </c>
      <c r="X126" s="5" t="s">
        <v>1746</v>
      </c>
      <c r="Y126" s="4">
        <v>924</v>
      </c>
      <c r="Z126" s="4">
        <v>811</v>
      </c>
      <c r="AA126" s="4">
        <v>823</v>
      </c>
      <c r="AB126" s="4">
        <v>4</v>
      </c>
      <c r="AC126" s="4">
        <v>4</v>
      </c>
      <c r="AD126" s="4">
        <v>25</v>
      </c>
      <c r="AE126" s="4">
        <v>25</v>
      </c>
      <c r="AF126" s="4">
        <v>9</v>
      </c>
      <c r="AG126" s="4">
        <v>9</v>
      </c>
      <c r="AH126" s="4">
        <v>6</v>
      </c>
      <c r="AI126" s="4">
        <v>6</v>
      </c>
      <c r="AJ126" s="4">
        <v>14</v>
      </c>
      <c r="AK126" s="4">
        <v>14</v>
      </c>
      <c r="AL126" s="4">
        <v>3</v>
      </c>
      <c r="AM126" s="4">
        <v>3</v>
      </c>
      <c r="AN126" s="4">
        <v>0</v>
      </c>
      <c r="AO126" s="4">
        <v>0</v>
      </c>
      <c r="AP126" s="3" t="s">
        <v>58</v>
      </c>
      <c r="AQ126" s="3" t="s">
        <v>69</v>
      </c>
      <c r="AR126" s="6" t="str">
        <f>HYPERLINK("http://catalog.hathitrust.org/Record/000710861","HathiTrust Record")</f>
        <v>HathiTrust Record</v>
      </c>
      <c r="AS126" s="6" t="str">
        <f>HYPERLINK("https://creighton-primo.hosted.exlibrisgroup.com/primo-explore/search?tab=default_tab&amp;search_scope=EVERYTHING&amp;vid=01CRU&amp;lang=en_US&amp;offset=0&amp;query=any,contains,991003982389702656","Catalog Record")</f>
        <v>Catalog Record</v>
      </c>
      <c r="AT126" s="6" t="str">
        <f>HYPERLINK("http://www.worldcat.org/oclc/2020670","WorldCat Record")</f>
        <v>WorldCat Record</v>
      </c>
      <c r="AU126" s="3" t="s">
        <v>1747</v>
      </c>
      <c r="AV126" s="3" t="s">
        <v>1748</v>
      </c>
      <c r="AW126" s="3" t="s">
        <v>1749</v>
      </c>
      <c r="AX126" s="3" t="s">
        <v>1749</v>
      </c>
      <c r="AY126" s="3" t="s">
        <v>1750</v>
      </c>
      <c r="AZ126" s="3" t="s">
        <v>74</v>
      </c>
      <c r="BB126" s="3" t="s">
        <v>1751</v>
      </c>
      <c r="BC126" s="3" t="s">
        <v>1752</v>
      </c>
      <c r="BD126" s="3" t="s">
        <v>1753</v>
      </c>
    </row>
    <row r="127" spans="1:56" ht="57.75" customHeight="1" x14ac:dyDescent="0.25">
      <c r="A127" s="7" t="s">
        <v>58</v>
      </c>
      <c r="B127" s="2" t="s">
        <v>1754</v>
      </c>
      <c r="C127" s="2" t="s">
        <v>1755</v>
      </c>
      <c r="D127" s="2" t="s">
        <v>1756</v>
      </c>
      <c r="F127" s="3" t="s">
        <v>58</v>
      </c>
      <c r="G127" s="3" t="s">
        <v>59</v>
      </c>
      <c r="H127" s="3" t="s">
        <v>58</v>
      </c>
      <c r="I127" s="3" t="s">
        <v>58</v>
      </c>
      <c r="J127" s="3" t="s">
        <v>60</v>
      </c>
      <c r="K127" s="2" t="s">
        <v>1757</v>
      </c>
      <c r="L127" s="2" t="s">
        <v>1758</v>
      </c>
      <c r="M127" s="3" t="s">
        <v>191</v>
      </c>
      <c r="O127" s="3" t="s">
        <v>64</v>
      </c>
      <c r="P127" s="3" t="s">
        <v>1759</v>
      </c>
      <c r="Q127" s="2" t="s">
        <v>1760</v>
      </c>
      <c r="R127" s="3" t="s">
        <v>1093</v>
      </c>
      <c r="S127" s="4">
        <v>1</v>
      </c>
      <c r="T127" s="4">
        <v>1</v>
      </c>
      <c r="U127" s="5" t="s">
        <v>1761</v>
      </c>
      <c r="V127" s="5" t="s">
        <v>1761</v>
      </c>
      <c r="W127" s="5" t="s">
        <v>68</v>
      </c>
      <c r="X127" s="5" t="s">
        <v>68</v>
      </c>
      <c r="Y127" s="4">
        <v>251</v>
      </c>
      <c r="Z127" s="4">
        <v>181</v>
      </c>
      <c r="AA127" s="4">
        <v>185</v>
      </c>
      <c r="AB127" s="4">
        <v>2</v>
      </c>
      <c r="AC127" s="4">
        <v>2</v>
      </c>
      <c r="AD127" s="4">
        <v>8</v>
      </c>
      <c r="AE127" s="4">
        <v>8</v>
      </c>
      <c r="AF127" s="4">
        <v>3</v>
      </c>
      <c r="AG127" s="4">
        <v>3</v>
      </c>
      <c r="AH127" s="4">
        <v>2</v>
      </c>
      <c r="AI127" s="4">
        <v>2</v>
      </c>
      <c r="AJ127" s="4">
        <v>4</v>
      </c>
      <c r="AK127" s="4">
        <v>4</v>
      </c>
      <c r="AL127" s="4">
        <v>1</v>
      </c>
      <c r="AM127" s="4">
        <v>1</v>
      </c>
      <c r="AN127" s="4">
        <v>0</v>
      </c>
      <c r="AO127" s="4">
        <v>0</v>
      </c>
      <c r="AP127" s="3" t="s">
        <v>58</v>
      </c>
      <c r="AQ127" s="3" t="s">
        <v>69</v>
      </c>
      <c r="AR127" s="6" t="str">
        <f>HYPERLINK("http://catalog.hathitrust.org/Record/000267198","HathiTrust Record")</f>
        <v>HathiTrust Record</v>
      </c>
      <c r="AS127" s="6" t="str">
        <f>HYPERLINK("https://creighton-primo.hosted.exlibrisgroup.com/primo-explore/search?tab=default_tab&amp;search_scope=EVERYTHING&amp;vid=01CRU&amp;lang=en_US&amp;offset=0&amp;query=any,contains,991005197379702656","Catalog Record")</f>
        <v>Catalog Record</v>
      </c>
      <c r="AT127" s="6" t="str">
        <f>HYPERLINK("http://www.worldcat.org/oclc/8051734","WorldCat Record")</f>
        <v>WorldCat Record</v>
      </c>
      <c r="AU127" s="3" t="s">
        <v>1762</v>
      </c>
      <c r="AV127" s="3" t="s">
        <v>1763</v>
      </c>
      <c r="AW127" s="3" t="s">
        <v>1764</v>
      </c>
      <c r="AX127" s="3" t="s">
        <v>1764</v>
      </c>
      <c r="AY127" s="3" t="s">
        <v>1765</v>
      </c>
      <c r="AZ127" s="3" t="s">
        <v>74</v>
      </c>
      <c r="BB127" s="3" t="s">
        <v>1766</v>
      </c>
      <c r="BC127" s="3" t="s">
        <v>1767</v>
      </c>
      <c r="BD127" s="3" t="s">
        <v>1768</v>
      </c>
    </row>
    <row r="128" spans="1:56" ht="57.75" customHeight="1" x14ac:dyDescent="0.25">
      <c r="A128" s="7" t="s">
        <v>58</v>
      </c>
      <c r="B128" s="2" t="s">
        <v>1769</v>
      </c>
      <c r="C128" s="2" t="s">
        <v>1770</v>
      </c>
      <c r="D128" s="2" t="s">
        <v>1771</v>
      </c>
      <c r="F128" s="3" t="s">
        <v>58</v>
      </c>
      <c r="G128" s="3" t="s">
        <v>59</v>
      </c>
      <c r="H128" s="3" t="s">
        <v>58</v>
      </c>
      <c r="I128" s="3" t="s">
        <v>58</v>
      </c>
      <c r="J128" s="3" t="s">
        <v>60</v>
      </c>
      <c r="K128" s="2" t="s">
        <v>1772</v>
      </c>
      <c r="L128" s="2" t="s">
        <v>1773</v>
      </c>
      <c r="M128" s="3" t="s">
        <v>1774</v>
      </c>
      <c r="N128" s="2" t="s">
        <v>1077</v>
      </c>
      <c r="O128" s="3" t="s">
        <v>64</v>
      </c>
      <c r="P128" s="3" t="s">
        <v>412</v>
      </c>
      <c r="R128" s="3" t="s">
        <v>1093</v>
      </c>
      <c r="S128" s="4">
        <v>12</v>
      </c>
      <c r="T128" s="4">
        <v>12</v>
      </c>
      <c r="U128" s="5" t="s">
        <v>1775</v>
      </c>
      <c r="V128" s="5" t="s">
        <v>1775</v>
      </c>
      <c r="W128" s="5" t="s">
        <v>1776</v>
      </c>
      <c r="X128" s="5" t="s">
        <v>1776</v>
      </c>
      <c r="Y128" s="4">
        <v>1044</v>
      </c>
      <c r="Z128" s="4">
        <v>935</v>
      </c>
      <c r="AA128" s="4">
        <v>987</v>
      </c>
      <c r="AB128" s="4">
        <v>7</v>
      </c>
      <c r="AC128" s="4">
        <v>7</v>
      </c>
      <c r="AD128" s="4">
        <v>7</v>
      </c>
      <c r="AE128" s="4">
        <v>8</v>
      </c>
      <c r="AF128" s="4">
        <v>2</v>
      </c>
      <c r="AG128" s="4">
        <v>2</v>
      </c>
      <c r="AH128" s="4">
        <v>3</v>
      </c>
      <c r="AI128" s="4">
        <v>3</v>
      </c>
      <c r="AJ128" s="4">
        <v>3</v>
      </c>
      <c r="AK128" s="4">
        <v>4</v>
      </c>
      <c r="AL128" s="4">
        <v>0</v>
      </c>
      <c r="AM128" s="4">
        <v>0</v>
      </c>
      <c r="AN128" s="4">
        <v>0</v>
      </c>
      <c r="AO128" s="4">
        <v>0</v>
      </c>
      <c r="AP128" s="3" t="s">
        <v>58</v>
      </c>
      <c r="AQ128" s="3" t="s">
        <v>69</v>
      </c>
      <c r="AR128" s="6" t="str">
        <f>HYPERLINK("http://catalog.hathitrust.org/Record/101968950","HathiTrust Record")</f>
        <v>HathiTrust Record</v>
      </c>
      <c r="AS128" s="6" t="str">
        <f>HYPERLINK("https://creighton-primo.hosted.exlibrisgroup.com/primo-explore/search?tab=default_tab&amp;search_scope=EVERYTHING&amp;vid=01CRU&amp;lang=en_US&amp;offset=0&amp;query=any,contains,991002367299702656","Catalog Record")</f>
        <v>Catalog Record</v>
      </c>
      <c r="AT128" s="6" t="str">
        <f>HYPERLINK("http://www.worldcat.org/oclc/30777771","WorldCat Record")</f>
        <v>WorldCat Record</v>
      </c>
      <c r="AU128" s="3" t="s">
        <v>1777</v>
      </c>
      <c r="AV128" s="3" t="s">
        <v>1778</v>
      </c>
      <c r="AW128" s="3" t="s">
        <v>1779</v>
      </c>
      <c r="AX128" s="3" t="s">
        <v>1779</v>
      </c>
      <c r="AY128" s="3" t="s">
        <v>1780</v>
      </c>
      <c r="AZ128" s="3" t="s">
        <v>74</v>
      </c>
      <c r="BB128" s="3" t="s">
        <v>1781</v>
      </c>
      <c r="BC128" s="3" t="s">
        <v>1782</v>
      </c>
      <c r="BD128" s="3" t="s">
        <v>1783</v>
      </c>
    </row>
    <row r="129" spans="1:56" ht="57.75" customHeight="1" x14ac:dyDescent="0.25">
      <c r="A129" s="7" t="s">
        <v>58</v>
      </c>
      <c r="B129" s="2" t="s">
        <v>1784</v>
      </c>
      <c r="C129" s="2" t="s">
        <v>1785</v>
      </c>
      <c r="D129" s="2" t="s">
        <v>1786</v>
      </c>
      <c r="F129" s="3" t="s">
        <v>58</v>
      </c>
      <c r="G129" s="3" t="s">
        <v>59</v>
      </c>
      <c r="H129" s="3" t="s">
        <v>58</v>
      </c>
      <c r="I129" s="3" t="s">
        <v>58</v>
      </c>
      <c r="J129" s="3" t="s">
        <v>60</v>
      </c>
      <c r="K129" s="2" t="s">
        <v>1787</v>
      </c>
      <c r="L129" s="2" t="s">
        <v>1788</v>
      </c>
      <c r="M129" s="3" t="s">
        <v>1774</v>
      </c>
      <c r="O129" s="3" t="s">
        <v>64</v>
      </c>
      <c r="P129" s="3" t="s">
        <v>65</v>
      </c>
      <c r="R129" s="3" t="s">
        <v>1093</v>
      </c>
      <c r="S129" s="4">
        <v>9</v>
      </c>
      <c r="T129" s="4">
        <v>9</v>
      </c>
      <c r="U129" s="5" t="s">
        <v>1775</v>
      </c>
      <c r="V129" s="5" t="s">
        <v>1775</v>
      </c>
      <c r="W129" s="5" t="s">
        <v>1776</v>
      </c>
      <c r="X129" s="5" t="s">
        <v>1776</v>
      </c>
      <c r="Y129" s="4">
        <v>343</v>
      </c>
      <c r="Z129" s="4">
        <v>333</v>
      </c>
      <c r="AA129" s="4">
        <v>333</v>
      </c>
      <c r="AB129" s="4">
        <v>2</v>
      </c>
      <c r="AC129" s="4">
        <v>2</v>
      </c>
      <c r="AD129" s="4">
        <v>1</v>
      </c>
      <c r="AE129" s="4">
        <v>1</v>
      </c>
      <c r="AF129" s="4">
        <v>0</v>
      </c>
      <c r="AG129" s="4">
        <v>0</v>
      </c>
      <c r="AH129" s="4">
        <v>1</v>
      </c>
      <c r="AI129" s="4">
        <v>1</v>
      </c>
      <c r="AJ129" s="4">
        <v>0</v>
      </c>
      <c r="AK129" s="4">
        <v>0</v>
      </c>
      <c r="AL129" s="4">
        <v>0</v>
      </c>
      <c r="AM129" s="4">
        <v>0</v>
      </c>
      <c r="AN129" s="4">
        <v>0</v>
      </c>
      <c r="AO129" s="4">
        <v>0</v>
      </c>
      <c r="AP129" s="3" t="s">
        <v>58</v>
      </c>
      <c r="AQ129" s="3" t="s">
        <v>58</v>
      </c>
      <c r="AS129" s="6" t="str">
        <f>HYPERLINK("https://creighton-primo.hosted.exlibrisgroup.com/primo-explore/search?tab=default_tab&amp;search_scope=EVERYTHING&amp;vid=01CRU&amp;lang=en_US&amp;offset=0&amp;query=any,contains,991002535069702656","Catalog Record")</f>
        <v>Catalog Record</v>
      </c>
      <c r="AT129" s="6" t="str">
        <f>HYPERLINK("http://www.worldcat.org/oclc/32942890","WorldCat Record")</f>
        <v>WorldCat Record</v>
      </c>
      <c r="AU129" s="3" t="s">
        <v>1789</v>
      </c>
      <c r="AV129" s="3" t="s">
        <v>1790</v>
      </c>
      <c r="AW129" s="3" t="s">
        <v>1791</v>
      </c>
      <c r="AX129" s="3" t="s">
        <v>1791</v>
      </c>
      <c r="AY129" s="3" t="s">
        <v>1792</v>
      </c>
      <c r="AZ129" s="3" t="s">
        <v>74</v>
      </c>
      <c r="BB129" s="3" t="s">
        <v>1793</v>
      </c>
      <c r="BC129" s="3" t="s">
        <v>1794</v>
      </c>
      <c r="BD129" s="3" t="s">
        <v>1795</v>
      </c>
    </row>
    <row r="130" spans="1:56" ht="57.75" customHeight="1" x14ac:dyDescent="0.25">
      <c r="A130" s="7" t="s">
        <v>58</v>
      </c>
      <c r="B130" s="2" t="s">
        <v>1796</v>
      </c>
      <c r="C130" s="2" t="s">
        <v>1797</v>
      </c>
      <c r="D130" s="2" t="s">
        <v>1798</v>
      </c>
      <c r="F130" s="3" t="s">
        <v>58</v>
      </c>
      <c r="G130" s="3" t="s">
        <v>59</v>
      </c>
      <c r="H130" s="3" t="s">
        <v>58</v>
      </c>
      <c r="I130" s="3" t="s">
        <v>58</v>
      </c>
      <c r="J130" s="3" t="s">
        <v>60</v>
      </c>
      <c r="K130" s="2" t="s">
        <v>1799</v>
      </c>
      <c r="L130" s="2" t="s">
        <v>1800</v>
      </c>
      <c r="M130" s="3" t="s">
        <v>153</v>
      </c>
      <c r="O130" s="3" t="s">
        <v>64</v>
      </c>
      <c r="P130" s="3" t="s">
        <v>65</v>
      </c>
      <c r="R130" s="3" t="s">
        <v>1093</v>
      </c>
      <c r="S130" s="4">
        <v>2</v>
      </c>
      <c r="T130" s="4">
        <v>2</v>
      </c>
      <c r="U130" s="5" t="s">
        <v>1801</v>
      </c>
      <c r="V130" s="5" t="s">
        <v>1801</v>
      </c>
      <c r="W130" s="5" t="s">
        <v>1802</v>
      </c>
      <c r="X130" s="5" t="s">
        <v>1802</v>
      </c>
      <c r="Y130" s="4">
        <v>621</v>
      </c>
      <c r="Z130" s="4">
        <v>515</v>
      </c>
      <c r="AA130" s="4">
        <v>589</v>
      </c>
      <c r="AB130" s="4">
        <v>4</v>
      </c>
      <c r="AC130" s="4">
        <v>4</v>
      </c>
      <c r="AD130" s="4">
        <v>13</v>
      </c>
      <c r="AE130" s="4">
        <v>14</v>
      </c>
      <c r="AF130" s="4">
        <v>3</v>
      </c>
      <c r="AG130" s="4">
        <v>4</v>
      </c>
      <c r="AH130" s="4">
        <v>4</v>
      </c>
      <c r="AI130" s="4">
        <v>4</v>
      </c>
      <c r="AJ130" s="4">
        <v>5</v>
      </c>
      <c r="AK130" s="4">
        <v>6</v>
      </c>
      <c r="AL130" s="4">
        <v>2</v>
      </c>
      <c r="AM130" s="4">
        <v>2</v>
      </c>
      <c r="AN130" s="4">
        <v>0</v>
      </c>
      <c r="AO130" s="4">
        <v>0</v>
      </c>
      <c r="AP130" s="3" t="s">
        <v>58</v>
      </c>
      <c r="AQ130" s="3" t="s">
        <v>69</v>
      </c>
      <c r="AR130" s="6" t="str">
        <f>HYPERLINK("http://catalog.hathitrust.org/Record/001471328","HathiTrust Record")</f>
        <v>HathiTrust Record</v>
      </c>
      <c r="AS130" s="6" t="str">
        <f>HYPERLINK("https://creighton-primo.hosted.exlibrisgroup.com/primo-explore/search?tab=default_tab&amp;search_scope=EVERYTHING&amp;vid=01CRU&amp;lang=en_US&amp;offset=0&amp;query=any,contains,991003513079702656","Catalog Record")</f>
        <v>Catalog Record</v>
      </c>
      <c r="AT130" s="6" t="str">
        <f>HYPERLINK("http://www.worldcat.org/oclc/1068724","WorldCat Record")</f>
        <v>WorldCat Record</v>
      </c>
      <c r="AU130" s="3" t="s">
        <v>1803</v>
      </c>
      <c r="AV130" s="3" t="s">
        <v>1804</v>
      </c>
      <c r="AW130" s="3" t="s">
        <v>1805</v>
      </c>
      <c r="AX130" s="3" t="s">
        <v>1805</v>
      </c>
      <c r="AY130" s="3" t="s">
        <v>1806</v>
      </c>
      <c r="AZ130" s="3" t="s">
        <v>74</v>
      </c>
      <c r="BC130" s="3" t="s">
        <v>1807</v>
      </c>
      <c r="BD130" s="3" t="s">
        <v>1808</v>
      </c>
    </row>
    <row r="131" spans="1:56" ht="57.75" customHeight="1" x14ac:dyDescent="0.25">
      <c r="A131" s="7" t="s">
        <v>58</v>
      </c>
      <c r="B131" s="2" t="s">
        <v>1809</v>
      </c>
      <c r="C131" s="2" t="s">
        <v>1810</v>
      </c>
      <c r="D131" s="2" t="s">
        <v>1811</v>
      </c>
      <c r="F131" s="3" t="s">
        <v>58</v>
      </c>
      <c r="G131" s="3" t="s">
        <v>59</v>
      </c>
      <c r="H131" s="3" t="s">
        <v>58</v>
      </c>
      <c r="I131" s="3" t="s">
        <v>58</v>
      </c>
      <c r="J131" s="3" t="s">
        <v>60</v>
      </c>
      <c r="K131" s="2" t="s">
        <v>1812</v>
      </c>
      <c r="L131" s="2" t="s">
        <v>1813</v>
      </c>
      <c r="M131" s="3" t="s">
        <v>636</v>
      </c>
      <c r="O131" s="3" t="s">
        <v>64</v>
      </c>
      <c r="P131" s="3" t="s">
        <v>65</v>
      </c>
      <c r="R131" s="3" t="s">
        <v>1093</v>
      </c>
      <c r="S131" s="4">
        <v>4</v>
      </c>
      <c r="T131" s="4">
        <v>4</v>
      </c>
      <c r="U131" s="5" t="s">
        <v>1775</v>
      </c>
      <c r="V131" s="5" t="s">
        <v>1775</v>
      </c>
      <c r="W131" s="5" t="s">
        <v>1814</v>
      </c>
      <c r="X131" s="5" t="s">
        <v>1814</v>
      </c>
      <c r="Y131" s="4">
        <v>89</v>
      </c>
      <c r="Z131" s="4">
        <v>82</v>
      </c>
      <c r="AA131" s="4">
        <v>166</v>
      </c>
      <c r="AB131" s="4">
        <v>2</v>
      </c>
      <c r="AC131" s="4">
        <v>3</v>
      </c>
      <c r="AD131" s="4">
        <v>0</v>
      </c>
      <c r="AE131" s="4">
        <v>1</v>
      </c>
      <c r="AF131" s="4">
        <v>0</v>
      </c>
      <c r="AG131" s="4">
        <v>1</v>
      </c>
      <c r="AH131" s="4">
        <v>0</v>
      </c>
      <c r="AI131" s="4">
        <v>0</v>
      </c>
      <c r="AJ131" s="4">
        <v>0</v>
      </c>
      <c r="AK131" s="4">
        <v>0</v>
      </c>
      <c r="AL131" s="4">
        <v>0</v>
      </c>
      <c r="AM131" s="4">
        <v>0</v>
      </c>
      <c r="AN131" s="4">
        <v>0</v>
      </c>
      <c r="AO131" s="4">
        <v>0</v>
      </c>
      <c r="AP131" s="3" t="s">
        <v>58</v>
      </c>
      <c r="AQ131" s="3" t="s">
        <v>58</v>
      </c>
      <c r="AS131" s="6" t="str">
        <f>HYPERLINK("https://creighton-primo.hosted.exlibrisgroup.com/primo-explore/search?tab=default_tab&amp;search_scope=EVERYTHING&amp;vid=01CRU&amp;lang=en_US&amp;offset=0&amp;query=any,contains,991003794729702656","Catalog Record")</f>
        <v>Catalog Record</v>
      </c>
      <c r="AT131" s="6" t="str">
        <f>HYPERLINK("http://www.worldcat.org/oclc/48547184","WorldCat Record")</f>
        <v>WorldCat Record</v>
      </c>
      <c r="AU131" s="3" t="s">
        <v>1815</v>
      </c>
      <c r="AV131" s="3" t="s">
        <v>1816</v>
      </c>
      <c r="AW131" s="3" t="s">
        <v>1817</v>
      </c>
      <c r="AX131" s="3" t="s">
        <v>1817</v>
      </c>
      <c r="AY131" s="3" t="s">
        <v>1818</v>
      </c>
      <c r="AZ131" s="3" t="s">
        <v>74</v>
      </c>
      <c r="BB131" s="3" t="s">
        <v>1819</v>
      </c>
      <c r="BC131" s="3" t="s">
        <v>1820</v>
      </c>
      <c r="BD131" s="3" t="s">
        <v>1821</v>
      </c>
    </row>
    <row r="132" spans="1:56" ht="57.75" customHeight="1" x14ac:dyDescent="0.25">
      <c r="A132" s="7" t="s">
        <v>58</v>
      </c>
      <c r="B132" s="2" t="s">
        <v>1822</v>
      </c>
      <c r="C132" s="2" t="s">
        <v>1823</v>
      </c>
      <c r="D132" s="2" t="s">
        <v>1824</v>
      </c>
      <c r="F132" s="3" t="s">
        <v>58</v>
      </c>
      <c r="G132" s="3" t="s">
        <v>59</v>
      </c>
      <c r="H132" s="3" t="s">
        <v>58</v>
      </c>
      <c r="I132" s="3" t="s">
        <v>58</v>
      </c>
      <c r="J132" s="3" t="s">
        <v>60</v>
      </c>
      <c r="K132" s="2" t="s">
        <v>1825</v>
      </c>
      <c r="L132" s="2" t="s">
        <v>1826</v>
      </c>
      <c r="M132" s="3" t="s">
        <v>293</v>
      </c>
      <c r="O132" s="3" t="s">
        <v>64</v>
      </c>
      <c r="P132" s="3" t="s">
        <v>1827</v>
      </c>
      <c r="Q132" s="2" t="s">
        <v>1828</v>
      </c>
      <c r="R132" s="3" t="s">
        <v>1093</v>
      </c>
      <c r="S132" s="4">
        <v>2</v>
      </c>
      <c r="T132" s="4">
        <v>2</v>
      </c>
      <c r="U132" s="5" t="s">
        <v>1829</v>
      </c>
      <c r="V132" s="5" t="s">
        <v>1829</v>
      </c>
      <c r="W132" s="5" t="s">
        <v>372</v>
      </c>
      <c r="X132" s="5" t="s">
        <v>372</v>
      </c>
      <c r="Y132" s="4">
        <v>299</v>
      </c>
      <c r="Z132" s="4">
        <v>243</v>
      </c>
      <c r="AA132" s="4">
        <v>253</v>
      </c>
      <c r="AB132" s="4">
        <v>2</v>
      </c>
      <c r="AC132" s="4">
        <v>2</v>
      </c>
      <c r="AD132" s="4">
        <v>14</v>
      </c>
      <c r="AE132" s="4">
        <v>14</v>
      </c>
      <c r="AF132" s="4">
        <v>1</v>
      </c>
      <c r="AG132" s="4">
        <v>1</v>
      </c>
      <c r="AH132" s="4">
        <v>4</v>
      </c>
      <c r="AI132" s="4">
        <v>4</v>
      </c>
      <c r="AJ132" s="4">
        <v>11</v>
      </c>
      <c r="AK132" s="4">
        <v>11</v>
      </c>
      <c r="AL132" s="4">
        <v>1</v>
      </c>
      <c r="AM132" s="4">
        <v>1</v>
      </c>
      <c r="AN132" s="4">
        <v>0</v>
      </c>
      <c r="AO132" s="4">
        <v>0</v>
      </c>
      <c r="AP132" s="3" t="s">
        <v>58</v>
      </c>
      <c r="AQ132" s="3" t="s">
        <v>69</v>
      </c>
      <c r="AR132" s="6" t="str">
        <f>HYPERLINK("http://catalog.hathitrust.org/Record/001654481","HathiTrust Record")</f>
        <v>HathiTrust Record</v>
      </c>
      <c r="AS132" s="6" t="str">
        <f>HYPERLINK("https://creighton-primo.hosted.exlibrisgroup.com/primo-explore/search?tab=default_tab&amp;search_scope=EVERYTHING&amp;vid=01CRU&amp;lang=en_US&amp;offset=0&amp;query=any,contains,991000913659702656","Catalog Record")</f>
        <v>Catalog Record</v>
      </c>
      <c r="AT132" s="6" t="str">
        <f>HYPERLINK("http://www.worldcat.org/oclc/160140","WorldCat Record")</f>
        <v>WorldCat Record</v>
      </c>
      <c r="AU132" s="3" t="s">
        <v>1830</v>
      </c>
      <c r="AV132" s="3" t="s">
        <v>1831</v>
      </c>
      <c r="AW132" s="3" t="s">
        <v>1832</v>
      </c>
      <c r="AX132" s="3" t="s">
        <v>1832</v>
      </c>
      <c r="AY132" s="3" t="s">
        <v>1833</v>
      </c>
      <c r="AZ132" s="3" t="s">
        <v>74</v>
      </c>
      <c r="BC132" s="3" t="s">
        <v>1834</v>
      </c>
      <c r="BD132" s="3" t="s">
        <v>1835</v>
      </c>
    </row>
    <row r="133" spans="1:56" ht="57.75" customHeight="1" x14ac:dyDescent="0.25">
      <c r="A133" s="7" t="s">
        <v>58</v>
      </c>
      <c r="B133" s="2" t="s">
        <v>1836</v>
      </c>
      <c r="C133" s="2" t="s">
        <v>1837</v>
      </c>
      <c r="D133" s="2" t="s">
        <v>1838</v>
      </c>
      <c r="F133" s="3" t="s">
        <v>58</v>
      </c>
      <c r="G133" s="3" t="s">
        <v>59</v>
      </c>
      <c r="H133" s="3" t="s">
        <v>58</v>
      </c>
      <c r="I133" s="3" t="s">
        <v>58</v>
      </c>
      <c r="J133" s="3" t="s">
        <v>60</v>
      </c>
      <c r="K133" s="2" t="s">
        <v>1839</v>
      </c>
      <c r="L133" s="2" t="s">
        <v>1840</v>
      </c>
      <c r="M133" s="3" t="s">
        <v>763</v>
      </c>
      <c r="O133" s="3" t="s">
        <v>64</v>
      </c>
      <c r="P133" s="3" t="s">
        <v>1841</v>
      </c>
      <c r="R133" s="3" t="s">
        <v>1093</v>
      </c>
      <c r="S133" s="4">
        <v>7</v>
      </c>
      <c r="T133" s="4">
        <v>7</v>
      </c>
      <c r="U133" s="5" t="s">
        <v>1842</v>
      </c>
      <c r="V133" s="5" t="s">
        <v>1842</v>
      </c>
      <c r="W133" s="5" t="s">
        <v>1843</v>
      </c>
      <c r="X133" s="5" t="s">
        <v>1843</v>
      </c>
      <c r="Y133" s="4">
        <v>328</v>
      </c>
      <c r="Z133" s="4">
        <v>270</v>
      </c>
      <c r="AA133" s="4">
        <v>280</v>
      </c>
      <c r="AB133" s="4">
        <v>2</v>
      </c>
      <c r="AC133" s="4">
        <v>2</v>
      </c>
      <c r="AD133" s="4">
        <v>10</v>
      </c>
      <c r="AE133" s="4">
        <v>10</v>
      </c>
      <c r="AF133" s="4">
        <v>3</v>
      </c>
      <c r="AG133" s="4">
        <v>3</v>
      </c>
      <c r="AH133" s="4">
        <v>2</v>
      </c>
      <c r="AI133" s="4">
        <v>2</v>
      </c>
      <c r="AJ133" s="4">
        <v>5</v>
      </c>
      <c r="AK133" s="4">
        <v>5</v>
      </c>
      <c r="AL133" s="4">
        <v>1</v>
      </c>
      <c r="AM133" s="4">
        <v>1</v>
      </c>
      <c r="AN133" s="4">
        <v>0</v>
      </c>
      <c r="AO133" s="4">
        <v>0</v>
      </c>
      <c r="AP133" s="3" t="s">
        <v>58</v>
      </c>
      <c r="AQ133" s="3" t="s">
        <v>58</v>
      </c>
      <c r="AS133" s="6" t="str">
        <f>HYPERLINK("https://creighton-primo.hosted.exlibrisgroup.com/primo-explore/search?tab=default_tab&amp;search_scope=EVERYTHING&amp;vid=01CRU&amp;lang=en_US&amp;offset=0&amp;query=any,contains,991001472889702656","Catalog Record")</f>
        <v>Catalog Record</v>
      </c>
      <c r="AT133" s="6" t="str">
        <f>HYPERLINK("http://www.worldcat.org/oclc/19554469","WorldCat Record")</f>
        <v>WorldCat Record</v>
      </c>
      <c r="AU133" s="3" t="s">
        <v>1844</v>
      </c>
      <c r="AV133" s="3" t="s">
        <v>1845</v>
      </c>
      <c r="AW133" s="3" t="s">
        <v>1846</v>
      </c>
      <c r="AX133" s="3" t="s">
        <v>1846</v>
      </c>
      <c r="AY133" s="3" t="s">
        <v>1847</v>
      </c>
      <c r="AZ133" s="3" t="s">
        <v>74</v>
      </c>
      <c r="BB133" s="3" t="s">
        <v>1848</v>
      </c>
      <c r="BC133" s="3" t="s">
        <v>1849</v>
      </c>
      <c r="BD133" s="3" t="s">
        <v>1850</v>
      </c>
    </row>
    <row r="134" spans="1:56" ht="57.75" customHeight="1" x14ac:dyDescent="0.25">
      <c r="A134" s="7" t="s">
        <v>58</v>
      </c>
      <c r="B134" s="2" t="s">
        <v>1851</v>
      </c>
      <c r="C134" s="2" t="s">
        <v>1852</v>
      </c>
      <c r="D134" s="2" t="s">
        <v>1853</v>
      </c>
      <c r="E134" s="3" t="s">
        <v>789</v>
      </c>
      <c r="F134" s="3" t="s">
        <v>69</v>
      </c>
      <c r="G134" s="3" t="s">
        <v>59</v>
      </c>
      <c r="H134" s="3" t="s">
        <v>58</v>
      </c>
      <c r="I134" s="3" t="s">
        <v>58</v>
      </c>
      <c r="J134" s="3" t="s">
        <v>60</v>
      </c>
      <c r="K134" s="2" t="s">
        <v>1854</v>
      </c>
      <c r="L134" s="2" t="s">
        <v>1855</v>
      </c>
      <c r="M134" s="3" t="s">
        <v>1856</v>
      </c>
      <c r="O134" s="3" t="s">
        <v>64</v>
      </c>
      <c r="P134" s="3" t="s">
        <v>65</v>
      </c>
      <c r="R134" s="3" t="s">
        <v>1093</v>
      </c>
      <c r="S134" s="4">
        <v>2</v>
      </c>
      <c r="T134" s="4">
        <v>2</v>
      </c>
      <c r="U134" s="5" t="s">
        <v>1857</v>
      </c>
      <c r="V134" s="5" t="s">
        <v>1857</v>
      </c>
      <c r="W134" s="5" t="s">
        <v>1858</v>
      </c>
      <c r="X134" s="5" t="s">
        <v>1858</v>
      </c>
      <c r="Y134" s="4">
        <v>878</v>
      </c>
      <c r="Z134" s="4">
        <v>820</v>
      </c>
      <c r="AA134" s="4">
        <v>1372</v>
      </c>
      <c r="AB134" s="4">
        <v>10</v>
      </c>
      <c r="AC134" s="4">
        <v>11</v>
      </c>
      <c r="AD134" s="4">
        <v>24</v>
      </c>
      <c r="AE134" s="4">
        <v>35</v>
      </c>
      <c r="AF134" s="4">
        <v>12</v>
      </c>
      <c r="AG134" s="4">
        <v>16</v>
      </c>
      <c r="AH134" s="4">
        <v>3</v>
      </c>
      <c r="AI134" s="4">
        <v>5</v>
      </c>
      <c r="AJ134" s="4">
        <v>6</v>
      </c>
      <c r="AK134" s="4">
        <v>15</v>
      </c>
      <c r="AL134" s="4">
        <v>6</v>
      </c>
      <c r="AM134" s="4">
        <v>6</v>
      </c>
      <c r="AN134" s="4">
        <v>0</v>
      </c>
      <c r="AO134" s="4">
        <v>0</v>
      </c>
      <c r="AP134" s="3" t="s">
        <v>58</v>
      </c>
      <c r="AQ134" s="3" t="s">
        <v>69</v>
      </c>
      <c r="AR134" s="6" t="str">
        <f>HYPERLINK("http://catalog.hathitrust.org/Record/005718113","HathiTrust Record")</f>
        <v>HathiTrust Record</v>
      </c>
      <c r="AS134" s="6" t="str">
        <f>HYPERLINK("https://creighton-primo.hosted.exlibrisgroup.com/primo-explore/search?tab=default_tab&amp;search_scope=EVERYTHING&amp;vid=01CRU&amp;lang=en_US&amp;offset=0&amp;query=any,contains,991002201589702656","Catalog Record")</f>
        <v>Catalog Record</v>
      </c>
      <c r="AT134" s="6" t="str">
        <f>HYPERLINK("http://www.worldcat.org/oclc/284481","WorldCat Record")</f>
        <v>WorldCat Record</v>
      </c>
      <c r="AU134" s="3" t="s">
        <v>1859</v>
      </c>
      <c r="AV134" s="3" t="s">
        <v>1860</v>
      </c>
      <c r="AW134" s="3" t="s">
        <v>1861</v>
      </c>
      <c r="AX134" s="3" t="s">
        <v>1861</v>
      </c>
      <c r="AY134" s="3" t="s">
        <v>1862</v>
      </c>
      <c r="AZ134" s="3" t="s">
        <v>74</v>
      </c>
      <c r="BC134" s="3" t="s">
        <v>1863</v>
      </c>
      <c r="BD134" s="3" t="s">
        <v>1864</v>
      </c>
    </row>
    <row r="135" spans="1:56" ht="57.75" customHeight="1" x14ac:dyDescent="0.25">
      <c r="A135" s="7" t="s">
        <v>58</v>
      </c>
      <c r="B135" s="2" t="s">
        <v>1851</v>
      </c>
      <c r="C135" s="2" t="s">
        <v>1852</v>
      </c>
      <c r="D135" s="2" t="s">
        <v>1853</v>
      </c>
      <c r="E135" s="3" t="s">
        <v>801</v>
      </c>
      <c r="F135" s="3" t="s">
        <v>69</v>
      </c>
      <c r="G135" s="3" t="s">
        <v>59</v>
      </c>
      <c r="H135" s="3" t="s">
        <v>58</v>
      </c>
      <c r="I135" s="3" t="s">
        <v>58</v>
      </c>
      <c r="J135" s="3" t="s">
        <v>60</v>
      </c>
      <c r="K135" s="2" t="s">
        <v>1854</v>
      </c>
      <c r="L135" s="2" t="s">
        <v>1855</v>
      </c>
      <c r="M135" s="3" t="s">
        <v>1856</v>
      </c>
      <c r="O135" s="3" t="s">
        <v>64</v>
      </c>
      <c r="P135" s="3" t="s">
        <v>65</v>
      </c>
      <c r="R135" s="3" t="s">
        <v>1093</v>
      </c>
      <c r="S135" s="4">
        <v>0</v>
      </c>
      <c r="T135" s="4">
        <v>2</v>
      </c>
      <c r="V135" s="5" t="s">
        <v>1857</v>
      </c>
      <c r="W135" s="5" t="s">
        <v>1858</v>
      </c>
      <c r="X135" s="5" t="s">
        <v>1858</v>
      </c>
      <c r="Y135" s="4">
        <v>878</v>
      </c>
      <c r="Z135" s="4">
        <v>820</v>
      </c>
      <c r="AA135" s="4">
        <v>1372</v>
      </c>
      <c r="AB135" s="4">
        <v>10</v>
      </c>
      <c r="AC135" s="4">
        <v>11</v>
      </c>
      <c r="AD135" s="4">
        <v>24</v>
      </c>
      <c r="AE135" s="4">
        <v>35</v>
      </c>
      <c r="AF135" s="4">
        <v>12</v>
      </c>
      <c r="AG135" s="4">
        <v>16</v>
      </c>
      <c r="AH135" s="4">
        <v>3</v>
      </c>
      <c r="AI135" s="4">
        <v>5</v>
      </c>
      <c r="AJ135" s="4">
        <v>6</v>
      </c>
      <c r="AK135" s="4">
        <v>15</v>
      </c>
      <c r="AL135" s="4">
        <v>6</v>
      </c>
      <c r="AM135" s="4">
        <v>6</v>
      </c>
      <c r="AN135" s="4">
        <v>0</v>
      </c>
      <c r="AO135" s="4">
        <v>0</v>
      </c>
      <c r="AP135" s="3" t="s">
        <v>58</v>
      </c>
      <c r="AQ135" s="3" t="s">
        <v>69</v>
      </c>
      <c r="AR135" s="6" t="str">
        <f>HYPERLINK("http://catalog.hathitrust.org/Record/005718113","HathiTrust Record")</f>
        <v>HathiTrust Record</v>
      </c>
      <c r="AS135" s="6" t="str">
        <f>HYPERLINK("https://creighton-primo.hosted.exlibrisgroup.com/primo-explore/search?tab=default_tab&amp;search_scope=EVERYTHING&amp;vid=01CRU&amp;lang=en_US&amp;offset=0&amp;query=any,contains,991002201589702656","Catalog Record")</f>
        <v>Catalog Record</v>
      </c>
      <c r="AT135" s="6" t="str">
        <f>HYPERLINK("http://www.worldcat.org/oclc/284481","WorldCat Record")</f>
        <v>WorldCat Record</v>
      </c>
      <c r="AU135" s="3" t="s">
        <v>1859</v>
      </c>
      <c r="AV135" s="3" t="s">
        <v>1860</v>
      </c>
      <c r="AW135" s="3" t="s">
        <v>1861</v>
      </c>
      <c r="AX135" s="3" t="s">
        <v>1861</v>
      </c>
      <c r="AY135" s="3" t="s">
        <v>1862</v>
      </c>
      <c r="AZ135" s="3" t="s">
        <v>74</v>
      </c>
      <c r="BC135" s="3" t="s">
        <v>1865</v>
      </c>
      <c r="BD135" s="3" t="s">
        <v>1866</v>
      </c>
    </row>
    <row r="136" spans="1:56" ht="57.75" customHeight="1" x14ac:dyDescent="0.25">
      <c r="A136" s="7" t="s">
        <v>58</v>
      </c>
      <c r="B136" s="2" t="s">
        <v>1867</v>
      </c>
      <c r="C136" s="2" t="s">
        <v>1868</v>
      </c>
      <c r="D136" s="2" t="s">
        <v>1869</v>
      </c>
      <c r="F136" s="3" t="s">
        <v>58</v>
      </c>
      <c r="G136" s="3" t="s">
        <v>59</v>
      </c>
      <c r="H136" s="3" t="s">
        <v>58</v>
      </c>
      <c r="I136" s="3" t="s">
        <v>58</v>
      </c>
      <c r="J136" s="3" t="s">
        <v>60</v>
      </c>
      <c r="K136" s="2" t="s">
        <v>1870</v>
      </c>
      <c r="L136" s="2" t="s">
        <v>1871</v>
      </c>
      <c r="M136" s="3" t="s">
        <v>293</v>
      </c>
      <c r="O136" s="3" t="s">
        <v>64</v>
      </c>
      <c r="P136" s="3" t="s">
        <v>540</v>
      </c>
      <c r="R136" s="3" t="s">
        <v>1093</v>
      </c>
      <c r="S136" s="4">
        <v>6</v>
      </c>
      <c r="T136" s="4">
        <v>6</v>
      </c>
      <c r="U136" s="5" t="s">
        <v>1872</v>
      </c>
      <c r="V136" s="5" t="s">
        <v>1872</v>
      </c>
      <c r="W136" s="5" t="s">
        <v>1873</v>
      </c>
      <c r="X136" s="5" t="s">
        <v>1873</v>
      </c>
      <c r="Y136" s="4">
        <v>623</v>
      </c>
      <c r="Z136" s="4">
        <v>518</v>
      </c>
      <c r="AA136" s="4">
        <v>577</v>
      </c>
      <c r="AB136" s="4">
        <v>3</v>
      </c>
      <c r="AC136" s="4">
        <v>3</v>
      </c>
      <c r="AD136" s="4">
        <v>20</v>
      </c>
      <c r="AE136" s="4">
        <v>21</v>
      </c>
      <c r="AF136" s="4">
        <v>7</v>
      </c>
      <c r="AG136" s="4">
        <v>7</v>
      </c>
      <c r="AH136" s="4">
        <v>6</v>
      </c>
      <c r="AI136" s="4">
        <v>6</v>
      </c>
      <c r="AJ136" s="4">
        <v>8</v>
      </c>
      <c r="AK136" s="4">
        <v>9</v>
      </c>
      <c r="AL136" s="4">
        <v>2</v>
      </c>
      <c r="AM136" s="4">
        <v>2</v>
      </c>
      <c r="AN136" s="4">
        <v>0</v>
      </c>
      <c r="AO136" s="4">
        <v>0</v>
      </c>
      <c r="AP136" s="3" t="s">
        <v>58</v>
      </c>
      <c r="AQ136" s="3" t="s">
        <v>58</v>
      </c>
      <c r="AS136" s="6" t="str">
        <f>HYPERLINK("https://creighton-primo.hosted.exlibrisgroup.com/primo-explore/search?tab=default_tab&amp;search_scope=EVERYTHING&amp;vid=01CRU&amp;lang=en_US&amp;offset=0&amp;query=any,contains,991001923359702656","Catalog Record")</f>
        <v>Catalog Record</v>
      </c>
      <c r="AT136" s="6" t="str">
        <f>HYPERLINK("http://www.worldcat.org/oclc/245846","WorldCat Record")</f>
        <v>WorldCat Record</v>
      </c>
      <c r="AU136" s="3" t="s">
        <v>1874</v>
      </c>
      <c r="AV136" s="3" t="s">
        <v>1875</v>
      </c>
      <c r="AW136" s="3" t="s">
        <v>1876</v>
      </c>
      <c r="AX136" s="3" t="s">
        <v>1876</v>
      </c>
      <c r="AY136" s="3" t="s">
        <v>1877</v>
      </c>
      <c r="AZ136" s="3" t="s">
        <v>74</v>
      </c>
      <c r="BB136" s="3" t="s">
        <v>1878</v>
      </c>
      <c r="BC136" s="3" t="s">
        <v>1879</v>
      </c>
      <c r="BD136" s="3" t="s">
        <v>1880</v>
      </c>
    </row>
    <row r="137" spans="1:56" ht="57.75" customHeight="1" x14ac:dyDescent="0.25">
      <c r="A137" s="7" t="s">
        <v>58</v>
      </c>
      <c r="B137" s="2" t="s">
        <v>1881</v>
      </c>
      <c r="C137" s="2" t="s">
        <v>1882</v>
      </c>
      <c r="D137" s="2" t="s">
        <v>1883</v>
      </c>
      <c r="F137" s="3" t="s">
        <v>58</v>
      </c>
      <c r="G137" s="3" t="s">
        <v>59</v>
      </c>
      <c r="H137" s="3" t="s">
        <v>58</v>
      </c>
      <c r="I137" s="3" t="s">
        <v>58</v>
      </c>
      <c r="J137" s="3" t="s">
        <v>60</v>
      </c>
      <c r="K137" s="2" t="s">
        <v>1884</v>
      </c>
      <c r="L137" s="2" t="s">
        <v>1885</v>
      </c>
      <c r="M137" s="3" t="s">
        <v>1886</v>
      </c>
      <c r="O137" s="3" t="s">
        <v>64</v>
      </c>
      <c r="P137" s="3" t="s">
        <v>65</v>
      </c>
      <c r="R137" s="3" t="s">
        <v>1093</v>
      </c>
      <c r="S137" s="4">
        <v>11</v>
      </c>
      <c r="T137" s="4">
        <v>11</v>
      </c>
      <c r="U137" s="5" t="s">
        <v>1887</v>
      </c>
      <c r="V137" s="5" t="s">
        <v>1887</v>
      </c>
      <c r="W137" s="5" t="s">
        <v>1888</v>
      </c>
      <c r="X137" s="5" t="s">
        <v>1888</v>
      </c>
      <c r="Y137" s="4">
        <v>656</v>
      </c>
      <c r="Z137" s="4">
        <v>586</v>
      </c>
      <c r="AA137" s="4">
        <v>765</v>
      </c>
      <c r="AB137" s="4">
        <v>6</v>
      </c>
      <c r="AC137" s="4">
        <v>6</v>
      </c>
      <c r="AD137" s="4">
        <v>18</v>
      </c>
      <c r="AE137" s="4">
        <v>21</v>
      </c>
      <c r="AF137" s="4">
        <v>10</v>
      </c>
      <c r="AG137" s="4">
        <v>11</v>
      </c>
      <c r="AH137" s="4">
        <v>2</v>
      </c>
      <c r="AI137" s="4">
        <v>4</v>
      </c>
      <c r="AJ137" s="4">
        <v>4</v>
      </c>
      <c r="AK137" s="4">
        <v>5</v>
      </c>
      <c r="AL137" s="4">
        <v>5</v>
      </c>
      <c r="AM137" s="4">
        <v>5</v>
      </c>
      <c r="AN137" s="4">
        <v>0</v>
      </c>
      <c r="AO137" s="4">
        <v>0</v>
      </c>
      <c r="AP137" s="3" t="s">
        <v>58</v>
      </c>
      <c r="AQ137" s="3" t="s">
        <v>58</v>
      </c>
      <c r="AS137" s="6" t="str">
        <f>HYPERLINK("https://creighton-primo.hosted.exlibrisgroup.com/primo-explore/search?tab=default_tab&amp;search_scope=EVERYTHING&amp;vid=01CRU&amp;lang=en_US&amp;offset=0&amp;query=any,contains,991000959949702656","Catalog Record")</f>
        <v>Catalog Record</v>
      </c>
      <c r="AT137" s="6" t="str">
        <f>HYPERLINK("http://www.worldcat.org/oclc/14816905","WorldCat Record")</f>
        <v>WorldCat Record</v>
      </c>
      <c r="AU137" s="3" t="s">
        <v>1889</v>
      </c>
      <c r="AV137" s="3" t="s">
        <v>1890</v>
      </c>
      <c r="AW137" s="3" t="s">
        <v>1891</v>
      </c>
      <c r="AX137" s="3" t="s">
        <v>1891</v>
      </c>
      <c r="AY137" s="3" t="s">
        <v>1892</v>
      </c>
      <c r="AZ137" s="3" t="s">
        <v>74</v>
      </c>
      <c r="BB137" s="3" t="s">
        <v>1893</v>
      </c>
      <c r="BC137" s="3" t="s">
        <v>1894</v>
      </c>
      <c r="BD137" s="3" t="s">
        <v>1895</v>
      </c>
    </row>
    <row r="138" spans="1:56" ht="57.75" customHeight="1" x14ac:dyDescent="0.25">
      <c r="A138" s="7" t="s">
        <v>58</v>
      </c>
      <c r="B138" s="2" t="s">
        <v>1896</v>
      </c>
      <c r="C138" s="2" t="s">
        <v>1897</v>
      </c>
      <c r="D138" s="2" t="s">
        <v>1898</v>
      </c>
      <c r="F138" s="3" t="s">
        <v>58</v>
      </c>
      <c r="G138" s="3" t="s">
        <v>59</v>
      </c>
      <c r="H138" s="3" t="s">
        <v>58</v>
      </c>
      <c r="I138" s="3" t="s">
        <v>58</v>
      </c>
      <c r="J138" s="3" t="s">
        <v>60</v>
      </c>
      <c r="K138" s="2" t="s">
        <v>1899</v>
      </c>
      <c r="L138" s="2" t="s">
        <v>1900</v>
      </c>
      <c r="M138" s="3" t="s">
        <v>277</v>
      </c>
      <c r="O138" s="3" t="s">
        <v>64</v>
      </c>
      <c r="P138" s="3" t="s">
        <v>65</v>
      </c>
      <c r="R138" s="3" t="s">
        <v>1093</v>
      </c>
      <c r="S138" s="4">
        <v>9</v>
      </c>
      <c r="T138" s="4">
        <v>9</v>
      </c>
      <c r="U138" s="5" t="s">
        <v>1901</v>
      </c>
      <c r="V138" s="5" t="s">
        <v>1901</v>
      </c>
      <c r="W138" s="5" t="s">
        <v>1902</v>
      </c>
      <c r="X138" s="5" t="s">
        <v>1902</v>
      </c>
      <c r="Y138" s="4">
        <v>435</v>
      </c>
      <c r="Z138" s="4">
        <v>406</v>
      </c>
      <c r="AA138" s="4">
        <v>644</v>
      </c>
      <c r="AB138" s="4">
        <v>2</v>
      </c>
      <c r="AC138" s="4">
        <v>4</v>
      </c>
      <c r="AD138" s="4">
        <v>7</v>
      </c>
      <c r="AE138" s="4">
        <v>14</v>
      </c>
      <c r="AF138" s="4">
        <v>3</v>
      </c>
      <c r="AG138" s="4">
        <v>5</v>
      </c>
      <c r="AH138" s="4">
        <v>2</v>
      </c>
      <c r="AI138" s="4">
        <v>4</v>
      </c>
      <c r="AJ138" s="4">
        <v>2</v>
      </c>
      <c r="AK138" s="4">
        <v>6</v>
      </c>
      <c r="AL138" s="4">
        <v>1</v>
      </c>
      <c r="AM138" s="4">
        <v>3</v>
      </c>
      <c r="AN138" s="4">
        <v>0</v>
      </c>
      <c r="AO138" s="4">
        <v>0</v>
      </c>
      <c r="AP138" s="3" t="s">
        <v>58</v>
      </c>
      <c r="AQ138" s="3" t="s">
        <v>69</v>
      </c>
      <c r="AR138" s="6" t="str">
        <f>HYPERLINK("http://catalog.hathitrust.org/Record/000914256","HathiTrust Record")</f>
        <v>HathiTrust Record</v>
      </c>
      <c r="AS138" s="6" t="str">
        <f>HYPERLINK("https://creighton-primo.hosted.exlibrisgroup.com/primo-explore/search?tab=default_tab&amp;search_scope=EVERYTHING&amp;vid=01CRU&amp;lang=en_US&amp;offset=0&amp;query=any,contains,991001143329702656","Catalog Record")</f>
        <v>Catalog Record</v>
      </c>
      <c r="AT138" s="6" t="str">
        <f>HYPERLINK("http://www.worldcat.org/oclc/16755456","WorldCat Record")</f>
        <v>WorldCat Record</v>
      </c>
      <c r="AU138" s="3" t="s">
        <v>1903</v>
      </c>
      <c r="AV138" s="3" t="s">
        <v>1904</v>
      </c>
      <c r="AW138" s="3" t="s">
        <v>1905</v>
      </c>
      <c r="AX138" s="3" t="s">
        <v>1905</v>
      </c>
      <c r="AY138" s="3" t="s">
        <v>1906</v>
      </c>
      <c r="AZ138" s="3" t="s">
        <v>74</v>
      </c>
      <c r="BB138" s="3" t="s">
        <v>1907</v>
      </c>
      <c r="BC138" s="3" t="s">
        <v>1908</v>
      </c>
      <c r="BD138" s="3" t="s">
        <v>1909</v>
      </c>
    </row>
    <row r="139" spans="1:56" ht="57.75" customHeight="1" x14ac:dyDescent="0.25">
      <c r="A139" s="7" t="s">
        <v>58</v>
      </c>
      <c r="B139" s="2" t="s">
        <v>1910</v>
      </c>
      <c r="C139" s="2" t="s">
        <v>1911</v>
      </c>
      <c r="D139" s="2" t="s">
        <v>1912</v>
      </c>
      <c r="F139" s="3" t="s">
        <v>58</v>
      </c>
      <c r="G139" s="3" t="s">
        <v>59</v>
      </c>
      <c r="H139" s="3" t="s">
        <v>58</v>
      </c>
      <c r="I139" s="3" t="s">
        <v>58</v>
      </c>
      <c r="J139" s="3" t="s">
        <v>60</v>
      </c>
      <c r="K139" s="2" t="s">
        <v>1913</v>
      </c>
      <c r="L139" s="2" t="s">
        <v>1914</v>
      </c>
      <c r="M139" s="3" t="s">
        <v>1774</v>
      </c>
      <c r="N139" s="2" t="s">
        <v>1915</v>
      </c>
      <c r="O139" s="3" t="s">
        <v>64</v>
      </c>
      <c r="P139" s="3" t="s">
        <v>412</v>
      </c>
      <c r="R139" s="3" t="s">
        <v>1093</v>
      </c>
      <c r="S139" s="4">
        <v>5</v>
      </c>
      <c r="T139" s="4">
        <v>5</v>
      </c>
      <c r="U139" s="5" t="s">
        <v>1916</v>
      </c>
      <c r="V139" s="5" t="s">
        <v>1916</v>
      </c>
      <c r="W139" s="5" t="s">
        <v>1917</v>
      </c>
      <c r="X139" s="5" t="s">
        <v>1917</v>
      </c>
      <c r="Y139" s="4">
        <v>689</v>
      </c>
      <c r="Z139" s="4">
        <v>521</v>
      </c>
      <c r="AA139" s="4">
        <v>530</v>
      </c>
      <c r="AB139" s="4">
        <v>3</v>
      </c>
      <c r="AC139" s="4">
        <v>3</v>
      </c>
      <c r="AD139" s="4">
        <v>13</v>
      </c>
      <c r="AE139" s="4">
        <v>14</v>
      </c>
      <c r="AF139" s="4">
        <v>5</v>
      </c>
      <c r="AG139" s="4">
        <v>6</v>
      </c>
      <c r="AH139" s="4">
        <v>2</v>
      </c>
      <c r="AI139" s="4">
        <v>2</v>
      </c>
      <c r="AJ139" s="4">
        <v>6</v>
      </c>
      <c r="AK139" s="4">
        <v>6</v>
      </c>
      <c r="AL139" s="4">
        <v>2</v>
      </c>
      <c r="AM139" s="4">
        <v>2</v>
      </c>
      <c r="AN139" s="4">
        <v>0</v>
      </c>
      <c r="AO139" s="4">
        <v>0</v>
      </c>
      <c r="AP139" s="3" t="s">
        <v>58</v>
      </c>
      <c r="AQ139" s="3" t="s">
        <v>58</v>
      </c>
      <c r="AS139" s="6" t="str">
        <f>HYPERLINK("https://creighton-primo.hosted.exlibrisgroup.com/primo-explore/search?tab=default_tab&amp;search_scope=EVERYTHING&amp;vid=01CRU&amp;lang=en_US&amp;offset=0&amp;query=any,contains,991002736489702656","Catalog Record")</f>
        <v>Catalog Record</v>
      </c>
      <c r="AT139" s="6" t="str">
        <f>HYPERLINK("http://www.worldcat.org/oclc/33927146","WorldCat Record")</f>
        <v>WorldCat Record</v>
      </c>
      <c r="AU139" s="3" t="s">
        <v>1918</v>
      </c>
      <c r="AV139" s="3" t="s">
        <v>1919</v>
      </c>
      <c r="AW139" s="3" t="s">
        <v>1920</v>
      </c>
      <c r="AX139" s="3" t="s">
        <v>1920</v>
      </c>
      <c r="AY139" s="3" t="s">
        <v>1921</v>
      </c>
      <c r="AZ139" s="3" t="s">
        <v>74</v>
      </c>
      <c r="BB139" s="3" t="s">
        <v>1922</v>
      </c>
      <c r="BC139" s="3" t="s">
        <v>1923</v>
      </c>
      <c r="BD139" s="3" t="s">
        <v>1924</v>
      </c>
    </row>
    <row r="140" spans="1:56" ht="57.75" customHeight="1" x14ac:dyDescent="0.25">
      <c r="A140" s="7" t="s">
        <v>58</v>
      </c>
      <c r="B140" s="2" t="s">
        <v>1925</v>
      </c>
      <c r="C140" s="2" t="s">
        <v>1926</v>
      </c>
      <c r="D140" s="2" t="s">
        <v>1927</v>
      </c>
      <c r="F140" s="3" t="s">
        <v>58</v>
      </c>
      <c r="G140" s="3" t="s">
        <v>59</v>
      </c>
      <c r="H140" s="3" t="s">
        <v>58</v>
      </c>
      <c r="I140" s="3" t="s">
        <v>58</v>
      </c>
      <c r="J140" s="3" t="s">
        <v>60</v>
      </c>
      <c r="K140" s="2" t="s">
        <v>1928</v>
      </c>
      <c r="L140" s="2" t="s">
        <v>1929</v>
      </c>
      <c r="M140" s="3" t="s">
        <v>496</v>
      </c>
      <c r="O140" s="3" t="s">
        <v>64</v>
      </c>
      <c r="P140" s="3" t="s">
        <v>748</v>
      </c>
      <c r="R140" s="3" t="s">
        <v>1093</v>
      </c>
      <c r="S140" s="4">
        <v>5</v>
      </c>
      <c r="T140" s="4">
        <v>5</v>
      </c>
      <c r="U140" s="5" t="s">
        <v>1930</v>
      </c>
      <c r="V140" s="5" t="s">
        <v>1930</v>
      </c>
      <c r="W140" s="5" t="s">
        <v>1931</v>
      </c>
      <c r="X140" s="5" t="s">
        <v>1931</v>
      </c>
      <c r="Y140" s="4">
        <v>397</v>
      </c>
      <c r="Z140" s="4">
        <v>372</v>
      </c>
      <c r="AA140" s="4">
        <v>374</v>
      </c>
      <c r="AB140" s="4">
        <v>4</v>
      </c>
      <c r="AC140" s="4">
        <v>4</v>
      </c>
      <c r="AD140" s="4">
        <v>8</v>
      </c>
      <c r="AE140" s="4">
        <v>8</v>
      </c>
      <c r="AF140" s="4">
        <v>3</v>
      </c>
      <c r="AG140" s="4">
        <v>3</v>
      </c>
      <c r="AH140" s="4">
        <v>1</v>
      </c>
      <c r="AI140" s="4">
        <v>1</v>
      </c>
      <c r="AJ140" s="4">
        <v>3</v>
      </c>
      <c r="AK140" s="4">
        <v>3</v>
      </c>
      <c r="AL140" s="4">
        <v>3</v>
      </c>
      <c r="AM140" s="4">
        <v>3</v>
      </c>
      <c r="AN140" s="4">
        <v>0</v>
      </c>
      <c r="AO140" s="4">
        <v>0</v>
      </c>
      <c r="AP140" s="3" t="s">
        <v>58</v>
      </c>
      <c r="AQ140" s="3" t="s">
        <v>69</v>
      </c>
      <c r="AR140" s="6" t="str">
        <f>HYPERLINK("http://catalog.hathitrust.org/Record/000218396","HathiTrust Record")</f>
        <v>HathiTrust Record</v>
      </c>
      <c r="AS140" s="6" t="str">
        <f>HYPERLINK("https://creighton-primo.hosted.exlibrisgroup.com/primo-explore/search?tab=default_tab&amp;search_scope=EVERYTHING&amp;vid=01CRU&amp;lang=en_US&amp;offset=0&amp;query=any,contains,991004622599702656","Catalog Record")</f>
        <v>Catalog Record</v>
      </c>
      <c r="AT140" s="6" t="str">
        <f>HYPERLINK("http://www.worldcat.org/oclc/4309900","WorldCat Record")</f>
        <v>WorldCat Record</v>
      </c>
      <c r="AU140" s="3" t="s">
        <v>1932</v>
      </c>
      <c r="AV140" s="3" t="s">
        <v>1933</v>
      </c>
      <c r="AW140" s="3" t="s">
        <v>1934</v>
      </c>
      <c r="AX140" s="3" t="s">
        <v>1934</v>
      </c>
      <c r="AY140" s="3" t="s">
        <v>1935</v>
      </c>
      <c r="AZ140" s="3" t="s">
        <v>74</v>
      </c>
      <c r="BB140" s="3" t="s">
        <v>1936</v>
      </c>
      <c r="BC140" s="3" t="s">
        <v>1937</v>
      </c>
      <c r="BD140" s="3" t="s">
        <v>1938</v>
      </c>
    </row>
    <row r="141" spans="1:56" ht="57.75" customHeight="1" x14ac:dyDescent="0.25">
      <c r="A141" s="7" t="s">
        <v>58</v>
      </c>
      <c r="B141" s="2" t="s">
        <v>1939</v>
      </c>
      <c r="C141" s="2" t="s">
        <v>1940</v>
      </c>
      <c r="D141" s="2" t="s">
        <v>1941</v>
      </c>
      <c r="F141" s="3" t="s">
        <v>58</v>
      </c>
      <c r="G141" s="3" t="s">
        <v>59</v>
      </c>
      <c r="H141" s="3" t="s">
        <v>58</v>
      </c>
      <c r="I141" s="3" t="s">
        <v>58</v>
      </c>
      <c r="J141" s="3" t="s">
        <v>60</v>
      </c>
      <c r="K141" s="2" t="s">
        <v>1942</v>
      </c>
      <c r="L141" s="2" t="s">
        <v>1943</v>
      </c>
      <c r="M141" s="3" t="s">
        <v>564</v>
      </c>
      <c r="N141" s="2" t="s">
        <v>1475</v>
      </c>
      <c r="O141" s="3" t="s">
        <v>64</v>
      </c>
      <c r="P141" s="3" t="s">
        <v>179</v>
      </c>
      <c r="R141" s="3" t="s">
        <v>1093</v>
      </c>
      <c r="S141" s="4">
        <v>7</v>
      </c>
      <c r="T141" s="4">
        <v>7</v>
      </c>
      <c r="U141" s="5" t="s">
        <v>1944</v>
      </c>
      <c r="V141" s="5" t="s">
        <v>1944</v>
      </c>
      <c r="W141" s="5" t="s">
        <v>1945</v>
      </c>
      <c r="X141" s="5" t="s">
        <v>1945</v>
      </c>
      <c r="Y141" s="4">
        <v>752</v>
      </c>
      <c r="Z141" s="4">
        <v>696</v>
      </c>
      <c r="AA141" s="4">
        <v>698</v>
      </c>
      <c r="AB141" s="4">
        <v>3</v>
      </c>
      <c r="AC141" s="4">
        <v>3</v>
      </c>
      <c r="AD141" s="4">
        <v>12</v>
      </c>
      <c r="AE141" s="4">
        <v>12</v>
      </c>
      <c r="AF141" s="4">
        <v>7</v>
      </c>
      <c r="AG141" s="4">
        <v>7</v>
      </c>
      <c r="AH141" s="4">
        <v>1</v>
      </c>
      <c r="AI141" s="4">
        <v>1</v>
      </c>
      <c r="AJ141" s="4">
        <v>4</v>
      </c>
      <c r="AK141" s="4">
        <v>4</v>
      </c>
      <c r="AL141" s="4">
        <v>2</v>
      </c>
      <c r="AM141" s="4">
        <v>2</v>
      </c>
      <c r="AN141" s="4">
        <v>0</v>
      </c>
      <c r="AO141" s="4">
        <v>0</v>
      </c>
      <c r="AP141" s="3" t="s">
        <v>58</v>
      </c>
      <c r="AQ141" s="3" t="s">
        <v>69</v>
      </c>
      <c r="AR141" s="6" t="str">
        <f>HYPERLINK("http://catalog.hathitrust.org/Record/001471460","HathiTrust Record")</f>
        <v>HathiTrust Record</v>
      </c>
      <c r="AS141" s="6" t="str">
        <f>HYPERLINK("https://creighton-primo.hosted.exlibrisgroup.com/primo-explore/search?tab=default_tab&amp;search_scope=EVERYTHING&amp;vid=01CRU&amp;lang=en_US&amp;offset=0&amp;query=any,contains,991001224029702656","Catalog Record")</f>
        <v>Catalog Record</v>
      </c>
      <c r="AT141" s="6" t="str">
        <f>HYPERLINK("http://www.worldcat.org/oclc/198510","WorldCat Record")</f>
        <v>WorldCat Record</v>
      </c>
      <c r="AU141" s="3" t="s">
        <v>1946</v>
      </c>
      <c r="AV141" s="3" t="s">
        <v>1947</v>
      </c>
      <c r="AW141" s="3" t="s">
        <v>1948</v>
      </c>
      <c r="AX141" s="3" t="s">
        <v>1948</v>
      </c>
      <c r="AY141" s="3" t="s">
        <v>1949</v>
      </c>
      <c r="AZ141" s="3" t="s">
        <v>74</v>
      </c>
      <c r="BB141" s="3" t="s">
        <v>1950</v>
      </c>
      <c r="BC141" s="3" t="s">
        <v>1951</v>
      </c>
      <c r="BD141" s="3" t="s">
        <v>1952</v>
      </c>
    </row>
    <row r="142" spans="1:56" ht="57.75" customHeight="1" x14ac:dyDescent="0.25">
      <c r="A142" s="7" t="s">
        <v>58</v>
      </c>
      <c r="B142" s="2" t="s">
        <v>1953</v>
      </c>
      <c r="C142" s="2" t="s">
        <v>1954</v>
      </c>
      <c r="D142" s="2" t="s">
        <v>1955</v>
      </c>
      <c r="F142" s="3" t="s">
        <v>58</v>
      </c>
      <c r="G142" s="3" t="s">
        <v>59</v>
      </c>
      <c r="H142" s="3" t="s">
        <v>58</v>
      </c>
      <c r="I142" s="3" t="s">
        <v>58</v>
      </c>
      <c r="J142" s="3" t="s">
        <v>60</v>
      </c>
      <c r="K142" s="2" t="s">
        <v>1956</v>
      </c>
      <c r="L142" s="2" t="s">
        <v>1957</v>
      </c>
      <c r="M142" s="3" t="s">
        <v>1362</v>
      </c>
      <c r="N142" s="2" t="s">
        <v>481</v>
      </c>
      <c r="O142" s="3" t="s">
        <v>64</v>
      </c>
      <c r="P142" s="3" t="s">
        <v>65</v>
      </c>
      <c r="R142" s="3" t="s">
        <v>1093</v>
      </c>
      <c r="S142" s="4">
        <v>2</v>
      </c>
      <c r="T142" s="4">
        <v>2</v>
      </c>
      <c r="U142" s="5" t="s">
        <v>1958</v>
      </c>
      <c r="V142" s="5" t="s">
        <v>1958</v>
      </c>
      <c r="W142" s="5" t="s">
        <v>1959</v>
      </c>
      <c r="X142" s="5" t="s">
        <v>1959</v>
      </c>
      <c r="Y142" s="4">
        <v>878</v>
      </c>
      <c r="Z142" s="4">
        <v>797</v>
      </c>
      <c r="AA142" s="4">
        <v>859</v>
      </c>
      <c r="AB142" s="4">
        <v>6</v>
      </c>
      <c r="AC142" s="4">
        <v>7</v>
      </c>
      <c r="AD142" s="4">
        <v>23</v>
      </c>
      <c r="AE142" s="4">
        <v>25</v>
      </c>
      <c r="AF142" s="4">
        <v>12</v>
      </c>
      <c r="AG142" s="4">
        <v>12</v>
      </c>
      <c r="AH142" s="4">
        <v>4</v>
      </c>
      <c r="AI142" s="4">
        <v>5</v>
      </c>
      <c r="AJ142" s="4">
        <v>10</v>
      </c>
      <c r="AK142" s="4">
        <v>11</v>
      </c>
      <c r="AL142" s="4">
        <v>4</v>
      </c>
      <c r="AM142" s="4">
        <v>5</v>
      </c>
      <c r="AN142" s="4">
        <v>0</v>
      </c>
      <c r="AO142" s="4">
        <v>0</v>
      </c>
      <c r="AP142" s="3" t="s">
        <v>58</v>
      </c>
      <c r="AQ142" s="3" t="s">
        <v>69</v>
      </c>
      <c r="AR142" s="6" t="str">
        <f>HYPERLINK("http://catalog.hathitrust.org/Record/000913902","HathiTrust Record")</f>
        <v>HathiTrust Record</v>
      </c>
      <c r="AS142" s="6" t="str">
        <f>HYPERLINK("https://creighton-primo.hosted.exlibrisgroup.com/primo-explore/search?tab=default_tab&amp;search_scope=EVERYTHING&amp;vid=01CRU&amp;lang=en_US&amp;offset=0&amp;query=any,contains,991001028919702656","Catalog Record")</f>
        <v>Catalog Record</v>
      </c>
      <c r="AT142" s="6" t="str">
        <f>HYPERLINK("http://www.worldcat.org/oclc/15489419","WorldCat Record")</f>
        <v>WorldCat Record</v>
      </c>
      <c r="AU142" s="3" t="s">
        <v>1960</v>
      </c>
      <c r="AV142" s="3" t="s">
        <v>1961</v>
      </c>
      <c r="AW142" s="3" t="s">
        <v>1962</v>
      </c>
      <c r="AX142" s="3" t="s">
        <v>1962</v>
      </c>
      <c r="AY142" s="3" t="s">
        <v>1963</v>
      </c>
      <c r="AZ142" s="3" t="s">
        <v>74</v>
      </c>
      <c r="BB142" s="3" t="s">
        <v>1964</v>
      </c>
      <c r="BC142" s="3" t="s">
        <v>1965</v>
      </c>
      <c r="BD142" s="3" t="s">
        <v>1966</v>
      </c>
    </row>
    <row r="143" spans="1:56" ht="57.75" customHeight="1" x14ac:dyDescent="0.25">
      <c r="A143" s="7" t="s">
        <v>58</v>
      </c>
      <c r="B143" s="2" t="s">
        <v>1967</v>
      </c>
      <c r="C143" s="2" t="s">
        <v>1968</v>
      </c>
      <c r="D143" s="2" t="s">
        <v>1969</v>
      </c>
      <c r="F143" s="3" t="s">
        <v>58</v>
      </c>
      <c r="G143" s="3" t="s">
        <v>59</v>
      </c>
      <c r="H143" s="3" t="s">
        <v>58</v>
      </c>
      <c r="I143" s="3" t="s">
        <v>58</v>
      </c>
      <c r="J143" s="3" t="s">
        <v>60</v>
      </c>
      <c r="K143" s="2" t="s">
        <v>1970</v>
      </c>
      <c r="L143" s="2" t="s">
        <v>1971</v>
      </c>
      <c r="M143" s="3" t="s">
        <v>763</v>
      </c>
      <c r="O143" s="3" t="s">
        <v>64</v>
      </c>
      <c r="P143" s="3" t="s">
        <v>234</v>
      </c>
      <c r="R143" s="3" t="s">
        <v>1093</v>
      </c>
      <c r="S143" s="4">
        <v>28</v>
      </c>
      <c r="T143" s="4">
        <v>28</v>
      </c>
      <c r="U143" s="5" t="s">
        <v>1972</v>
      </c>
      <c r="V143" s="5" t="s">
        <v>1972</v>
      </c>
      <c r="W143" s="5" t="s">
        <v>1973</v>
      </c>
      <c r="X143" s="5" t="s">
        <v>1973</v>
      </c>
      <c r="Y143" s="4">
        <v>809</v>
      </c>
      <c r="Z143" s="4">
        <v>696</v>
      </c>
      <c r="AA143" s="4">
        <v>699</v>
      </c>
      <c r="AB143" s="4">
        <v>7</v>
      </c>
      <c r="AC143" s="4">
        <v>7</v>
      </c>
      <c r="AD143" s="4">
        <v>21</v>
      </c>
      <c r="AE143" s="4">
        <v>21</v>
      </c>
      <c r="AF143" s="4">
        <v>10</v>
      </c>
      <c r="AG143" s="4">
        <v>10</v>
      </c>
      <c r="AH143" s="4">
        <v>5</v>
      </c>
      <c r="AI143" s="4">
        <v>5</v>
      </c>
      <c r="AJ143" s="4">
        <v>8</v>
      </c>
      <c r="AK143" s="4">
        <v>8</v>
      </c>
      <c r="AL143" s="4">
        <v>4</v>
      </c>
      <c r="AM143" s="4">
        <v>4</v>
      </c>
      <c r="AN143" s="4">
        <v>0</v>
      </c>
      <c r="AO143" s="4">
        <v>0</v>
      </c>
      <c r="AP143" s="3" t="s">
        <v>58</v>
      </c>
      <c r="AQ143" s="3" t="s">
        <v>69</v>
      </c>
      <c r="AR143" s="6" t="str">
        <f>HYPERLINK("http://catalog.hathitrust.org/Record/002172035","HathiTrust Record")</f>
        <v>HathiTrust Record</v>
      </c>
      <c r="AS143" s="6" t="str">
        <f>HYPERLINK("https://creighton-primo.hosted.exlibrisgroup.com/primo-explore/search?tab=default_tab&amp;search_scope=EVERYTHING&amp;vid=01CRU&amp;lang=en_US&amp;offset=0&amp;query=any,contains,991001620449702656","Catalog Record")</f>
        <v>Catalog Record</v>
      </c>
      <c r="AT143" s="6" t="str">
        <f>HYPERLINK("http://www.worldcat.org/oclc/20823481","WorldCat Record")</f>
        <v>WorldCat Record</v>
      </c>
      <c r="AU143" s="3" t="s">
        <v>1974</v>
      </c>
      <c r="AV143" s="3" t="s">
        <v>1975</v>
      </c>
      <c r="AW143" s="3" t="s">
        <v>1976</v>
      </c>
      <c r="AX143" s="3" t="s">
        <v>1976</v>
      </c>
      <c r="AY143" s="3" t="s">
        <v>1977</v>
      </c>
      <c r="AZ143" s="3" t="s">
        <v>74</v>
      </c>
      <c r="BB143" s="3" t="s">
        <v>1978</v>
      </c>
      <c r="BC143" s="3" t="s">
        <v>1979</v>
      </c>
      <c r="BD143" s="3" t="s">
        <v>1980</v>
      </c>
    </row>
    <row r="144" spans="1:56" ht="57.75" customHeight="1" x14ac:dyDescent="0.25">
      <c r="A144" s="7" t="s">
        <v>58</v>
      </c>
      <c r="B144" s="2" t="s">
        <v>1981</v>
      </c>
      <c r="C144" s="2" t="s">
        <v>1982</v>
      </c>
      <c r="D144" s="2" t="s">
        <v>1983</v>
      </c>
      <c r="F144" s="3" t="s">
        <v>58</v>
      </c>
      <c r="G144" s="3" t="s">
        <v>59</v>
      </c>
      <c r="H144" s="3" t="s">
        <v>58</v>
      </c>
      <c r="I144" s="3" t="s">
        <v>58</v>
      </c>
      <c r="J144" s="3" t="s">
        <v>60</v>
      </c>
      <c r="K144" s="2" t="s">
        <v>1984</v>
      </c>
      <c r="L144" s="2" t="s">
        <v>1985</v>
      </c>
      <c r="M144" s="3" t="s">
        <v>1986</v>
      </c>
      <c r="O144" s="3" t="s">
        <v>64</v>
      </c>
      <c r="P144" s="3" t="s">
        <v>179</v>
      </c>
      <c r="R144" s="3" t="s">
        <v>1093</v>
      </c>
      <c r="S144" s="4">
        <v>3</v>
      </c>
      <c r="T144" s="4">
        <v>3</v>
      </c>
      <c r="U144" s="5" t="s">
        <v>1972</v>
      </c>
      <c r="V144" s="5" t="s">
        <v>1972</v>
      </c>
      <c r="W144" s="5" t="s">
        <v>1987</v>
      </c>
      <c r="X144" s="5" t="s">
        <v>1987</v>
      </c>
      <c r="Y144" s="4">
        <v>461</v>
      </c>
      <c r="Z144" s="4">
        <v>445</v>
      </c>
      <c r="AA144" s="4">
        <v>510</v>
      </c>
      <c r="AB144" s="4">
        <v>3</v>
      </c>
      <c r="AC144" s="4">
        <v>3</v>
      </c>
      <c r="AD144" s="4">
        <v>16</v>
      </c>
      <c r="AE144" s="4">
        <v>17</v>
      </c>
      <c r="AF144" s="4">
        <v>6</v>
      </c>
      <c r="AG144" s="4">
        <v>7</v>
      </c>
      <c r="AH144" s="4">
        <v>4</v>
      </c>
      <c r="AI144" s="4">
        <v>4</v>
      </c>
      <c r="AJ144" s="4">
        <v>9</v>
      </c>
      <c r="AK144" s="4">
        <v>9</v>
      </c>
      <c r="AL144" s="4">
        <v>2</v>
      </c>
      <c r="AM144" s="4">
        <v>2</v>
      </c>
      <c r="AN144" s="4">
        <v>0</v>
      </c>
      <c r="AO144" s="4">
        <v>0</v>
      </c>
      <c r="AP144" s="3" t="s">
        <v>58</v>
      </c>
      <c r="AQ144" s="3" t="s">
        <v>58</v>
      </c>
      <c r="AS144" s="6" t="str">
        <f>HYPERLINK("https://creighton-primo.hosted.exlibrisgroup.com/primo-explore/search?tab=default_tab&amp;search_scope=EVERYTHING&amp;vid=01CRU&amp;lang=en_US&amp;offset=0&amp;query=any,contains,991003020439702656","Catalog Record")</f>
        <v>Catalog Record</v>
      </c>
      <c r="AT144" s="6" t="str">
        <f>HYPERLINK("http://www.worldcat.org/oclc/41146518","WorldCat Record")</f>
        <v>WorldCat Record</v>
      </c>
      <c r="AU144" s="3" t="s">
        <v>1988</v>
      </c>
      <c r="AV144" s="3" t="s">
        <v>1989</v>
      </c>
      <c r="AW144" s="3" t="s">
        <v>1990</v>
      </c>
      <c r="AX144" s="3" t="s">
        <v>1990</v>
      </c>
      <c r="AY144" s="3" t="s">
        <v>1991</v>
      </c>
      <c r="AZ144" s="3" t="s">
        <v>74</v>
      </c>
      <c r="BC144" s="3" t="s">
        <v>1992</v>
      </c>
      <c r="BD144" s="3" t="s">
        <v>1993</v>
      </c>
    </row>
    <row r="145" spans="1:56" ht="57.75" customHeight="1" x14ac:dyDescent="0.25">
      <c r="A145" s="7" t="s">
        <v>58</v>
      </c>
      <c r="B145" s="2" t="s">
        <v>1994</v>
      </c>
      <c r="C145" s="2" t="s">
        <v>1995</v>
      </c>
      <c r="D145" s="2" t="s">
        <v>1996</v>
      </c>
      <c r="F145" s="3" t="s">
        <v>58</v>
      </c>
      <c r="G145" s="3" t="s">
        <v>59</v>
      </c>
      <c r="H145" s="3" t="s">
        <v>58</v>
      </c>
      <c r="I145" s="3" t="s">
        <v>58</v>
      </c>
      <c r="J145" s="3" t="s">
        <v>60</v>
      </c>
      <c r="K145" s="2" t="s">
        <v>1997</v>
      </c>
      <c r="L145" s="2" t="s">
        <v>1998</v>
      </c>
      <c r="M145" s="3" t="s">
        <v>1774</v>
      </c>
      <c r="N145" s="2" t="s">
        <v>606</v>
      </c>
      <c r="O145" s="3" t="s">
        <v>64</v>
      </c>
      <c r="P145" s="3" t="s">
        <v>65</v>
      </c>
      <c r="R145" s="3" t="s">
        <v>1093</v>
      </c>
      <c r="S145" s="4">
        <v>3</v>
      </c>
      <c r="T145" s="4">
        <v>3</v>
      </c>
      <c r="U145" s="5" t="s">
        <v>1999</v>
      </c>
      <c r="V145" s="5" t="s">
        <v>1999</v>
      </c>
      <c r="W145" s="5" t="s">
        <v>2000</v>
      </c>
      <c r="X145" s="5" t="s">
        <v>2000</v>
      </c>
      <c r="Y145" s="4">
        <v>343</v>
      </c>
      <c r="Z145" s="4">
        <v>279</v>
      </c>
      <c r="AA145" s="4">
        <v>374</v>
      </c>
      <c r="AB145" s="4">
        <v>3</v>
      </c>
      <c r="AC145" s="4">
        <v>3</v>
      </c>
      <c r="AD145" s="4">
        <v>10</v>
      </c>
      <c r="AE145" s="4">
        <v>10</v>
      </c>
      <c r="AF145" s="4">
        <v>5</v>
      </c>
      <c r="AG145" s="4">
        <v>5</v>
      </c>
      <c r="AH145" s="4">
        <v>2</v>
      </c>
      <c r="AI145" s="4">
        <v>2</v>
      </c>
      <c r="AJ145" s="4">
        <v>1</v>
      </c>
      <c r="AK145" s="4">
        <v>1</v>
      </c>
      <c r="AL145" s="4">
        <v>2</v>
      </c>
      <c r="AM145" s="4">
        <v>2</v>
      </c>
      <c r="AN145" s="4">
        <v>0</v>
      </c>
      <c r="AO145" s="4">
        <v>0</v>
      </c>
      <c r="AP145" s="3" t="s">
        <v>58</v>
      </c>
      <c r="AQ145" s="3" t="s">
        <v>69</v>
      </c>
      <c r="AR145" s="6" t="str">
        <f>HYPERLINK("http://catalog.hathitrust.org/Record/003038222","HathiTrust Record")</f>
        <v>HathiTrust Record</v>
      </c>
      <c r="AS145" s="6" t="str">
        <f>HYPERLINK("https://creighton-primo.hosted.exlibrisgroup.com/primo-explore/search?tab=default_tab&amp;search_scope=EVERYTHING&amp;vid=01CRU&amp;lang=en_US&amp;offset=0&amp;query=any,contains,991002505519702656","Catalog Record")</f>
        <v>Catalog Record</v>
      </c>
      <c r="AT145" s="6" t="str">
        <f>HYPERLINK("http://www.worldcat.org/oclc/32589793","WorldCat Record")</f>
        <v>WorldCat Record</v>
      </c>
      <c r="AU145" s="3" t="s">
        <v>2001</v>
      </c>
      <c r="AV145" s="3" t="s">
        <v>2002</v>
      </c>
      <c r="AW145" s="3" t="s">
        <v>2003</v>
      </c>
      <c r="AX145" s="3" t="s">
        <v>2003</v>
      </c>
      <c r="AY145" s="3" t="s">
        <v>2004</v>
      </c>
      <c r="AZ145" s="3" t="s">
        <v>74</v>
      </c>
      <c r="BB145" s="3" t="s">
        <v>2005</v>
      </c>
      <c r="BC145" s="3" t="s">
        <v>2006</v>
      </c>
      <c r="BD145" s="3" t="s">
        <v>2007</v>
      </c>
    </row>
    <row r="146" spans="1:56" ht="57.75" customHeight="1" x14ac:dyDescent="0.25">
      <c r="A146" s="7" t="s">
        <v>58</v>
      </c>
      <c r="B146" s="2" t="s">
        <v>2008</v>
      </c>
      <c r="C146" s="2" t="s">
        <v>2009</v>
      </c>
      <c r="D146" s="2" t="s">
        <v>2010</v>
      </c>
      <c r="F146" s="3" t="s">
        <v>58</v>
      </c>
      <c r="G146" s="3" t="s">
        <v>59</v>
      </c>
      <c r="H146" s="3" t="s">
        <v>58</v>
      </c>
      <c r="I146" s="3" t="s">
        <v>58</v>
      </c>
      <c r="J146" s="3" t="s">
        <v>60</v>
      </c>
      <c r="K146" s="2" t="s">
        <v>2011</v>
      </c>
      <c r="L146" s="2" t="s">
        <v>2012</v>
      </c>
      <c r="M146" s="3" t="s">
        <v>233</v>
      </c>
      <c r="O146" s="3" t="s">
        <v>64</v>
      </c>
      <c r="P146" s="3" t="s">
        <v>637</v>
      </c>
      <c r="R146" s="3" t="s">
        <v>1093</v>
      </c>
      <c r="S146" s="4">
        <v>3</v>
      </c>
      <c r="T146" s="4">
        <v>3</v>
      </c>
      <c r="U146" s="5" t="s">
        <v>1255</v>
      </c>
      <c r="V146" s="5" t="s">
        <v>1255</v>
      </c>
      <c r="W146" s="5" t="s">
        <v>2013</v>
      </c>
      <c r="X146" s="5" t="s">
        <v>2013</v>
      </c>
      <c r="Y146" s="4">
        <v>641</v>
      </c>
      <c r="Z146" s="4">
        <v>607</v>
      </c>
      <c r="AA146" s="4">
        <v>648</v>
      </c>
      <c r="AB146" s="4">
        <v>6</v>
      </c>
      <c r="AC146" s="4">
        <v>6</v>
      </c>
      <c r="AD146" s="4">
        <v>21</v>
      </c>
      <c r="AE146" s="4">
        <v>22</v>
      </c>
      <c r="AF146" s="4">
        <v>8</v>
      </c>
      <c r="AG146" s="4">
        <v>8</v>
      </c>
      <c r="AH146" s="4">
        <v>5</v>
      </c>
      <c r="AI146" s="4">
        <v>6</v>
      </c>
      <c r="AJ146" s="4">
        <v>7</v>
      </c>
      <c r="AK146" s="4">
        <v>8</v>
      </c>
      <c r="AL146" s="4">
        <v>4</v>
      </c>
      <c r="AM146" s="4">
        <v>4</v>
      </c>
      <c r="AN146" s="4">
        <v>0</v>
      </c>
      <c r="AO146" s="4">
        <v>0</v>
      </c>
      <c r="AP146" s="3" t="s">
        <v>58</v>
      </c>
      <c r="AQ146" s="3" t="s">
        <v>69</v>
      </c>
      <c r="AR146" s="6" t="str">
        <f>HYPERLINK("http://catalog.hathitrust.org/Record/002912562","HathiTrust Record")</f>
        <v>HathiTrust Record</v>
      </c>
      <c r="AS146" s="6" t="str">
        <f>HYPERLINK("https://creighton-primo.hosted.exlibrisgroup.com/primo-explore/search?tab=default_tab&amp;search_scope=EVERYTHING&amp;vid=01CRU&amp;lang=en_US&amp;offset=0&amp;query=any,contains,991002395139702656","Catalog Record")</f>
        <v>Catalog Record</v>
      </c>
      <c r="AT146" s="6" t="str">
        <f>HYPERLINK("http://www.worldcat.org/oclc/31122447","WorldCat Record")</f>
        <v>WorldCat Record</v>
      </c>
      <c r="AU146" s="3" t="s">
        <v>2014</v>
      </c>
      <c r="AV146" s="3" t="s">
        <v>2015</v>
      </c>
      <c r="AW146" s="3" t="s">
        <v>2016</v>
      </c>
      <c r="AX146" s="3" t="s">
        <v>2016</v>
      </c>
      <c r="AY146" s="3" t="s">
        <v>2017</v>
      </c>
      <c r="AZ146" s="3" t="s">
        <v>74</v>
      </c>
      <c r="BB146" s="3" t="s">
        <v>2018</v>
      </c>
      <c r="BC146" s="3" t="s">
        <v>2019</v>
      </c>
      <c r="BD146" s="3" t="s">
        <v>2020</v>
      </c>
    </row>
    <row r="147" spans="1:56" ht="57.75" customHeight="1" x14ac:dyDescent="0.25">
      <c r="A147" s="7" t="s">
        <v>58</v>
      </c>
      <c r="B147" s="2" t="s">
        <v>2021</v>
      </c>
      <c r="C147" s="2" t="s">
        <v>2022</v>
      </c>
      <c r="D147" s="2" t="s">
        <v>2023</v>
      </c>
      <c r="F147" s="3" t="s">
        <v>58</v>
      </c>
      <c r="G147" s="3" t="s">
        <v>59</v>
      </c>
      <c r="H147" s="3" t="s">
        <v>58</v>
      </c>
      <c r="I147" s="3" t="s">
        <v>58</v>
      </c>
      <c r="J147" s="3" t="s">
        <v>60</v>
      </c>
      <c r="K147" s="2" t="s">
        <v>2024</v>
      </c>
      <c r="L147" s="2" t="s">
        <v>2025</v>
      </c>
      <c r="M147" s="3" t="s">
        <v>496</v>
      </c>
      <c r="O147" s="3" t="s">
        <v>64</v>
      </c>
      <c r="P147" s="3" t="s">
        <v>65</v>
      </c>
      <c r="R147" s="3" t="s">
        <v>1093</v>
      </c>
      <c r="S147" s="4">
        <v>3</v>
      </c>
      <c r="T147" s="4">
        <v>3</v>
      </c>
      <c r="U147" s="5" t="s">
        <v>2026</v>
      </c>
      <c r="V147" s="5" t="s">
        <v>2026</v>
      </c>
      <c r="W147" s="5" t="s">
        <v>2027</v>
      </c>
      <c r="X147" s="5" t="s">
        <v>2027</v>
      </c>
      <c r="Y147" s="4">
        <v>143</v>
      </c>
      <c r="Z147" s="4">
        <v>121</v>
      </c>
      <c r="AA147" s="4">
        <v>122</v>
      </c>
      <c r="AB147" s="4">
        <v>2</v>
      </c>
      <c r="AC147" s="4">
        <v>2</v>
      </c>
      <c r="AD147" s="4">
        <v>1</v>
      </c>
      <c r="AE147" s="4">
        <v>1</v>
      </c>
      <c r="AF147" s="4">
        <v>0</v>
      </c>
      <c r="AG147" s="4">
        <v>0</v>
      </c>
      <c r="AH147" s="4">
        <v>0</v>
      </c>
      <c r="AI147" s="4">
        <v>0</v>
      </c>
      <c r="AJ147" s="4">
        <v>0</v>
      </c>
      <c r="AK147" s="4">
        <v>0</v>
      </c>
      <c r="AL147" s="4">
        <v>1</v>
      </c>
      <c r="AM147" s="4">
        <v>1</v>
      </c>
      <c r="AN147" s="4">
        <v>0</v>
      </c>
      <c r="AO147" s="4">
        <v>0</v>
      </c>
      <c r="AP147" s="3" t="s">
        <v>58</v>
      </c>
      <c r="AQ147" s="3" t="s">
        <v>58</v>
      </c>
      <c r="AS147" s="6" t="str">
        <f>HYPERLINK("https://creighton-primo.hosted.exlibrisgroup.com/primo-explore/search?tab=default_tab&amp;search_scope=EVERYTHING&amp;vid=01CRU&amp;lang=en_US&amp;offset=0&amp;query=any,contains,991004682279702656","Catalog Record")</f>
        <v>Catalog Record</v>
      </c>
      <c r="AT147" s="6" t="str">
        <f>HYPERLINK("http://www.worldcat.org/oclc/4572836","WorldCat Record")</f>
        <v>WorldCat Record</v>
      </c>
      <c r="AU147" s="3" t="s">
        <v>2028</v>
      </c>
      <c r="AV147" s="3" t="s">
        <v>2029</v>
      </c>
      <c r="AW147" s="3" t="s">
        <v>2030</v>
      </c>
      <c r="AX147" s="3" t="s">
        <v>2030</v>
      </c>
      <c r="AY147" s="3" t="s">
        <v>2031</v>
      </c>
      <c r="AZ147" s="3" t="s">
        <v>74</v>
      </c>
      <c r="BC147" s="3" t="s">
        <v>2032</v>
      </c>
      <c r="BD147" s="3" t="s">
        <v>2033</v>
      </c>
    </row>
    <row r="148" spans="1:56" ht="57.75" customHeight="1" x14ac:dyDescent="0.25">
      <c r="A148" s="7" t="s">
        <v>58</v>
      </c>
      <c r="B148" s="2" t="s">
        <v>2034</v>
      </c>
      <c r="C148" s="2" t="s">
        <v>2035</v>
      </c>
      <c r="D148" s="2" t="s">
        <v>2036</v>
      </c>
      <c r="F148" s="3" t="s">
        <v>58</v>
      </c>
      <c r="G148" s="3" t="s">
        <v>59</v>
      </c>
      <c r="H148" s="3" t="s">
        <v>58</v>
      </c>
      <c r="I148" s="3" t="s">
        <v>58</v>
      </c>
      <c r="J148" s="3" t="s">
        <v>60</v>
      </c>
      <c r="K148" s="2" t="s">
        <v>2037</v>
      </c>
      <c r="L148" s="2" t="s">
        <v>2038</v>
      </c>
      <c r="M148" s="3" t="s">
        <v>763</v>
      </c>
      <c r="N148" s="2" t="s">
        <v>1106</v>
      </c>
      <c r="O148" s="3" t="s">
        <v>64</v>
      </c>
      <c r="P148" s="3" t="s">
        <v>65</v>
      </c>
      <c r="R148" s="3" t="s">
        <v>1093</v>
      </c>
      <c r="S148" s="4">
        <v>6</v>
      </c>
      <c r="T148" s="4">
        <v>6</v>
      </c>
      <c r="U148" s="5" t="s">
        <v>2039</v>
      </c>
      <c r="V148" s="5" t="s">
        <v>2039</v>
      </c>
      <c r="W148" s="5" t="s">
        <v>2040</v>
      </c>
      <c r="X148" s="5" t="s">
        <v>2040</v>
      </c>
      <c r="Y148" s="4">
        <v>323</v>
      </c>
      <c r="Z148" s="4">
        <v>276</v>
      </c>
      <c r="AA148" s="4">
        <v>837</v>
      </c>
      <c r="AB148" s="4">
        <v>5</v>
      </c>
      <c r="AC148" s="4">
        <v>6</v>
      </c>
      <c r="AD148" s="4">
        <v>9</v>
      </c>
      <c r="AE148" s="4">
        <v>21</v>
      </c>
      <c r="AF148" s="4">
        <v>4</v>
      </c>
      <c r="AG148" s="4">
        <v>10</v>
      </c>
      <c r="AH148" s="4">
        <v>0</v>
      </c>
      <c r="AI148" s="4">
        <v>5</v>
      </c>
      <c r="AJ148" s="4">
        <v>4</v>
      </c>
      <c r="AK148" s="4">
        <v>8</v>
      </c>
      <c r="AL148" s="4">
        <v>3</v>
      </c>
      <c r="AM148" s="4">
        <v>4</v>
      </c>
      <c r="AN148" s="4">
        <v>0</v>
      </c>
      <c r="AO148" s="4">
        <v>0</v>
      </c>
      <c r="AP148" s="3" t="s">
        <v>58</v>
      </c>
      <c r="AQ148" s="3" t="s">
        <v>69</v>
      </c>
      <c r="AR148" s="6" t="str">
        <f>HYPERLINK("http://catalog.hathitrust.org/Record/002238180","HathiTrust Record")</f>
        <v>HathiTrust Record</v>
      </c>
      <c r="AS148" s="6" t="str">
        <f>HYPERLINK("https://creighton-primo.hosted.exlibrisgroup.com/primo-explore/search?tab=default_tab&amp;search_scope=EVERYTHING&amp;vid=01CRU&amp;lang=en_US&amp;offset=0&amp;query=any,contains,991001671769702656","Catalog Record")</f>
        <v>Catalog Record</v>
      </c>
      <c r="AT148" s="6" t="str">
        <f>HYPERLINK("http://www.worldcat.org/oclc/21295168","WorldCat Record")</f>
        <v>WorldCat Record</v>
      </c>
      <c r="AU148" s="3" t="s">
        <v>2041</v>
      </c>
      <c r="AV148" s="3" t="s">
        <v>2042</v>
      </c>
      <c r="AW148" s="3" t="s">
        <v>2043</v>
      </c>
      <c r="AX148" s="3" t="s">
        <v>2043</v>
      </c>
      <c r="AY148" s="3" t="s">
        <v>2044</v>
      </c>
      <c r="AZ148" s="3" t="s">
        <v>74</v>
      </c>
      <c r="BB148" s="3" t="s">
        <v>2045</v>
      </c>
      <c r="BC148" s="3" t="s">
        <v>2046</v>
      </c>
      <c r="BD148" s="3" t="s">
        <v>2047</v>
      </c>
    </row>
    <row r="149" spans="1:56" ht="57.75" customHeight="1" x14ac:dyDescent="0.25">
      <c r="A149" s="7" t="s">
        <v>58</v>
      </c>
      <c r="B149" s="2" t="s">
        <v>2048</v>
      </c>
      <c r="C149" s="2" t="s">
        <v>2049</v>
      </c>
      <c r="D149" s="2" t="s">
        <v>2050</v>
      </c>
      <c r="F149" s="3" t="s">
        <v>58</v>
      </c>
      <c r="G149" s="3" t="s">
        <v>59</v>
      </c>
      <c r="H149" s="3" t="s">
        <v>58</v>
      </c>
      <c r="I149" s="3" t="s">
        <v>58</v>
      </c>
      <c r="J149" s="3" t="s">
        <v>60</v>
      </c>
      <c r="K149" s="2" t="s">
        <v>2051</v>
      </c>
      <c r="L149" s="2" t="s">
        <v>2052</v>
      </c>
      <c r="M149" s="3" t="s">
        <v>1120</v>
      </c>
      <c r="O149" s="3" t="s">
        <v>64</v>
      </c>
      <c r="P149" s="3" t="s">
        <v>339</v>
      </c>
      <c r="R149" s="3" t="s">
        <v>1093</v>
      </c>
      <c r="S149" s="4">
        <v>8</v>
      </c>
      <c r="T149" s="4">
        <v>8</v>
      </c>
      <c r="U149" s="5" t="s">
        <v>2053</v>
      </c>
      <c r="V149" s="5" t="s">
        <v>2053</v>
      </c>
      <c r="W149" s="5" t="s">
        <v>1902</v>
      </c>
      <c r="X149" s="5" t="s">
        <v>1902</v>
      </c>
      <c r="Y149" s="4">
        <v>303</v>
      </c>
      <c r="Z149" s="4">
        <v>237</v>
      </c>
      <c r="AA149" s="4">
        <v>238</v>
      </c>
      <c r="AB149" s="4">
        <v>3</v>
      </c>
      <c r="AC149" s="4">
        <v>3</v>
      </c>
      <c r="AD149" s="4">
        <v>3</v>
      </c>
      <c r="AE149" s="4">
        <v>3</v>
      </c>
      <c r="AF149" s="4">
        <v>2</v>
      </c>
      <c r="AG149" s="4">
        <v>2</v>
      </c>
      <c r="AH149" s="4">
        <v>0</v>
      </c>
      <c r="AI149" s="4">
        <v>0</v>
      </c>
      <c r="AJ149" s="4">
        <v>1</v>
      </c>
      <c r="AK149" s="4">
        <v>1</v>
      </c>
      <c r="AL149" s="4">
        <v>1</v>
      </c>
      <c r="AM149" s="4">
        <v>1</v>
      </c>
      <c r="AN149" s="4">
        <v>0</v>
      </c>
      <c r="AO149" s="4">
        <v>0</v>
      </c>
      <c r="AP149" s="3" t="s">
        <v>58</v>
      </c>
      <c r="AQ149" s="3" t="s">
        <v>58</v>
      </c>
      <c r="AS149" s="6" t="str">
        <f>HYPERLINK("https://creighton-primo.hosted.exlibrisgroup.com/primo-explore/search?tab=default_tab&amp;search_scope=EVERYTHING&amp;vid=01CRU&amp;lang=en_US&amp;offset=0&amp;query=any,contains,991000747319702656","Catalog Record")</f>
        <v>Catalog Record</v>
      </c>
      <c r="AT149" s="6" t="str">
        <f>HYPERLINK("http://www.worldcat.org/oclc/12877445","WorldCat Record")</f>
        <v>WorldCat Record</v>
      </c>
      <c r="AU149" s="3" t="s">
        <v>2054</v>
      </c>
      <c r="AV149" s="3" t="s">
        <v>2055</v>
      </c>
      <c r="AW149" s="3" t="s">
        <v>2056</v>
      </c>
      <c r="AX149" s="3" t="s">
        <v>2056</v>
      </c>
      <c r="AY149" s="3" t="s">
        <v>2057</v>
      </c>
      <c r="AZ149" s="3" t="s">
        <v>74</v>
      </c>
      <c r="BB149" s="3" t="s">
        <v>2058</v>
      </c>
      <c r="BC149" s="3" t="s">
        <v>2059</v>
      </c>
      <c r="BD149" s="3" t="s">
        <v>2060</v>
      </c>
    </row>
    <row r="150" spans="1:56" ht="57.75" customHeight="1" x14ac:dyDescent="0.25">
      <c r="A150" s="7" t="s">
        <v>58</v>
      </c>
      <c r="B150" s="2" t="s">
        <v>2061</v>
      </c>
      <c r="C150" s="2" t="s">
        <v>2062</v>
      </c>
      <c r="D150" s="2" t="s">
        <v>2063</v>
      </c>
      <c r="F150" s="3" t="s">
        <v>58</v>
      </c>
      <c r="G150" s="3" t="s">
        <v>59</v>
      </c>
      <c r="H150" s="3" t="s">
        <v>58</v>
      </c>
      <c r="I150" s="3" t="s">
        <v>58</v>
      </c>
      <c r="J150" s="3" t="s">
        <v>60</v>
      </c>
      <c r="K150" s="2" t="s">
        <v>2064</v>
      </c>
      <c r="L150" s="2" t="s">
        <v>2065</v>
      </c>
      <c r="M150" s="3" t="s">
        <v>323</v>
      </c>
      <c r="O150" s="3" t="s">
        <v>64</v>
      </c>
      <c r="P150" s="3" t="s">
        <v>179</v>
      </c>
      <c r="R150" s="3" t="s">
        <v>1093</v>
      </c>
      <c r="S150" s="4">
        <v>10</v>
      </c>
      <c r="T150" s="4">
        <v>10</v>
      </c>
      <c r="U150" s="5" t="s">
        <v>1916</v>
      </c>
      <c r="V150" s="5" t="s">
        <v>1916</v>
      </c>
      <c r="W150" s="5" t="s">
        <v>1902</v>
      </c>
      <c r="X150" s="5" t="s">
        <v>1902</v>
      </c>
      <c r="Y150" s="4">
        <v>276</v>
      </c>
      <c r="Z150" s="4">
        <v>267</v>
      </c>
      <c r="AA150" s="4">
        <v>268</v>
      </c>
      <c r="AB150" s="4">
        <v>2</v>
      </c>
      <c r="AC150" s="4">
        <v>2</v>
      </c>
      <c r="AD150" s="4">
        <v>4</v>
      </c>
      <c r="AE150" s="4">
        <v>4</v>
      </c>
      <c r="AF150" s="4">
        <v>2</v>
      </c>
      <c r="AG150" s="4">
        <v>2</v>
      </c>
      <c r="AH150" s="4">
        <v>2</v>
      </c>
      <c r="AI150" s="4">
        <v>2</v>
      </c>
      <c r="AJ150" s="4">
        <v>2</v>
      </c>
      <c r="AK150" s="4">
        <v>2</v>
      </c>
      <c r="AL150" s="4">
        <v>1</v>
      </c>
      <c r="AM150" s="4">
        <v>1</v>
      </c>
      <c r="AN150" s="4">
        <v>0</v>
      </c>
      <c r="AO150" s="4">
        <v>0</v>
      </c>
      <c r="AP150" s="3" t="s">
        <v>58</v>
      </c>
      <c r="AQ150" s="3" t="s">
        <v>58</v>
      </c>
      <c r="AS150" s="6" t="str">
        <f>HYPERLINK("https://creighton-primo.hosted.exlibrisgroup.com/primo-explore/search?tab=default_tab&amp;search_scope=EVERYTHING&amp;vid=01CRU&amp;lang=en_US&amp;offset=0&amp;query=any,contains,991001350949702656","Catalog Record")</f>
        <v>Catalog Record</v>
      </c>
      <c r="AT150" s="6" t="str">
        <f>HYPERLINK("http://www.worldcat.org/oclc/18441938","WorldCat Record")</f>
        <v>WorldCat Record</v>
      </c>
      <c r="AU150" s="3" t="s">
        <v>2066</v>
      </c>
      <c r="AV150" s="3" t="s">
        <v>2067</v>
      </c>
      <c r="AW150" s="3" t="s">
        <v>2068</v>
      </c>
      <c r="AX150" s="3" t="s">
        <v>2068</v>
      </c>
      <c r="AY150" s="3" t="s">
        <v>2069</v>
      </c>
      <c r="AZ150" s="3" t="s">
        <v>74</v>
      </c>
      <c r="BB150" s="3" t="s">
        <v>2070</v>
      </c>
      <c r="BC150" s="3" t="s">
        <v>2071</v>
      </c>
      <c r="BD150" s="3" t="s">
        <v>2072</v>
      </c>
    </row>
    <row r="151" spans="1:56" ht="57.75" customHeight="1" x14ac:dyDescent="0.25">
      <c r="A151" s="7" t="s">
        <v>58</v>
      </c>
      <c r="B151" s="2" t="s">
        <v>2073</v>
      </c>
      <c r="C151" s="2" t="s">
        <v>2074</v>
      </c>
      <c r="D151" s="2" t="s">
        <v>2075</v>
      </c>
      <c r="F151" s="3" t="s">
        <v>58</v>
      </c>
      <c r="G151" s="3" t="s">
        <v>59</v>
      </c>
      <c r="H151" s="3" t="s">
        <v>58</v>
      </c>
      <c r="I151" s="3" t="s">
        <v>58</v>
      </c>
      <c r="J151" s="3" t="s">
        <v>60</v>
      </c>
      <c r="K151" s="2" t="s">
        <v>2076</v>
      </c>
      <c r="L151" s="2" t="s">
        <v>2077</v>
      </c>
      <c r="M151" s="3" t="s">
        <v>249</v>
      </c>
      <c r="O151" s="3" t="s">
        <v>64</v>
      </c>
      <c r="P151" s="3" t="s">
        <v>65</v>
      </c>
      <c r="R151" s="3" t="s">
        <v>1093</v>
      </c>
      <c r="S151" s="4">
        <v>1</v>
      </c>
      <c r="T151" s="4">
        <v>1</v>
      </c>
      <c r="U151" s="5" t="s">
        <v>2078</v>
      </c>
      <c r="V151" s="5" t="s">
        <v>2078</v>
      </c>
      <c r="W151" s="5" t="s">
        <v>2078</v>
      </c>
      <c r="X151" s="5" t="s">
        <v>2078</v>
      </c>
      <c r="Y151" s="4">
        <v>619</v>
      </c>
      <c r="Z151" s="4">
        <v>566</v>
      </c>
      <c r="AA151" s="4">
        <v>572</v>
      </c>
      <c r="AB151" s="4">
        <v>6</v>
      </c>
      <c r="AC151" s="4">
        <v>6</v>
      </c>
      <c r="AD151" s="4">
        <v>19</v>
      </c>
      <c r="AE151" s="4">
        <v>19</v>
      </c>
      <c r="AF151" s="4">
        <v>8</v>
      </c>
      <c r="AG151" s="4">
        <v>8</v>
      </c>
      <c r="AH151" s="4">
        <v>2</v>
      </c>
      <c r="AI151" s="4">
        <v>2</v>
      </c>
      <c r="AJ151" s="4">
        <v>8</v>
      </c>
      <c r="AK151" s="4">
        <v>8</v>
      </c>
      <c r="AL151" s="4">
        <v>4</v>
      </c>
      <c r="AM151" s="4">
        <v>4</v>
      </c>
      <c r="AN151" s="4">
        <v>0</v>
      </c>
      <c r="AO151" s="4">
        <v>0</v>
      </c>
      <c r="AP151" s="3" t="s">
        <v>58</v>
      </c>
      <c r="AQ151" s="3" t="s">
        <v>69</v>
      </c>
      <c r="AR151" s="6" t="str">
        <f>HYPERLINK("http://catalog.hathitrust.org/Record/004912982","HathiTrust Record")</f>
        <v>HathiTrust Record</v>
      </c>
      <c r="AS151" s="6" t="str">
        <f>HYPERLINK("https://creighton-primo.hosted.exlibrisgroup.com/primo-explore/search?tab=default_tab&amp;search_scope=EVERYTHING&amp;vid=01CRU&amp;lang=en_US&amp;offset=0&amp;query=any,contains,991004419369702656","Catalog Record")</f>
        <v>Catalog Record</v>
      </c>
      <c r="AT151" s="6" t="str">
        <f>HYPERLINK("http://www.worldcat.org/oclc/55085826","WorldCat Record")</f>
        <v>WorldCat Record</v>
      </c>
      <c r="AU151" s="3" t="s">
        <v>2079</v>
      </c>
      <c r="AV151" s="3" t="s">
        <v>2080</v>
      </c>
      <c r="AW151" s="3" t="s">
        <v>2081</v>
      </c>
      <c r="AX151" s="3" t="s">
        <v>2081</v>
      </c>
      <c r="AY151" s="3" t="s">
        <v>2082</v>
      </c>
      <c r="AZ151" s="3" t="s">
        <v>74</v>
      </c>
      <c r="BB151" s="3" t="s">
        <v>2083</v>
      </c>
      <c r="BC151" s="3" t="s">
        <v>2084</v>
      </c>
      <c r="BD151" s="3" t="s">
        <v>2085</v>
      </c>
    </row>
    <row r="152" spans="1:56" ht="57.75" customHeight="1" x14ac:dyDescent="0.25">
      <c r="A152" s="7" t="s">
        <v>58</v>
      </c>
      <c r="B152" s="2" t="s">
        <v>2086</v>
      </c>
      <c r="C152" s="2" t="s">
        <v>2087</v>
      </c>
      <c r="D152" s="2" t="s">
        <v>2088</v>
      </c>
      <c r="F152" s="3" t="s">
        <v>58</v>
      </c>
      <c r="G152" s="3" t="s">
        <v>59</v>
      </c>
      <c r="H152" s="3" t="s">
        <v>58</v>
      </c>
      <c r="I152" s="3" t="s">
        <v>58</v>
      </c>
      <c r="J152" s="3" t="s">
        <v>60</v>
      </c>
      <c r="K152" s="2" t="s">
        <v>2089</v>
      </c>
      <c r="L152" s="2" t="s">
        <v>2090</v>
      </c>
      <c r="M152" s="3" t="s">
        <v>1474</v>
      </c>
      <c r="N152" s="2" t="s">
        <v>930</v>
      </c>
      <c r="O152" s="3" t="s">
        <v>64</v>
      </c>
      <c r="P152" s="3" t="s">
        <v>234</v>
      </c>
      <c r="R152" s="3" t="s">
        <v>1093</v>
      </c>
      <c r="S152" s="4">
        <v>2</v>
      </c>
      <c r="T152" s="4">
        <v>2</v>
      </c>
      <c r="U152" s="5" t="s">
        <v>2091</v>
      </c>
      <c r="V152" s="5" t="s">
        <v>2091</v>
      </c>
      <c r="W152" s="5" t="s">
        <v>2092</v>
      </c>
      <c r="X152" s="5" t="s">
        <v>2092</v>
      </c>
      <c r="Y152" s="4">
        <v>244</v>
      </c>
      <c r="Z152" s="4">
        <v>236</v>
      </c>
      <c r="AA152" s="4">
        <v>513</v>
      </c>
      <c r="AB152" s="4">
        <v>4</v>
      </c>
      <c r="AC152" s="4">
        <v>5</v>
      </c>
      <c r="AD152" s="4">
        <v>5</v>
      </c>
      <c r="AE152" s="4">
        <v>9</v>
      </c>
      <c r="AF152" s="4">
        <v>1</v>
      </c>
      <c r="AG152" s="4">
        <v>1</v>
      </c>
      <c r="AH152" s="4">
        <v>1</v>
      </c>
      <c r="AI152" s="4">
        <v>3</v>
      </c>
      <c r="AJ152" s="4">
        <v>1</v>
      </c>
      <c r="AK152" s="4">
        <v>4</v>
      </c>
      <c r="AL152" s="4">
        <v>2</v>
      </c>
      <c r="AM152" s="4">
        <v>2</v>
      </c>
      <c r="AN152" s="4">
        <v>0</v>
      </c>
      <c r="AO152" s="4">
        <v>0</v>
      </c>
      <c r="AP152" s="3" t="s">
        <v>58</v>
      </c>
      <c r="AQ152" s="3" t="s">
        <v>58</v>
      </c>
      <c r="AR152" s="6" t="str">
        <f>HYPERLINK("http://catalog.hathitrust.org/Record/102435510","HathiTrust Record")</f>
        <v>HathiTrust Record</v>
      </c>
      <c r="AS152" s="6" t="str">
        <f>HYPERLINK("https://creighton-primo.hosted.exlibrisgroup.com/primo-explore/search?tab=default_tab&amp;search_scope=EVERYTHING&amp;vid=01CRU&amp;lang=en_US&amp;offset=0&amp;query=any,contains,991003668909702656","Catalog Record")</f>
        <v>Catalog Record</v>
      </c>
      <c r="AT152" s="6" t="str">
        <f>HYPERLINK("http://www.worldcat.org/oclc/1285008","WorldCat Record")</f>
        <v>WorldCat Record</v>
      </c>
      <c r="AU152" s="3" t="s">
        <v>2093</v>
      </c>
      <c r="AV152" s="3" t="s">
        <v>2094</v>
      </c>
      <c r="AW152" s="3" t="s">
        <v>2095</v>
      </c>
      <c r="AX152" s="3" t="s">
        <v>2095</v>
      </c>
      <c r="AY152" s="3" t="s">
        <v>2096</v>
      </c>
      <c r="AZ152" s="3" t="s">
        <v>74</v>
      </c>
      <c r="BC152" s="3" t="s">
        <v>2097</v>
      </c>
      <c r="BD152" s="3" t="s">
        <v>2098</v>
      </c>
    </row>
    <row r="153" spans="1:56" ht="57.75" customHeight="1" x14ac:dyDescent="0.25">
      <c r="A153" s="7" t="s">
        <v>58</v>
      </c>
      <c r="B153" s="2" t="s">
        <v>2099</v>
      </c>
      <c r="C153" s="2" t="s">
        <v>2100</v>
      </c>
      <c r="D153" s="2" t="s">
        <v>2101</v>
      </c>
      <c r="F153" s="3" t="s">
        <v>58</v>
      </c>
      <c r="G153" s="3" t="s">
        <v>59</v>
      </c>
      <c r="H153" s="3" t="s">
        <v>58</v>
      </c>
      <c r="I153" s="3" t="s">
        <v>58</v>
      </c>
      <c r="J153" s="3" t="s">
        <v>60</v>
      </c>
      <c r="K153" s="2" t="s">
        <v>2102</v>
      </c>
      <c r="L153" s="2" t="s">
        <v>2103</v>
      </c>
      <c r="M153" s="3" t="s">
        <v>2104</v>
      </c>
      <c r="O153" s="3" t="s">
        <v>64</v>
      </c>
      <c r="P153" s="3" t="s">
        <v>65</v>
      </c>
      <c r="R153" s="3" t="s">
        <v>1093</v>
      </c>
      <c r="S153" s="4">
        <v>7</v>
      </c>
      <c r="T153" s="4">
        <v>7</v>
      </c>
      <c r="U153" s="5" t="s">
        <v>399</v>
      </c>
      <c r="V153" s="5" t="s">
        <v>399</v>
      </c>
      <c r="W153" s="5" t="s">
        <v>2105</v>
      </c>
      <c r="X153" s="5" t="s">
        <v>2105</v>
      </c>
      <c r="Y153" s="4">
        <v>493</v>
      </c>
      <c r="Z153" s="4">
        <v>456</v>
      </c>
      <c r="AA153" s="4">
        <v>495</v>
      </c>
      <c r="AB153" s="4">
        <v>4</v>
      </c>
      <c r="AC153" s="4">
        <v>4</v>
      </c>
      <c r="AD153" s="4">
        <v>4</v>
      </c>
      <c r="AE153" s="4">
        <v>4</v>
      </c>
      <c r="AF153" s="4">
        <v>1</v>
      </c>
      <c r="AG153" s="4">
        <v>1</v>
      </c>
      <c r="AH153" s="4">
        <v>0</v>
      </c>
      <c r="AI153" s="4">
        <v>0</v>
      </c>
      <c r="AJ153" s="4">
        <v>2</v>
      </c>
      <c r="AK153" s="4">
        <v>2</v>
      </c>
      <c r="AL153" s="4">
        <v>2</v>
      </c>
      <c r="AM153" s="4">
        <v>2</v>
      </c>
      <c r="AN153" s="4">
        <v>0</v>
      </c>
      <c r="AO153" s="4">
        <v>0</v>
      </c>
      <c r="AP153" s="3" t="s">
        <v>58</v>
      </c>
      <c r="AQ153" s="3" t="s">
        <v>58</v>
      </c>
      <c r="AS153" s="6" t="str">
        <f>HYPERLINK("https://creighton-primo.hosted.exlibrisgroup.com/primo-explore/search?tab=default_tab&amp;search_scope=EVERYTHING&amp;vid=01CRU&amp;lang=en_US&amp;offset=0&amp;query=any,contains,991003191289702656","Catalog Record")</f>
        <v>Catalog Record</v>
      </c>
      <c r="AT153" s="6" t="str">
        <f>HYPERLINK("http://www.worldcat.org/oclc/716530","WorldCat Record")</f>
        <v>WorldCat Record</v>
      </c>
      <c r="AU153" s="3" t="s">
        <v>2106</v>
      </c>
      <c r="AV153" s="3" t="s">
        <v>2107</v>
      </c>
      <c r="AW153" s="3" t="s">
        <v>2108</v>
      </c>
      <c r="AX153" s="3" t="s">
        <v>2108</v>
      </c>
      <c r="AY153" s="3" t="s">
        <v>2109</v>
      </c>
      <c r="AZ153" s="3" t="s">
        <v>74</v>
      </c>
      <c r="BC153" s="3" t="s">
        <v>2110</v>
      </c>
      <c r="BD153" s="3" t="s">
        <v>2111</v>
      </c>
    </row>
    <row r="154" spans="1:56" ht="57.75" customHeight="1" x14ac:dyDescent="0.25">
      <c r="A154" s="7" t="s">
        <v>58</v>
      </c>
      <c r="B154" s="2" t="s">
        <v>2112</v>
      </c>
      <c r="C154" s="2" t="s">
        <v>2113</v>
      </c>
      <c r="D154" s="2" t="s">
        <v>2114</v>
      </c>
      <c r="F154" s="3" t="s">
        <v>58</v>
      </c>
      <c r="G154" s="3" t="s">
        <v>59</v>
      </c>
      <c r="H154" s="3" t="s">
        <v>58</v>
      </c>
      <c r="I154" s="3" t="s">
        <v>58</v>
      </c>
      <c r="J154" s="3" t="s">
        <v>60</v>
      </c>
      <c r="K154" s="2" t="s">
        <v>2115</v>
      </c>
      <c r="L154" s="2" t="s">
        <v>2116</v>
      </c>
      <c r="M154" s="3" t="s">
        <v>1588</v>
      </c>
      <c r="O154" s="3" t="s">
        <v>64</v>
      </c>
      <c r="P154" s="3" t="s">
        <v>65</v>
      </c>
      <c r="R154" s="3" t="s">
        <v>1093</v>
      </c>
      <c r="S154" s="4">
        <v>14</v>
      </c>
      <c r="T154" s="4">
        <v>14</v>
      </c>
      <c r="U154" s="5" t="s">
        <v>2117</v>
      </c>
      <c r="V154" s="5" t="s">
        <v>2117</v>
      </c>
      <c r="W154" s="5" t="s">
        <v>2118</v>
      </c>
      <c r="X154" s="5" t="s">
        <v>2118</v>
      </c>
      <c r="Y154" s="4">
        <v>715</v>
      </c>
      <c r="Z154" s="4">
        <v>688</v>
      </c>
      <c r="AA154" s="4">
        <v>700</v>
      </c>
      <c r="AB154" s="4">
        <v>6</v>
      </c>
      <c r="AC154" s="4">
        <v>6</v>
      </c>
      <c r="AD154" s="4">
        <v>8</v>
      </c>
      <c r="AE154" s="4">
        <v>8</v>
      </c>
      <c r="AF154" s="4">
        <v>4</v>
      </c>
      <c r="AG154" s="4">
        <v>4</v>
      </c>
      <c r="AH154" s="4">
        <v>1</v>
      </c>
      <c r="AI154" s="4">
        <v>1</v>
      </c>
      <c r="AJ154" s="4">
        <v>1</v>
      </c>
      <c r="AK154" s="4">
        <v>1</v>
      </c>
      <c r="AL154" s="4">
        <v>3</v>
      </c>
      <c r="AM154" s="4">
        <v>3</v>
      </c>
      <c r="AN154" s="4">
        <v>0</v>
      </c>
      <c r="AO154" s="4">
        <v>0</v>
      </c>
      <c r="AP154" s="3" t="s">
        <v>58</v>
      </c>
      <c r="AQ154" s="3" t="s">
        <v>58</v>
      </c>
      <c r="AS154" s="6" t="str">
        <f>HYPERLINK("https://creighton-primo.hosted.exlibrisgroup.com/primo-explore/search?tab=default_tab&amp;search_scope=EVERYTHING&amp;vid=01CRU&amp;lang=en_US&amp;offset=0&amp;query=any,contains,991002392129702656","Catalog Record")</f>
        <v>Catalog Record</v>
      </c>
      <c r="AT154" s="6" t="str">
        <f>HYPERLINK("http://www.worldcat.org/oclc/332891","WorldCat Record")</f>
        <v>WorldCat Record</v>
      </c>
      <c r="AU154" s="3" t="s">
        <v>2119</v>
      </c>
      <c r="AV154" s="3" t="s">
        <v>2120</v>
      </c>
      <c r="AW154" s="3" t="s">
        <v>2121</v>
      </c>
      <c r="AX154" s="3" t="s">
        <v>2121</v>
      </c>
      <c r="AY154" s="3" t="s">
        <v>2122</v>
      </c>
      <c r="AZ154" s="3" t="s">
        <v>74</v>
      </c>
      <c r="BC154" s="3" t="s">
        <v>2123</v>
      </c>
      <c r="BD154" s="3" t="s">
        <v>2124</v>
      </c>
    </row>
    <row r="155" spans="1:56" ht="57.75" customHeight="1" x14ac:dyDescent="0.25">
      <c r="A155" s="7" t="s">
        <v>58</v>
      </c>
      <c r="B155" s="2" t="s">
        <v>2125</v>
      </c>
      <c r="C155" s="2" t="s">
        <v>2126</v>
      </c>
      <c r="D155" s="2" t="s">
        <v>2127</v>
      </c>
      <c r="F155" s="3" t="s">
        <v>58</v>
      </c>
      <c r="G155" s="3" t="s">
        <v>59</v>
      </c>
      <c r="H155" s="3" t="s">
        <v>58</v>
      </c>
      <c r="I155" s="3" t="s">
        <v>58</v>
      </c>
      <c r="J155" s="3" t="s">
        <v>60</v>
      </c>
      <c r="L155" s="2" t="s">
        <v>2128</v>
      </c>
      <c r="M155" s="3" t="s">
        <v>1148</v>
      </c>
      <c r="N155" s="2" t="s">
        <v>606</v>
      </c>
      <c r="O155" s="3" t="s">
        <v>64</v>
      </c>
      <c r="P155" s="3" t="s">
        <v>65</v>
      </c>
      <c r="Q155" s="2" t="s">
        <v>2129</v>
      </c>
      <c r="R155" s="3" t="s">
        <v>1093</v>
      </c>
      <c r="S155" s="4">
        <v>3</v>
      </c>
      <c r="T155" s="4">
        <v>3</v>
      </c>
      <c r="U155" s="5" t="s">
        <v>2130</v>
      </c>
      <c r="V155" s="5" t="s">
        <v>2130</v>
      </c>
      <c r="W155" s="5" t="s">
        <v>1296</v>
      </c>
      <c r="X155" s="5" t="s">
        <v>1296</v>
      </c>
      <c r="Y155" s="4">
        <v>892</v>
      </c>
      <c r="Z155" s="4">
        <v>816</v>
      </c>
      <c r="AA155" s="4">
        <v>916</v>
      </c>
      <c r="AB155" s="4">
        <v>5</v>
      </c>
      <c r="AC155" s="4">
        <v>5</v>
      </c>
      <c r="AD155" s="4">
        <v>18</v>
      </c>
      <c r="AE155" s="4">
        <v>18</v>
      </c>
      <c r="AF155" s="4">
        <v>8</v>
      </c>
      <c r="AG155" s="4">
        <v>8</v>
      </c>
      <c r="AH155" s="4">
        <v>3</v>
      </c>
      <c r="AI155" s="4">
        <v>3</v>
      </c>
      <c r="AJ155" s="4">
        <v>6</v>
      </c>
      <c r="AK155" s="4">
        <v>6</v>
      </c>
      <c r="AL155" s="4">
        <v>4</v>
      </c>
      <c r="AM155" s="4">
        <v>4</v>
      </c>
      <c r="AN155" s="4">
        <v>0</v>
      </c>
      <c r="AO155" s="4">
        <v>0</v>
      </c>
      <c r="AP155" s="3" t="s">
        <v>58</v>
      </c>
      <c r="AQ155" s="3" t="s">
        <v>69</v>
      </c>
      <c r="AR155" s="6" t="str">
        <f>HYPERLINK("http://catalog.hathitrust.org/Record/005137095","HathiTrust Record")</f>
        <v>HathiTrust Record</v>
      </c>
      <c r="AS155" s="6" t="str">
        <f>HYPERLINK("https://creighton-primo.hosted.exlibrisgroup.com/primo-explore/search?tab=default_tab&amp;search_scope=EVERYTHING&amp;vid=01CRU&amp;lang=en_US&amp;offset=0&amp;query=any,contains,991004701399702656","Catalog Record")</f>
        <v>Catalog Record</v>
      </c>
      <c r="AT155" s="6" t="str">
        <f>HYPERLINK("http://www.worldcat.org/oclc/57143256","WorldCat Record")</f>
        <v>WorldCat Record</v>
      </c>
      <c r="AU155" s="3" t="s">
        <v>2131</v>
      </c>
      <c r="AV155" s="3" t="s">
        <v>2132</v>
      </c>
      <c r="AW155" s="3" t="s">
        <v>2133</v>
      </c>
      <c r="AX155" s="3" t="s">
        <v>2133</v>
      </c>
      <c r="AY155" s="3" t="s">
        <v>2134</v>
      </c>
      <c r="AZ155" s="3" t="s">
        <v>74</v>
      </c>
      <c r="BB155" s="3" t="s">
        <v>2135</v>
      </c>
      <c r="BC155" s="3" t="s">
        <v>2136</v>
      </c>
      <c r="BD155" s="3" t="s">
        <v>2137</v>
      </c>
    </row>
    <row r="156" spans="1:56" ht="57.75" customHeight="1" x14ac:dyDescent="0.25">
      <c r="A156" s="7" t="s">
        <v>58</v>
      </c>
      <c r="B156" s="2" t="s">
        <v>2138</v>
      </c>
      <c r="C156" s="2" t="s">
        <v>2139</v>
      </c>
      <c r="D156" s="2" t="s">
        <v>2140</v>
      </c>
      <c r="F156" s="3" t="s">
        <v>58</v>
      </c>
      <c r="G156" s="3" t="s">
        <v>59</v>
      </c>
      <c r="H156" s="3" t="s">
        <v>58</v>
      </c>
      <c r="I156" s="3" t="s">
        <v>58</v>
      </c>
      <c r="J156" s="3" t="s">
        <v>60</v>
      </c>
      <c r="K156" s="2" t="s">
        <v>2141</v>
      </c>
      <c r="L156" s="2" t="s">
        <v>2142</v>
      </c>
      <c r="M156" s="3" t="s">
        <v>1886</v>
      </c>
      <c r="O156" s="3" t="s">
        <v>64</v>
      </c>
      <c r="P156" s="3" t="s">
        <v>65</v>
      </c>
      <c r="R156" s="3" t="s">
        <v>1093</v>
      </c>
      <c r="S156" s="4">
        <v>3</v>
      </c>
      <c r="T156" s="4">
        <v>3</v>
      </c>
      <c r="U156" s="5" t="s">
        <v>2143</v>
      </c>
      <c r="V156" s="5" t="s">
        <v>2143</v>
      </c>
      <c r="W156" s="5" t="s">
        <v>1309</v>
      </c>
      <c r="X156" s="5" t="s">
        <v>1309</v>
      </c>
      <c r="Y156" s="4">
        <v>504</v>
      </c>
      <c r="Z156" s="4">
        <v>440</v>
      </c>
      <c r="AA156" s="4">
        <v>443</v>
      </c>
      <c r="AB156" s="4">
        <v>5</v>
      </c>
      <c r="AC156" s="4">
        <v>5</v>
      </c>
      <c r="AD156" s="4">
        <v>16</v>
      </c>
      <c r="AE156" s="4">
        <v>16</v>
      </c>
      <c r="AF156" s="4">
        <v>6</v>
      </c>
      <c r="AG156" s="4">
        <v>6</v>
      </c>
      <c r="AH156" s="4">
        <v>3</v>
      </c>
      <c r="AI156" s="4">
        <v>3</v>
      </c>
      <c r="AJ156" s="4">
        <v>8</v>
      </c>
      <c r="AK156" s="4">
        <v>8</v>
      </c>
      <c r="AL156" s="4">
        <v>3</v>
      </c>
      <c r="AM156" s="4">
        <v>3</v>
      </c>
      <c r="AN156" s="4">
        <v>0</v>
      </c>
      <c r="AO156" s="4">
        <v>0</v>
      </c>
      <c r="AP156" s="3" t="s">
        <v>58</v>
      </c>
      <c r="AQ156" s="3" t="s">
        <v>69</v>
      </c>
      <c r="AR156" s="6" t="str">
        <f>HYPERLINK("http://catalog.hathitrust.org/Record/000674124","HathiTrust Record")</f>
        <v>HathiTrust Record</v>
      </c>
      <c r="AS156" s="6" t="str">
        <f>HYPERLINK("https://creighton-primo.hosted.exlibrisgroup.com/primo-explore/search?tab=default_tab&amp;search_scope=EVERYTHING&amp;vid=01CRU&amp;lang=en_US&amp;offset=0&amp;query=any,contains,991005406049702656","Catalog Record")</f>
        <v>Catalog Record</v>
      </c>
      <c r="AT156" s="6" t="str">
        <f>HYPERLINK("http://www.worldcat.org/oclc/12946691","WorldCat Record")</f>
        <v>WorldCat Record</v>
      </c>
      <c r="AU156" s="3" t="s">
        <v>2144</v>
      </c>
      <c r="AV156" s="3" t="s">
        <v>2145</v>
      </c>
      <c r="AW156" s="3" t="s">
        <v>2146</v>
      </c>
      <c r="AX156" s="3" t="s">
        <v>2146</v>
      </c>
      <c r="AY156" s="3" t="s">
        <v>2147</v>
      </c>
      <c r="AZ156" s="3" t="s">
        <v>74</v>
      </c>
      <c r="BB156" s="3" t="s">
        <v>2148</v>
      </c>
      <c r="BC156" s="3" t="s">
        <v>2149</v>
      </c>
      <c r="BD156" s="3" t="s">
        <v>2150</v>
      </c>
    </row>
    <row r="157" spans="1:56" ht="57.75" customHeight="1" x14ac:dyDescent="0.25">
      <c r="A157" s="7" t="s">
        <v>58</v>
      </c>
      <c r="B157" s="2" t="s">
        <v>2151</v>
      </c>
      <c r="C157" s="2" t="s">
        <v>2152</v>
      </c>
      <c r="D157" s="2" t="s">
        <v>2153</v>
      </c>
      <c r="F157" s="3" t="s">
        <v>58</v>
      </c>
      <c r="G157" s="3" t="s">
        <v>59</v>
      </c>
      <c r="H157" s="3" t="s">
        <v>58</v>
      </c>
      <c r="I157" s="3" t="s">
        <v>58</v>
      </c>
      <c r="J157" s="3" t="s">
        <v>60</v>
      </c>
      <c r="K157" s="2" t="s">
        <v>2154</v>
      </c>
      <c r="L157" s="2" t="s">
        <v>2155</v>
      </c>
      <c r="M157" s="3" t="s">
        <v>2156</v>
      </c>
      <c r="O157" s="3" t="s">
        <v>64</v>
      </c>
      <c r="P157" s="3" t="s">
        <v>385</v>
      </c>
      <c r="Q157" s="2" t="s">
        <v>2157</v>
      </c>
      <c r="R157" s="3" t="s">
        <v>1093</v>
      </c>
      <c r="S157" s="4">
        <v>2</v>
      </c>
      <c r="T157" s="4">
        <v>2</v>
      </c>
      <c r="U157" s="5" t="s">
        <v>2158</v>
      </c>
      <c r="V157" s="5" t="s">
        <v>2158</v>
      </c>
      <c r="W157" s="5" t="s">
        <v>2159</v>
      </c>
      <c r="X157" s="5" t="s">
        <v>2159</v>
      </c>
      <c r="Y157" s="4">
        <v>230</v>
      </c>
      <c r="Z157" s="4">
        <v>222</v>
      </c>
      <c r="AA157" s="4">
        <v>239</v>
      </c>
      <c r="AB157" s="4">
        <v>5</v>
      </c>
      <c r="AC157" s="4">
        <v>5</v>
      </c>
      <c r="AD157" s="4">
        <v>7</v>
      </c>
      <c r="AE157" s="4">
        <v>7</v>
      </c>
      <c r="AF157" s="4">
        <v>1</v>
      </c>
      <c r="AG157" s="4">
        <v>1</v>
      </c>
      <c r="AH157" s="4">
        <v>1</v>
      </c>
      <c r="AI157" s="4">
        <v>1</v>
      </c>
      <c r="AJ157" s="4">
        <v>1</v>
      </c>
      <c r="AK157" s="4">
        <v>1</v>
      </c>
      <c r="AL157" s="4">
        <v>4</v>
      </c>
      <c r="AM157" s="4">
        <v>4</v>
      </c>
      <c r="AN157" s="4">
        <v>0</v>
      </c>
      <c r="AO157" s="4">
        <v>0</v>
      </c>
      <c r="AP157" s="3" t="s">
        <v>58</v>
      </c>
      <c r="AQ157" s="3" t="s">
        <v>58</v>
      </c>
      <c r="AS157" s="6" t="str">
        <f>HYPERLINK("https://creighton-primo.hosted.exlibrisgroup.com/primo-explore/search?tab=default_tab&amp;search_scope=EVERYTHING&amp;vid=01CRU&amp;lang=en_US&amp;offset=0&amp;query=any,contains,991003695689702656","Catalog Record")</f>
        <v>Catalog Record</v>
      </c>
      <c r="AT157" s="6" t="str">
        <f>HYPERLINK("http://www.worldcat.org/oclc/1327784","WorldCat Record")</f>
        <v>WorldCat Record</v>
      </c>
      <c r="AU157" s="3" t="s">
        <v>2160</v>
      </c>
      <c r="AV157" s="3" t="s">
        <v>2161</v>
      </c>
      <c r="AW157" s="3" t="s">
        <v>2162</v>
      </c>
      <c r="AX157" s="3" t="s">
        <v>2162</v>
      </c>
      <c r="AY157" s="3" t="s">
        <v>2163</v>
      </c>
      <c r="AZ157" s="3" t="s">
        <v>74</v>
      </c>
      <c r="BC157" s="3" t="s">
        <v>2164</v>
      </c>
      <c r="BD157" s="3" t="s">
        <v>2165</v>
      </c>
    </row>
    <row r="158" spans="1:56" ht="57.75" customHeight="1" x14ac:dyDescent="0.25">
      <c r="A158" s="7" t="s">
        <v>58</v>
      </c>
      <c r="B158" s="2" t="s">
        <v>2166</v>
      </c>
      <c r="C158" s="2" t="s">
        <v>2167</v>
      </c>
      <c r="D158" s="2" t="s">
        <v>2168</v>
      </c>
      <c r="F158" s="3" t="s">
        <v>58</v>
      </c>
      <c r="G158" s="3" t="s">
        <v>59</v>
      </c>
      <c r="H158" s="3" t="s">
        <v>58</v>
      </c>
      <c r="I158" s="3" t="s">
        <v>58</v>
      </c>
      <c r="J158" s="3" t="s">
        <v>60</v>
      </c>
      <c r="K158" s="2" t="s">
        <v>2169</v>
      </c>
      <c r="L158" s="2" t="s">
        <v>2170</v>
      </c>
      <c r="M158" s="3" t="s">
        <v>847</v>
      </c>
      <c r="N158" s="2" t="s">
        <v>606</v>
      </c>
      <c r="O158" s="3" t="s">
        <v>64</v>
      </c>
      <c r="P158" s="3" t="s">
        <v>65</v>
      </c>
      <c r="Q158" s="2" t="s">
        <v>2171</v>
      </c>
      <c r="R158" s="3" t="s">
        <v>1093</v>
      </c>
      <c r="S158" s="4">
        <v>2</v>
      </c>
      <c r="T158" s="4">
        <v>2</v>
      </c>
      <c r="U158" s="5" t="s">
        <v>2172</v>
      </c>
      <c r="V158" s="5" t="s">
        <v>2172</v>
      </c>
      <c r="W158" s="5" t="s">
        <v>2173</v>
      </c>
      <c r="X158" s="5" t="s">
        <v>2173</v>
      </c>
      <c r="Y158" s="4">
        <v>686</v>
      </c>
      <c r="Z158" s="4">
        <v>595</v>
      </c>
      <c r="AA158" s="4">
        <v>597</v>
      </c>
      <c r="AB158" s="4">
        <v>3</v>
      </c>
      <c r="AC158" s="4">
        <v>3</v>
      </c>
      <c r="AD158" s="4">
        <v>18</v>
      </c>
      <c r="AE158" s="4">
        <v>18</v>
      </c>
      <c r="AF158" s="4">
        <v>9</v>
      </c>
      <c r="AG158" s="4">
        <v>9</v>
      </c>
      <c r="AH158" s="4">
        <v>4</v>
      </c>
      <c r="AI158" s="4">
        <v>4</v>
      </c>
      <c r="AJ158" s="4">
        <v>7</v>
      </c>
      <c r="AK158" s="4">
        <v>7</v>
      </c>
      <c r="AL158" s="4">
        <v>2</v>
      </c>
      <c r="AM158" s="4">
        <v>2</v>
      </c>
      <c r="AN158" s="4">
        <v>0</v>
      </c>
      <c r="AO158" s="4">
        <v>0</v>
      </c>
      <c r="AP158" s="3" t="s">
        <v>58</v>
      </c>
      <c r="AQ158" s="3" t="s">
        <v>69</v>
      </c>
      <c r="AR158" s="6" t="str">
        <f>HYPERLINK("http://catalog.hathitrust.org/Record/003501889","HathiTrust Record")</f>
        <v>HathiTrust Record</v>
      </c>
      <c r="AS158" s="6" t="str">
        <f>HYPERLINK("https://creighton-primo.hosted.exlibrisgroup.com/primo-explore/search?tab=default_tab&amp;search_scope=EVERYTHING&amp;vid=01CRU&amp;lang=en_US&amp;offset=0&amp;query=any,contains,991000173859702656","Catalog Record")</f>
        <v>Catalog Record</v>
      </c>
      <c r="AT158" s="6" t="str">
        <f>HYPERLINK("http://www.worldcat.org/oclc/9325270","WorldCat Record")</f>
        <v>WorldCat Record</v>
      </c>
      <c r="AU158" s="3" t="s">
        <v>2174</v>
      </c>
      <c r="AV158" s="3" t="s">
        <v>2175</v>
      </c>
      <c r="AW158" s="3" t="s">
        <v>2176</v>
      </c>
      <c r="AX158" s="3" t="s">
        <v>2176</v>
      </c>
      <c r="AY158" s="3" t="s">
        <v>2177</v>
      </c>
      <c r="AZ158" s="3" t="s">
        <v>74</v>
      </c>
      <c r="BB158" s="3" t="s">
        <v>2178</v>
      </c>
      <c r="BC158" s="3" t="s">
        <v>2179</v>
      </c>
      <c r="BD158" s="3" t="s">
        <v>2180</v>
      </c>
    </row>
    <row r="159" spans="1:56" ht="57.75" customHeight="1" x14ac:dyDescent="0.25">
      <c r="A159" s="7" t="s">
        <v>58</v>
      </c>
      <c r="B159" s="2" t="s">
        <v>2181</v>
      </c>
      <c r="C159" s="2" t="s">
        <v>2182</v>
      </c>
      <c r="D159" s="2" t="s">
        <v>2183</v>
      </c>
      <c r="F159" s="3" t="s">
        <v>58</v>
      </c>
      <c r="G159" s="3" t="s">
        <v>59</v>
      </c>
      <c r="H159" s="3" t="s">
        <v>58</v>
      </c>
      <c r="I159" s="3" t="s">
        <v>58</v>
      </c>
      <c r="J159" s="3" t="s">
        <v>60</v>
      </c>
      <c r="K159" s="2" t="s">
        <v>2184</v>
      </c>
      <c r="L159" s="2" t="s">
        <v>2185</v>
      </c>
      <c r="M159" s="3" t="s">
        <v>63</v>
      </c>
      <c r="N159" s="2" t="s">
        <v>2186</v>
      </c>
      <c r="O159" s="3" t="s">
        <v>64</v>
      </c>
      <c r="P159" s="3" t="s">
        <v>154</v>
      </c>
      <c r="Q159" s="2" t="s">
        <v>2187</v>
      </c>
      <c r="R159" s="3" t="s">
        <v>1093</v>
      </c>
      <c r="S159" s="4">
        <v>12</v>
      </c>
      <c r="T159" s="4">
        <v>12</v>
      </c>
      <c r="U159" s="5" t="s">
        <v>1999</v>
      </c>
      <c r="V159" s="5" t="s">
        <v>1999</v>
      </c>
      <c r="W159" s="5" t="s">
        <v>1486</v>
      </c>
      <c r="X159" s="5" t="s">
        <v>1486</v>
      </c>
      <c r="Y159" s="4">
        <v>622</v>
      </c>
      <c r="Z159" s="4">
        <v>526</v>
      </c>
      <c r="AA159" s="4">
        <v>528</v>
      </c>
      <c r="AB159" s="4">
        <v>3</v>
      </c>
      <c r="AC159" s="4">
        <v>3</v>
      </c>
      <c r="AD159" s="4">
        <v>12</v>
      </c>
      <c r="AE159" s="4">
        <v>12</v>
      </c>
      <c r="AF159" s="4">
        <v>6</v>
      </c>
      <c r="AG159" s="4">
        <v>6</v>
      </c>
      <c r="AH159" s="4">
        <v>3</v>
      </c>
      <c r="AI159" s="4">
        <v>3</v>
      </c>
      <c r="AJ159" s="4">
        <v>4</v>
      </c>
      <c r="AK159" s="4">
        <v>4</v>
      </c>
      <c r="AL159" s="4">
        <v>2</v>
      </c>
      <c r="AM159" s="4">
        <v>2</v>
      </c>
      <c r="AN159" s="4">
        <v>0</v>
      </c>
      <c r="AO159" s="4">
        <v>0</v>
      </c>
      <c r="AP159" s="3" t="s">
        <v>58</v>
      </c>
      <c r="AQ159" s="3" t="s">
        <v>69</v>
      </c>
      <c r="AR159" s="6" t="str">
        <f>HYPERLINK("http://catalog.hathitrust.org/Record/000293824","HathiTrust Record")</f>
        <v>HathiTrust Record</v>
      </c>
      <c r="AS159" s="6" t="str">
        <f>HYPERLINK("https://creighton-primo.hosted.exlibrisgroup.com/primo-explore/search?tab=default_tab&amp;search_scope=EVERYTHING&amp;vid=01CRU&amp;lang=en_US&amp;offset=0&amp;query=any,contains,991004366009702656","Catalog Record")</f>
        <v>Catalog Record</v>
      </c>
      <c r="AT159" s="6" t="str">
        <f>HYPERLINK("http://www.worldcat.org/oclc/3169552","WorldCat Record")</f>
        <v>WorldCat Record</v>
      </c>
      <c r="AU159" s="3" t="s">
        <v>2188</v>
      </c>
      <c r="AV159" s="3" t="s">
        <v>2189</v>
      </c>
      <c r="AW159" s="3" t="s">
        <v>2190</v>
      </c>
      <c r="AX159" s="3" t="s">
        <v>2190</v>
      </c>
      <c r="AY159" s="3" t="s">
        <v>2191</v>
      </c>
      <c r="AZ159" s="3" t="s">
        <v>74</v>
      </c>
      <c r="BB159" s="3" t="s">
        <v>2192</v>
      </c>
      <c r="BC159" s="3" t="s">
        <v>2193</v>
      </c>
      <c r="BD159" s="3" t="s">
        <v>2194</v>
      </c>
    </row>
    <row r="160" spans="1:56" ht="57.75" customHeight="1" x14ac:dyDescent="0.25">
      <c r="A160" s="7" t="s">
        <v>58</v>
      </c>
      <c r="B160" s="2" t="s">
        <v>2195</v>
      </c>
      <c r="C160" s="2" t="s">
        <v>2196</v>
      </c>
      <c r="D160" s="2" t="s">
        <v>2197</v>
      </c>
      <c r="F160" s="3" t="s">
        <v>58</v>
      </c>
      <c r="G160" s="3" t="s">
        <v>59</v>
      </c>
      <c r="H160" s="3" t="s">
        <v>58</v>
      </c>
      <c r="I160" s="3" t="s">
        <v>58</v>
      </c>
      <c r="J160" s="3" t="s">
        <v>60</v>
      </c>
      <c r="K160" s="2" t="s">
        <v>2198</v>
      </c>
      <c r="L160" s="2" t="s">
        <v>2199</v>
      </c>
      <c r="M160" s="3" t="s">
        <v>205</v>
      </c>
      <c r="N160" s="2" t="s">
        <v>606</v>
      </c>
      <c r="O160" s="3" t="s">
        <v>64</v>
      </c>
      <c r="P160" s="3" t="s">
        <v>154</v>
      </c>
      <c r="Q160" s="2" t="s">
        <v>2200</v>
      </c>
      <c r="R160" s="3" t="s">
        <v>1093</v>
      </c>
      <c r="S160" s="4">
        <v>5</v>
      </c>
      <c r="T160" s="4">
        <v>5</v>
      </c>
      <c r="U160" s="5" t="s">
        <v>2201</v>
      </c>
      <c r="V160" s="5" t="s">
        <v>2201</v>
      </c>
      <c r="W160" s="5" t="s">
        <v>68</v>
      </c>
      <c r="X160" s="5" t="s">
        <v>68</v>
      </c>
      <c r="Y160" s="4">
        <v>424</v>
      </c>
      <c r="Z160" s="4">
        <v>318</v>
      </c>
      <c r="AA160" s="4">
        <v>324</v>
      </c>
      <c r="AB160" s="4">
        <v>2</v>
      </c>
      <c r="AC160" s="4">
        <v>2</v>
      </c>
      <c r="AD160" s="4">
        <v>9</v>
      </c>
      <c r="AE160" s="4">
        <v>9</v>
      </c>
      <c r="AF160" s="4">
        <v>3</v>
      </c>
      <c r="AG160" s="4">
        <v>3</v>
      </c>
      <c r="AH160" s="4">
        <v>4</v>
      </c>
      <c r="AI160" s="4">
        <v>4</v>
      </c>
      <c r="AJ160" s="4">
        <v>4</v>
      </c>
      <c r="AK160" s="4">
        <v>4</v>
      </c>
      <c r="AL160" s="4">
        <v>1</v>
      </c>
      <c r="AM160" s="4">
        <v>1</v>
      </c>
      <c r="AN160" s="4">
        <v>0</v>
      </c>
      <c r="AO160" s="4">
        <v>0</v>
      </c>
      <c r="AP160" s="3" t="s">
        <v>58</v>
      </c>
      <c r="AQ160" s="3" t="s">
        <v>69</v>
      </c>
      <c r="AR160" s="6" t="str">
        <f>HYPERLINK("http://catalog.hathitrust.org/Record/000743951","HathiTrust Record")</f>
        <v>HathiTrust Record</v>
      </c>
      <c r="AS160" s="6" t="str">
        <f>HYPERLINK("https://creighton-primo.hosted.exlibrisgroup.com/primo-explore/search?tab=default_tab&amp;search_scope=EVERYTHING&amp;vid=01CRU&amp;lang=en_US&amp;offset=0&amp;query=any,contains,991004664279702656","Catalog Record")</f>
        <v>Catalog Record</v>
      </c>
      <c r="AT160" s="6" t="str">
        <f>HYPERLINK("http://www.worldcat.org/oclc/4499851","WorldCat Record")</f>
        <v>WorldCat Record</v>
      </c>
      <c r="AU160" s="3" t="s">
        <v>2202</v>
      </c>
      <c r="AV160" s="3" t="s">
        <v>2203</v>
      </c>
      <c r="AW160" s="3" t="s">
        <v>2204</v>
      </c>
      <c r="AX160" s="3" t="s">
        <v>2204</v>
      </c>
      <c r="AY160" s="3" t="s">
        <v>2205</v>
      </c>
      <c r="AZ160" s="3" t="s">
        <v>74</v>
      </c>
      <c r="BB160" s="3" t="s">
        <v>2206</v>
      </c>
      <c r="BC160" s="3" t="s">
        <v>2207</v>
      </c>
      <c r="BD160" s="3" t="s">
        <v>2208</v>
      </c>
    </row>
    <row r="161" spans="1:56" ht="57.75" customHeight="1" x14ac:dyDescent="0.25">
      <c r="A161" s="7" t="s">
        <v>58</v>
      </c>
      <c r="B161" s="2" t="s">
        <v>2209</v>
      </c>
      <c r="C161" s="2" t="s">
        <v>2210</v>
      </c>
      <c r="D161" s="2" t="s">
        <v>2211</v>
      </c>
      <c r="F161" s="3" t="s">
        <v>58</v>
      </c>
      <c r="G161" s="3" t="s">
        <v>59</v>
      </c>
      <c r="H161" s="3" t="s">
        <v>58</v>
      </c>
      <c r="I161" s="3" t="s">
        <v>58</v>
      </c>
      <c r="J161" s="3" t="s">
        <v>60</v>
      </c>
      <c r="K161" s="2" t="s">
        <v>2212</v>
      </c>
      <c r="L161" s="2" t="s">
        <v>2213</v>
      </c>
      <c r="M161" s="3" t="s">
        <v>323</v>
      </c>
      <c r="O161" s="3" t="s">
        <v>64</v>
      </c>
      <c r="P161" s="3" t="s">
        <v>65</v>
      </c>
      <c r="R161" s="3" t="s">
        <v>1093</v>
      </c>
      <c r="S161" s="4">
        <v>2</v>
      </c>
      <c r="T161" s="4">
        <v>2</v>
      </c>
      <c r="U161" s="5" t="s">
        <v>2214</v>
      </c>
      <c r="V161" s="5" t="s">
        <v>2214</v>
      </c>
      <c r="W161" s="5" t="s">
        <v>2215</v>
      </c>
      <c r="X161" s="5" t="s">
        <v>2215</v>
      </c>
      <c r="Y161" s="4">
        <v>518</v>
      </c>
      <c r="Z161" s="4">
        <v>473</v>
      </c>
      <c r="AA161" s="4">
        <v>527</v>
      </c>
      <c r="AB161" s="4">
        <v>2</v>
      </c>
      <c r="AC161" s="4">
        <v>3</v>
      </c>
      <c r="AD161" s="4">
        <v>11</v>
      </c>
      <c r="AE161" s="4">
        <v>12</v>
      </c>
      <c r="AF161" s="4">
        <v>4</v>
      </c>
      <c r="AG161" s="4">
        <v>4</v>
      </c>
      <c r="AH161" s="4">
        <v>3</v>
      </c>
      <c r="AI161" s="4">
        <v>3</v>
      </c>
      <c r="AJ161" s="4">
        <v>5</v>
      </c>
      <c r="AK161" s="4">
        <v>5</v>
      </c>
      <c r="AL161" s="4">
        <v>1</v>
      </c>
      <c r="AM161" s="4">
        <v>2</v>
      </c>
      <c r="AN161" s="4">
        <v>0</v>
      </c>
      <c r="AO161" s="4">
        <v>0</v>
      </c>
      <c r="AP161" s="3" t="s">
        <v>58</v>
      </c>
      <c r="AQ161" s="3" t="s">
        <v>69</v>
      </c>
      <c r="AR161" s="6" t="str">
        <f>HYPERLINK("http://catalog.hathitrust.org/Record/001825717","HathiTrust Record")</f>
        <v>HathiTrust Record</v>
      </c>
      <c r="AS161" s="6" t="str">
        <f>HYPERLINK("https://creighton-primo.hosted.exlibrisgroup.com/primo-explore/search?tab=default_tab&amp;search_scope=EVERYTHING&amp;vid=01CRU&amp;lang=en_US&amp;offset=0&amp;query=any,contains,991001419499702656","Catalog Record")</f>
        <v>Catalog Record</v>
      </c>
      <c r="AT161" s="6" t="str">
        <f>HYPERLINK("http://www.worldcat.org/oclc/18961959","WorldCat Record")</f>
        <v>WorldCat Record</v>
      </c>
      <c r="AU161" s="3" t="s">
        <v>2216</v>
      </c>
      <c r="AV161" s="3" t="s">
        <v>2217</v>
      </c>
      <c r="AW161" s="3" t="s">
        <v>2218</v>
      </c>
      <c r="AX161" s="3" t="s">
        <v>2218</v>
      </c>
      <c r="AY161" s="3" t="s">
        <v>2219</v>
      </c>
      <c r="AZ161" s="3" t="s">
        <v>74</v>
      </c>
      <c r="BB161" s="3" t="s">
        <v>2220</v>
      </c>
      <c r="BC161" s="3" t="s">
        <v>2221</v>
      </c>
      <c r="BD161" s="3" t="s">
        <v>2222</v>
      </c>
    </row>
    <row r="162" spans="1:56" ht="57.75" customHeight="1" x14ac:dyDescent="0.25">
      <c r="A162" s="7" t="s">
        <v>58</v>
      </c>
      <c r="B162" s="2" t="s">
        <v>2223</v>
      </c>
      <c r="C162" s="2" t="s">
        <v>2224</v>
      </c>
      <c r="D162" s="2" t="s">
        <v>2225</v>
      </c>
      <c r="F162" s="3" t="s">
        <v>58</v>
      </c>
      <c r="G162" s="3" t="s">
        <v>59</v>
      </c>
      <c r="H162" s="3" t="s">
        <v>58</v>
      </c>
      <c r="I162" s="3" t="s">
        <v>58</v>
      </c>
      <c r="J162" s="3" t="s">
        <v>60</v>
      </c>
      <c r="K162" s="2" t="s">
        <v>2226</v>
      </c>
      <c r="L162" s="2" t="s">
        <v>2227</v>
      </c>
      <c r="M162" s="3" t="s">
        <v>138</v>
      </c>
      <c r="O162" s="3" t="s">
        <v>64</v>
      </c>
      <c r="P162" s="3" t="s">
        <v>876</v>
      </c>
      <c r="R162" s="3" t="s">
        <v>1093</v>
      </c>
      <c r="S162" s="4">
        <v>7</v>
      </c>
      <c r="T162" s="4">
        <v>7</v>
      </c>
      <c r="U162" s="5" t="s">
        <v>2228</v>
      </c>
      <c r="V162" s="5" t="s">
        <v>2228</v>
      </c>
      <c r="W162" s="5" t="s">
        <v>2229</v>
      </c>
      <c r="X162" s="5" t="s">
        <v>2229</v>
      </c>
      <c r="Y162" s="4">
        <v>390</v>
      </c>
      <c r="Z162" s="4">
        <v>363</v>
      </c>
      <c r="AA162" s="4">
        <v>365</v>
      </c>
      <c r="AB162" s="4">
        <v>3</v>
      </c>
      <c r="AC162" s="4">
        <v>3</v>
      </c>
      <c r="AD162" s="4">
        <v>12</v>
      </c>
      <c r="AE162" s="4">
        <v>12</v>
      </c>
      <c r="AF162" s="4">
        <v>6</v>
      </c>
      <c r="AG162" s="4">
        <v>6</v>
      </c>
      <c r="AH162" s="4">
        <v>3</v>
      </c>
      <c r="AI162" s="4">
        <v>3</v>
      </c>
      <c r="AJ162" s="4">
        <v>3</v>
      </c>
      <c r="AK162" s="4">
        <v>3</v>
      </c>
      <c r="AL162" s="4">
        <v>2</v>
      </c>
      <c r="AM162" s="4">
        <v>2</v>
      </c>
      <c r="AN162" s="4">
        <v>0</v>
      </c>
      <c r="AO162" s="4">
        <v>0</v>
      </c>
      <c r="AP162" s="3" t="s">
        <v>58</v>
      </c>
      <c r="AQ162" s="3" t="s">
        <v>58</v>
      </c>
      <c r="AS162" s="6" t="str">
        <f>HYPERLINK("https://creighton-primo.hosted.exlibrisgroup.com/primo-explore/search?tab=default_tab&amp;search_scope=EVERYTHING&amp;vid=01CRU&amp;lang=en_US&amp;offset=0&amp;query=any,contains,991005072309702656","Catalog Record")</f>
        <v>Catalog Record</v>
      </c>
      <c r="AT162" s="6" t="str">
        <f>HYPERLINK("http://www.worldcat.org/oclc/7048805","WorldCat Record")</f>
        <v>WorldCat Record</v>
      </c>
      <c r="AU162" s="3" t="s">
        <v>2230</v>
      </c>
      <c r="AV162" s="3" t="s">
        <v>2231</v>
      </c>
      <c r="AW162" s="3" t="s">
        <v>2232</v>
      </c>
      <c r="AX162" s="3" t="s">
        <v>2232</v>
      </c>
      <c r="AY162" s="3" t="s">
        <v>2233</v>
      </c>
      <c r="AZ162" s="3" t="s">
        <v>74</v>
      </c>
      <c r="BC162" s="3" t="s">
        <v>2234</v>
      </c>
      <c r="BD162" s="3" t="s">
        <v>2235</v>
      </c>
    </row>
    <row r="163" spans="1:56" ht="57.75" customHeight="1" x14ac:dyDescent="0.25">
      <c r="A163" s="7" t="s">
        <v>58</v>
      </c>
      <c r="B163" s="2" t="s">
        <v>2236</v>
      </c>
      <c r="C163" s="2" t="s">
        <v>2237</v>
      </c>
      <c r="D163" s="2" t="s">
        <v>2238</v>
      </c>
      <c r="F163" s="3" t="s">
        <v>58</v>
      </c>
      <c r="G163" s="3" t="s">
        <v>59</v>
      </c>
      <c r="H163" s="3" t="s">
        <v>58</v>
      </c>
      <c r="I163" s="3" t="s">
        <v>58</v>
      </c>
      <c r="J163" s="3" t="s">
        <v>60</v>
      </c>
      <c r="K163" s="2" t="s">
        <v>2239</v>
      </c>
      <c r="L163" s="2" t="s">
        <v>2240</v>
      </c>
      <c r="M163" s="3" t="s">
        <v>2104</v>
      </c>
      <c r="O163" s="3" t="s">
        <v>64</v>
      </c>
      <c r="P163" s="3" t="s">
        <v>385</v>
      </c>
      <c r="R163" s="3" t="s">
        <v>1093</v>
      </c>
      <c r="S163" s="4">
        <v>1</v>
      </c>
      <c r="T163" s="4">
        <v>1</v>
      </c>
      <c r="U163" s="5" t="s">
        <v>2091</v>
      </c>
      <c r="V163" s="5" t="s">
        <v>2091</v>
      </c>
      <c r="W163" s="5" t="s">
        <v>1858</v>
      </c>
      <c r="X163" s="5" t="s">
        <v>1858</v>
      </c>
      <c r="Y163" s="4">
        <v>64</v>
      </c>
      <c r="Z163" s="4">
        <v>61</v>
      </c>
      <c r="AA163" s="4">
        <v>247</v>
      </c>
      <c r="AB163" s="4">
        <v>2</v>
      </c>
      <c r="AC163" s="4">
        <v>2</v>
      </c>
      <c r="AD163" s="4">
        <v>0</v>
      </c>
      <c r="AE163" s="4">
        <v>4</v>
      </c>
      <c r="AF163" s="4">
        <v>0</v>
      </c>
      <c r="AG163" s="4">
        <v>2</v>
      </c>
      <c r="AH163" s="4">
        <v>0</v>
      </c>
      <c r="AI163" s="4">
        <v>1</v>
      </c>
      <c r="AJ163" s="4">
        <v>0</v>
      </c>
      <c r="AK163" s="4">
        <v>2</v>
      </c>
      <c r="AL163" s="4">
        <v>0</v>
      </c>
      <c r="AM163" s="4">
        <v>0</v>
      </c>
      <c r="AN163" s="4">
        <v>0</v>
      </c>
      <c r="AO163" s="4">
        <v>0</v>
      </c>
      <c r="AP163" s="3" t="s">
        <v>58</v>
      </c>
      <c r="AQ163" s="3" t="s">
        <v>58</v>
      </c>
      <c r="AS163" s="6" t="str">
        <f>HYPERLINK("https://creighton-primo.hosted.exlibrisgroup.com/primo-explore/search?tab=default_tab&amp;search_scope=EVERYTHING&amp;vid=01CRU&amp;lang=en_US&amp;offset=0&amp;query=any,contains,991003688549702656","Catalog Record")</f>
        <v>Catalog Record</v>
      </c>
      <c r="AT163" s="6" t="str">
        <f>HYPERLINK("http://www.worldcat.org/oclc/1317640","WorldCat Record")</f>
        <v>WorldCat Record</v>
      </c>
      <c r="AU163" s="3" t="s">
        <v>2241</v>
      </c>
      <c r="AV163" s="3" t="s">
        <v>2242</v>
      </c>
      <c r="AW163" s="3" t="s">
        <v>2243</v>
      </c>
      <c r="AX163" s="3" t="s">
        <v>2243</v>
      </c>
      <c r="AY163" s="3" t="s">
        <v>2244</v>
      </c>
      <c r="AZ163" s="3" t="s">
        <v>74</v>
      </c>
      <c r="BC163" s="3" t="s">
        <v>2245</v>
      </c>
      <c r="BD163" s="3" t="s">
        <v>2246</v>
      </c>
    </row>
    <row r="164" spans="1:56" ht="57.75" customHeight="1" x14ac:dyDescent="0.25">
      <c r="A164" s="7" t="s">
        <v>58</v>
      </c>
      <c r="B164" s="2" t="s">
        <v>2247</v>
      </c>
      <c r="C164" s="2" t="s">
        <v>2248</v>
      </c>
      <c r="D164" s="2" t="s">
        <v>2249</v>
      </c>
      <c r="F164" s="3" t="s">
        <v>58</v>
      </c>
      <c r="G164" s="3" t="s">
        <v>59</v>
      </c>
      <c r="H164" s="3" t="s">
        <v>58</v>
      </c>
      <c r="I164" s="3" t="s">
        <v>58</v>
      </c>
      <c r="J164" s="3" t="s">
        <v>60</v>
      </c>
      <c r="K164" s="2" t="s">
        <v>2250</v>
      </c>
      <c r="L164" s="2" t="s">
        <v>2251</v>
      </c>
      <c r="M164" s="3" t="s">
        <v>792</v>
      </c>
      <c r="O164" s="3" t="s">
        <v>64</v>
      </c>
      <c r="P164" s="3" t="s">
        <v>412</v>
      </c>
      <c r="Q164" s="2" t="s">
        <v>2252</v>
      </c>
      <c r="R164" s="3" t="s">
        <v>1093</v>
      </c>
      <c r="S164" s="4">
        <v>2</v>
      </c>
      <c r="T164" s="4">
        <v>2</v>
      </c>
      <c r="U164" s="5" t="s">
        <v>498</v>
      </c>
      <c r="V164" s="5" t="s">
        <v>498</v>
      </c>
      <c r="W164" s="5" t="s">
        <v>372</v>
      </c>
      <c r="X164" s="5" t="s">
        <v>372</v>
      </c>
      <c r="Y164" s="4">
        <v>153</v>
      </c>
      <c r="Z164" s="4">
        <v>71</v>
      </c>
      <c r="AA164" s="4">
        <v>367</v>
      </c>
      <c r="AB164" s="4">
        <v>1</v>
      </c>
      <c r="AC164" s="4">
        <v>2</v>
      </c>
      <c r="AD164" s="4">
        <v>2</v>
      </c>
      <c r="AE164" s="4">
        <v>12</v>
      </c>
      <c r="AF164" s="4">
        <v>0</v>
      </c>
      <c r="AG164" s="4">
        <v>4</v>
      </c>
      <c r="AH164" s="4">
        <v>2</v>
      </c>
      <c r="AI164" s="4">
        <v>4</v>
      </c>
      <c r="AJ164" s="4">
        <v>1</v>
      </c>
      <c r="AK164" s="4">
        <v>7</v>
      </c>
      <c r="AL164" s="4">
        <v>0</v>
      </c>
      <c r="AM164" s="4">
        <v>1</v>
      </c>
      <c r="AN164" s="4">
        <v>0</v>
      </c>
      <c r="AO164" s="4">
        <v>0</v>
      </c>
      <c r="AP164" s="3" t="s">
        <v>58</v>
      </c>
      <c r="AQ164" s="3" t="s">
        <v>58</v>
      </c>
      <c r="AS164" s="6" t="str">
        <f>HYPERLINK("https://creighton-primo.hosted.exlibrisgroup.com/primo-explore/search?tab=default_tab&amp;search_scope=EVERYTHING&amp;vid=01CRU&amp;lang=en_US&amp;offset=0&amp;query=any,contains,991004923869702656","Catalog Record")</f>
        <v>Catalog Record</v>
      </c>
      <c r="AT164" s="6" t="str">
        <f>HYPERLINK("http://www.worldcat.org/oclc/6069945","WorldCat Record")</f>
        <v>WorldCat Record</v>
      </c>
      <c r="AU164" s="3" t="s">
        <v>2253</v>
      </c>
      <c r="AV164" s="3" t="s">
        <v>2254</v>
      </c>
      <c r="AW164" s="3" t="s">
        <v>2255</v>
      </c>
      <c r="AX164" s="3" t="s">
        <v>2255</v>
      </c>
      <c r="AY164" s="3" t="s">
        <v>2256</v>
      </c>
      <c r="AZ164" s="3" t="s">
        <v>74</v>
      </c>
      <c r="BC164" s="3" t="s">
        <v>2257</v>
      </c>
      <c r="BD164" s="3" t="s">
        <v>2258</v>
      </c>
    </row>
    <row r="165" spans="1:56" ht="57.75" customHeight="1" x14ac:dyDescent="0.25">
      <c r="A165" s="7" t="s">
        <v>58</v>
      </c>
      <c r="B165" s="2" t="s">
        <v>2259</v>
      </c>
      <c r="C165" s="2" t="s">
        <v>2260</v>
      </c>
      <c r="D165" s="2" t="s">
        <v>2261</v>
      </c>
      <c r="F165" s="3" t="s">
        <v>58</v>
      </c>
      <c r="G165" s="3" t="s">
        <v>59</v>
      </c>
      <c r="H165" s="3" t="s">
        <v>58</v>
      </c>
      <c r="I165" s="3" t="s">
        <v>58</v>
      </c>
      <c r="J165" s="3" t="s">
        <v>60</v>
      </c>
      <c r="L165" s="2" t="s">
        <v>2262</v>
      </c>
      <c r="M165" s="3" t="s">
        <v>1405</v>
      </c>
      <c r="O165" s="3" t="s">
        <v>64</v>
      </c>
      <c r="P165" s="3" t="s">
        <v>234</v>
      </c>
      <c r="R165" s="3" t="s">
        <v>1093</v>
      </c>
      <c r="S165" s="4">
        <v>7</v>
      </c>
      <c r="T165" s="4">
        <v>7</v>
      </c>
      <c r="U165" s="5" t="s">
        <v>2263</v>
      </c>
      <c r="V165" s="5" t="s">
        <v>2263</v>
      </c>
      <c r="W165" s="5" t="s">
        <v>2264</v>
      </c>
      <c r="X165" s="5" t="s">
        <v>2264</v>
      </c>
      <c r="Y165" s="4">
        <v>724</v>
      </c>
      <c r="Z165" s="4">
        <v>595</v>
      </c>
      <c r="AA165" s="4">
        <v>595</v>
      </c>
      <c r="AB165" s="4">
        <v>6</v>
      </c>
      <c r="AC165" s="4">
        <v>6</v>
      </c>
      <c r="AD165" s="4">
        <v>27</v>
      </c>
      <c r="AE165" s="4">
        <v>27</v>
      </c>
      <c r="AF165" s="4">
        <v>9</v>
      </c>
      <c r="AG165" s="4">
        <v>9</v>
      </c>
      <c r="AH165" s="4">
        <v>6</v>
      </c>
      <c r="AI165" s="4">
        <v>6</v>
      </c>
      <c r="AJ165" s="4">
        <v>12</v>
      </c>
      <c r="AK165" s="4">
        <v>12</v>
      </c>
      <c r="AL165" s="4">
        <v>4</v>
      </c>
      <c r="AM165" s="4">
        <v>4</v>
      </c>
      <c r="AN165" s="4">
        <v>0</v>
      </c>
      <c r="AO165" s="4">
        <v>0</v>
      </c>
      <c r="AP165" s="3" t="s">
        <v>58</v>
      </c>
      <c r="AQ165" s="3" t="s">
        <v>58</v>
      </c>
      <c r="AS165" s="6" t="str">
        <f>HYPERLINK("https://creighton-primo.hosted.exlibrisgroup.com/primo-explore/search?tab=default_tab&amp;search_scope=EVERYTHING&amp;vid=01CRU&amp;lang=en_US&amp;offset=0&amp;query=any,contains,991002582979702656","Catalog Record")</f>
        <v>Catalog Record</v>
      </c>
      <c r="AT165" s="6" t="str">
        <f>HYPERLINK("http://www.worldcat.org/oclc/33862729","WorldCat Record")</f>
        <v>WorldCat Record</v>
      </c>
      <c r="AU165" s="3" t="s">
        <v>2265</v>
      </c>
      <c r="AV165" s="3" t="s">
        <v>2266</v>
      </c>
      <c r="AW165" s="3" t="s">
        <v>2267</v>
      </c>
      <c r="AX165" s="3" t="s">
        <v>2267</v>
      </c>
      <c r="AY165" s="3" t="s">
        <v>2268</v>
      </c>
      <c r="AZ165" s="3" t="s">
        <v>74</v>
      </c>
      <c r="BB165" s="3" t="s">
        <v>2269</v>
      </c>
      <c r="BC165" s="3" t="s">
        <v>2270</v>
      </c>
      <c r="BD165" s="3" t="s">
        <v>2271</v>
      </c>
    </row>
    <row r="166" spans="1:56" ht="57.75" customHeight="1" x14ac:dyDescent="0.25">
      <c r="A166" s="7" t="s">
        <v>58</v>
      </c>
      <c r="B166" s="2" t="s">
        <v>2272</v>
      </c>
      <c r="C166" s="2" t="s">
        <v>2273</v>
      </c>
      <c r="D166" s="2" t="s">
        <v>2274</v>
      </c>
      <c r="F166" s="3" t="s">
        <v>58</v>
      </c>
      <c r="G166" s="3" t="s">
        <v>59</v>
      </c>
      <c r="H166" s="3" t="s">
        <v>58</v>
      </c>
      <c r="I166" s="3" t="s">
        <v>58</v>
      </c>
      <c r="J166" s="3" t="s">
        <v>60</v>
      </c>
      <c r="K166" s="2" t="s">
        <v>2275</v>
      </c>
      <c r="L166" s="2" t="s">
        <v>2276</v>
      </c>
      <c r="M166" s="3" t="s">
        <v>205</v>
      </c>
      <c r="O166" s="3" t="s">
        <v>64</v>
      </c>
      <c r="P166" s="3" t="s">
        <v>1841</v>
      </c>
      <c r="R166" s="3" t="s">
        <v>1093</v>
      </c>
      <c r="S166" s="4">
        <v>7</v>
      </c>
      <c r="T166" s="4">
        <v>7</v>
      </c>
      <c r="U166" s="5" t="s">
        <v>2277</v>
      </c>
      <c r="V166" s="5" t="s">
        <v>2277</v>
      </c>
      <c r="W166" s="5" t="s">
        <v>2278</v>
      </c>
      <c r="X166" s="5" t="s">
        <v>2278</v>
      </c>
      <c r="Y166" s="4">
        <v>216</v>
      </c>
      <c r="Z166" s="4">
        <v>188</v>
      </c>
      <c r="AA166" s="4">
        <v>190</v>
      </c>
      <c r="AB166" s="4">
        <v>2</v>
      </c>
      <c r="AC166" s="4">
        <v>2</v>
      </c>
      <c r="AD166" s="4">
        <v>8</v>
      </c>
      <c r="AE166" s="4">
        <v>8</v>
      </c>
      <c r="AF166" s="4">
        <v>3</v>
      </c>
      <c r="AG166" s="4">
        <v>3</v>
      </c>
      <c r="AH166" s="4">
        <v>2</v>
      </c>
      <c r="AI166" s="4">
        <v>2</v>
      </c>
      <c r="AJ166" s="4">
        <v>6</v>
      </c>
      <c r="AK166" s="4">
        <v>6</v>
      </c>
      <c r="AL166" s="4">
        <v>0</v>
      </c>
      <c r="AM166" s="4">
        <v>0</v>
      </c>
      <c r="AN166" s="4">
        <v>0</v>
      </c>
      <c r="AO166" s="4">
        <v>0</v>
      </c>
      <c r="AP166" s="3" t="s">
        <v>58</v>
      </c>
      <c r="AQ166" s="3" t="s">
        <v>69</v>
      </c>
      <c r="AR166" s="6" t="str">
        <f>HYPERLINK("http://catalog.hathitrust.org/Record/000431912","HathiTrust Record")</f>
        <v>HathiTrust Record</v>
      </c>
      <c r="AS166" s="6" t="str">
        <f>HYPERLINK("https://creighton-primo.hosted.exlibrisgroup.com/primo-explore/search?tab=default_tab&amp;search_scope=EVERYTHING&amp;vid=01CRU&amp;lang=en_US&amp;offset=0&amp;query=any,contains,991004982769702656","Catalog Record")</f>
        <v>Catalog Record</v>
      </c>
      <c r="AT166" s="6" t="str">
        <f>HYPERLINK("http://www.worldcat.org/oclc/6433970","WorldCat Record")</f>
        <v>WorldCat Record</v>
      </c>
      <c r="AU166" s="3" t="s">
        <v>2279</v>
      </c>
      <c r="AV166" s="3" t="s">
        <v>2280</v>
      </c>
      <c r="AW166" s="3" t="s">
        <v>2281</v>
      </c>
      <c r="AX166" s="3" t="s">
        <v>2281</v>
      </c>
      <c r="AY166" s="3" t="s">
        <v>2282</v>
      </c>
      <c r="AZ166" s="3" t="s">
        <v>74</v>
      </c>
      <c r="BC166" s="3" t="s">
        <v>2283</v>
      </c>
      <c r="BD166" s="3" t="s">
        <v>2284</v>
      </c>
    </row>
    <row r="167" spans="1:56" ht="57.75" customHeight="1" x14ac:dyDescent="0.25">
      <c r="A167" s="7" t="s">
        <v>58</v>
      </c>
      <c r="B167" s="2" t="s">
        <v>2285</v>
      </c>
      <c r="C167" s="2" t="s">
        <v>2286</v>
      </c>
      <c r="D167" s="2" t="s">
        <v>2287</v>
      </c>
      <c r="F167" s="3" t="s">
        <v>58</v>
      </c>
      <c r="G167" s="3" t="s">
        <v>59</v>
      </c>
      <c r="H167" s="3" t="s">
        <v>58</v>
      </c>
      <c r="I167" s="3" t="s">
        <v>58</v>
      </c>
      <c r="J167" s="3" t="s">
        <v>60</v>
      </c>
      <c r="K167" s="2" t="s">
        <v>2288</v>
      </c>
      <c r="L167" s="2" t="s">
        <v>2289</v>
      </c>
      <c r="M167" s="3" t="s">
        <v>1120</v>
      </c>
      <c r="O167" s="3" t="s">
        <v>64</v>
      </c>
      <c r="P167" s="3" t="s">
        <v>453</v>
      </c>
      <c r="R167" s="3" t="s">
        <v>1093</v>
      </c>
      <c r="S167" s="4">
        <v>7</v>
      </c>
      <c r="T167" s="4">
        <v>7</v>
      </c>
      <c r="U167" s="5" t="s">
        <v>2290</v>
      </c>
      <c r="V167" s="5" t="s">
        <v>2290</v>
      </c>
      <c r="W167" s="5" t="s">
        <v>2159</v>
      </c>
      <c r="X167" s="5" t="s">
        <v>2159</v>
      </c>
      <c r="Y167" s="4">
        <v>322</v>
      </c>
      <c r="Z167" s="4">
        <v>292</v>
      </c>
      <c r="AA167" s="4">
        <v>368</v>
      </c>
      <c r="AB167" s="4">
        <v>2</v>
      </c>
      <c r="AC167" s="4">
        <v>3</v>
      </c>
      <c r="AD167" s="4">
        <v>13</v>
      </c>
      <c r="AE167" s="4">
        <v>16</v>
      </c>
      <c r="AF167" s="4">
        <v>8</v>
      </c>
      <c r="AG167" s="4">
        <v>8</v>
      </c>
      <c r="AH167" s="4">
        <v>3</v>
      </c>
      <c r="AI167" s="4">
        <v>3</v>
      </c>
      <c r="AJ167" s="4">
        <v>8</v>
      </c>
      <c r="AK167" s="4">
        <v>10</v>
      </c>
      <c r="AL167" s="4">
        <v>0</v>
      </c>
      <c r="AM167" s="4">
        <v>1</v>
      </c>
      <c r="AN167" s="4">
        <v>0</v>
      </c>
      <c r="AO167" s="4">
        <v>0</v>
      </c>
      <c r="AP167" s="3" t="s">
        <v>58</v>
      </c>
      <c r="AQ167" s="3" t="s">
        <v>69</v>
      </c>
      <c r="AR167" s="6" t="str">
        <f>HYPERLINK("http://catalog.hathitrust.org/Record/000614610","HathiTrust Record")</f>
        <v>HathiTrust Record</v>
      </c>
      <c r="AS167" s="6" t="str">
        <f>HYPERLINK("https://creighton-primo.hosted.exlibrisgroup.com/primo-explore/search?tab=default_tab&amp;search_scope=EVERYTHING&amp;vid=01CRU&amp;lang=en_US&amp;offset=0&amp;query=any,contains,991000756439702656","Catalog Record")</f>
        <v>Catalog Record</v>
      </c>
      <c r="AT167" s="6" t="str">
        <f>HYPERLINK("http://www.worldcat.org/oclc/12949137","WorldCat Record")</f>
        <v>WorldCat Record</v>
      </c>
      <c r="AU167" s="3" t="s">
        <v>2291</v>
      </c>
      <c r="AV167" s="3" t="s">
        <v>2292</v>
      </c>
      <c r="AW167" s="3" t="s">
        <v>2293</v>
      </c>
      <c r="AX167" s="3" t="s">
        <v>2293</v>
      </c>
      <c r="AY167" s="3" t="s">
        <v>2294</v>
      </c>
      <c r="AZ167" s="3" t="s">
        <v>74</v>
      </c>
      <c r="BB167" s="3" t="s">
        <v>2295</v>
      </c>
      <c r="BC167" s="3" t="s">
        <v>2296</v>
      </c>
      <c r="BD167" s="3" t="s">
        <v>2297</v>
      </c>
    </row>
    <row r="168" spans="1:56" ht="57.75" customHeight="1" x14ac:dyDescent="0.25">
      <c r="A168" s="7" t="s">
        <v>58</v>
      </c>
      <c r="B168" s="2" t="s">
        <v>2298</v>
      </c>
      <c r="C168" s="2" t="s">
        <v>2299</v>
      </c>
      <c r="D168" s="2" t="s">
        <v>2300</v>
      </c>
      <c r="E168" s="3" t="s">
        <v>801</v>
      </c>
      <c r="F168" s="3" t="s">
        <v>69</v>
      </c>
      <c r="G168" s="3" t="s">
        <v>59</v>
      </c>
      <c r="H168" s="3" t="s">
        <v>58</v>
      </c>
      <c r="I168" s="3" t="s">
        <v>58</v>
      </c>
      <c r="J168" s="3" t="s">
        <v>60</v>
      </c>
      <c r="L168" s="2" t="s">
        <v>2301</v>
      </c>
      <c r="M168" s="3" t="s">
        <v>847</v>
      </c>
      <c r="O168" s="3" t="s">
        <v>64</v>
      </c>
      <c r="P168" s="3" t="s">
        <v>234</v>
      </c>
      <c r="Q168" s="2" t="s">
        <v>2302</v>
      </c>
      <c r="R168" s="3" t="s">
        <v>1093</v>
      </c>
      <c r="S168" s="4">
        <v>4</v>
      </c>
      <c r="T168" s="4">
        <v>8</v>
      </c>
      <c r="U168" s="5" t="s">
        <v>2303</v>
      </c>
      <c r="V168" s="5" t="s">
        <v>2304</v>
      </c>
      <c r="W168" s="5" t="s">
        <v>208</v>
      </c>
      <c r="X168" s="5" t="s">
        <v>2305</v>
      </c>
      <c r="Y168" s="4">
        <v>369</v>
      </c>
      <c r="Z168" s="4">
        <v>296</v>
      </c>
      <c r="AA168" s="4">
        <v>338</v>
      </c>
      <c r="AB168" s="4">
        <v>4</v>
      </c>
      <c r="AC168" s="4">
        <v>4</v>
      </c>
      <c r="AD168" s="4">
        <v>14</v>
      </c>
      <c r="AE168" s="4">
        <v>16</v>
      </c>
      <c r="AF168" s="4">
        <v>7</v>
      </c>
      <c r="AG168" s="4">
        <v>7</v>
      </c>
      <c r="AH168" s="4">
        <v>1</v>
      </c>
      <c r="AI168" s="4">
        <v>3</v>
      </c>
      <c r="AJ168" s="4">
        <v>8</v>
      </c>
      <c r="AK168" s="4">
        <v>9</v>
      </c>
      <c r="AL168" s="4">
        <v>2</v>
      </c>
      <c r="AM168" s="4">
        <v>2</v>
      </c>
      <c r="AN168" s="4">
        <v>0</v>
      </c>
      <c r="AO168" s="4">
        <v>0</v>
      </c>
      <c r="AP168" s="3" t="s">
        <v>58</v>
      </c>
      <c r="AQ168" s="3" t="s">
        <v>69</v>
      </c>
      <c r="AR168" s="6" t="str">
        <f>HYPERLINK("http://catalog.hathitrust.org/Record/000466315","HathiTrust Record")</f>
        <v>HathiTrust Record</v>
      </c>
      <c r="AS168" s="6" t="str">
        <f>HYPERLINK("https://creighton-primo.hosted.exlibrisgroup.com/primo-explore/search?tab=default_tab&amp;search_scope=EVERYTHING&amp;vid=01CRU&amp;lang=en_US&amp;offset=0&amp;query=any,contains,991000123029702656","Catalog Record")</f>
        <v>Catalog Record</v>
      </c>
      <c r="AT168" s="6" t="str">
        <f>HYPERLINK("http://www.worldcat.org/oclc/9081189","WorldCat Record")</f>
        <v>WorldCat Record</v>
      </c>
      <c r="AU168" s="3" t="s">
        <v>2306</v>
      </c>
      <c r="AV168" s="3" t="s">
        <v>2307</v>
      </c>
      <c r="AW168" s="3" t="s">
        <v>2308</v>
      </c>
      <c r="AX168" s="3" t="s">
        <v>2308</v>
      </c>
      <c r="AY168" s="3" t="s">
        <v>2309</v>
      </c>
      <c r="AZ168" s="3" t="s">
        <v>74</v>
      </c>
      <c r="BB168" s="3" t="s">
        <v>2310</v>
      </c>
      <c r="BC168" s="3" t="s">
        <v>2311</v>
      </c>
      <c r="BD168" s="3" t="s">
        <v>2312</v>
      </c>
    </row>
    <row r="169" spans="1:56" ht="57.75" customHeight="1" x14ac:dyDescent="0.25">
      <c r="A169" s="7" t="s">
        <v>58</v>
      </c>
      <c r="B169" s="2" t="s">
        <v>2298</v>
      </c>
      <c r="C169" s="2" t="s">
        <v>2299</v>
      </c>
      <c r="D169" s="2" t="s">
        <v>2300</v>
      </c>
      <c r="E169" s="3" t="s">
        <v>2313</v>
      </c>
      <c r="F169" s="3" t="s">
        <v>69</v>
      </c>
      <c r="G169" s="3" t="s">
        <v>59</v>
      </c>
      <c r="H169" s="3" t="s">
        <v>58</v>
      </c>
      <c r="I169" s="3" t="s">
        <v>58</v>
      </c>
      <c r="J169" s="3" t="s">
        <v>60</v>
      </c>
      <c r="L169" s="2" t="s">
        <v>2301</v>
      </c>
      <c r="M169" s="3" t="s">
        <v>847</v>
      </c>
      <c r="O169" s="3" t="s">
        <v>64</v>
      </c>
      <c r="P169" s="3" t="s">
        <v>234</v>
      </c>
      <c r="Q169" s="2" t="s">
        <v>2302</v>
      </c>
      <c r="R169" s="3" t="s">
        <v>1093</v>
      </c>
      <c r="S169" s="4">
        <v>2</v>
      </c>
      <c r="T169" s="4">
        <v>8</v>
      </c>
      <c r="U169" s="5" t="s">
        <v>2304</v>
      </c>
      <c r="V169" s="5" t="s">
        <v>2304</v>
      </c>
      <c r="W169" s="5" t="s">
        <v>2305</v>
      </c>
      <c r="X169" s="5" t="s">
        <v>2305</v>
      </c>
      <c r="Y169" s="4">
        <v>369</v>
      </c>
      <c r="Z169" s="4">
        <v>296</v>
      </c>
      <c r="AA169" s="4">
        <v>338</v>
      </c>
      <c r="AB169" s="4">
        <v>4</v>
      </c>
      <c r="AC169" s="4">
        <v>4</v>
      </c>
      <c r="AD169" s="4">
        <v>14</v>
      </c>
      <c r="AE169" s="4">
        <v>16</v>
      </c>
      <c r="AF169" s="4">
        <v>7</v>
      </c>
      <c r="AG169" s="4">
        <v>7</v>
      </c>
      <c r="AH169" s="4">
        <v>1</v>
      </c>
      <c r="AI169" s="4">
        <v>3</v>
      </c>
      <c r="AJ169" s="4">
        <v>8</v>
      </c>
      <c r="AK169" s="4">
        <v>9</v>
      </c>
      <c r="AL169" s="4">
        <v>2</v>
      </c>
      <c r="AM169" s="4">
        <v>2</v>
      </c>
      <c r="AN169" s="4">
        <v>0</v>
      </c>
      <c r="AO169" s="4">
        <v>0</v>
      </c>
      <c r="AP169" s="3" t="s">
        <v>58</v>
      </c>
      <c r="AQ169" s="3" t="s">
        <v>69</v>
      </c>
      <c r="AR169" s="6" t="str">
        <f>HYPERLINK("http://catalog.hathitrust.org/Record/000466315","HathiTrust Record")</f>
        <v>HathiTrust Record</v>
      </c>
      <c r="AS169" s="6" t="str">
        <f>HYPERLINK("https://creighton-primo.hosted.exlibrisgroup.com/primo-explore/search?tab=default_tab&amp;search_scope=EVERYTHING&amp;vid=01CRU&amp;lang=en_US&amp;offset=0&amp;query=any,contains,991000123029702656","Catalog Record")</f>
        <v>Catalog Record</v>
      </c>
      <c r="AT169" s="6" t="str">
        <f>HYPERLINK("http://www.worldcat.org/oclc/9081189","WorldCat Record")</f>
        <v>WorldCat Record</v>
      </c>
      <c r="AU169" s="3" t="s">
        <v>2306</v>
      </c>
      <c r="AV169" s="3" t="s">
        <v>2307</v>
      </c>
      <c r="AW169" s="3" t="s">
        <v>2308</v>
      </c>
      <c r="AX169" s="3" t="s">
        <v>2308</v>
      </c>
      <c r="AY169" s="3" t="s">
        <v>2309</v>
      </c>
      <c r="AZ169" s="3" t="s">
        <v>74</v>
      </c>
      <c r="BB169" s="3" t="s">
        <v>2310</v>
      </c>
      <c r="BC169" s="3" t="s">
        <v>2314</v>
      </c>
      <c r="BD169" s="3" t="s">
        <v>2315</v>
      </c>
    </row>
    <row r="170" spans="1:56" ht="57.75" customHeight="1" x14ac:dyDescent="0.25">
      <c r="A170" s="7" t="s">
        <v>58</v>
      </c>
      <c r="B170" s="2" t="s">
        <v>2298</v>
      </c>
      <c r="C170" s="2" t="s">
        <v>2299</v>
      </c>
      <c r="D170" s="2" t="s">
        <v>2300</v>
      </c>
      <c r="E170" s="3" t="s">
        <v>789</v>
      </c>
      <c r="F170" s="3" t="s">
        <v>69</v>
      </c>
      <c r="G170" s="3" t="s">
        <v>59</v>
      </c>
      <c r="H170" s="3" t="s">
        <v>58</v>
      </c>
      <c r="I170" s="3" t="s">
        <v>58</v>
      </c>
      <c r="J170" s="3" t="s">
        <v>60</v>
      </c>
      <c r="L170" s="2" t="s">
        <v>2301</v>
      </c>
      <c r="M170" s="3" t="s">
        <v>847</v>
      </c>
      <c r="O170" s="3" t="s">
        <v>64</v>
      </c>
      <c r="P170" s="3" t="s">
        <v>234</v>
      </c>
      <c r="Q170" s="2" t="s">
        <v>2302</v>
      </c>
      <c r="R170" s="3" t="s">
        <v>1093</v>
      </c>
      <c r="S170" s="4">
        <v>2</v>
      </c>
      <c r="T170" s="4">
        <v>8</v>
      </c>
      <c r="U170" s="5" t="s">
        <v>2316</v>
      </c>
      <c r="V170" s="5" t="s">
        <v>2304</v>
      </c>
      <c r="W170" s="5" t="s">
        <v>2317</v>
      </c>
      <c r="X170" s="5" t="s">
        <v>2305</v>
      </c>
      <c r="Y170" s="4">
        <v>369</v>
      </c>
      <c r="Z170" s="4">
        <v>296</v>
      </c>
      <c r="AA170" s="4">
        <v>338</v>
      </c>
      <c r="AB170" s="4">
        <v>4</v>
      </c>
      <c r="AC170" s="4">
        <v>4</v>
      </c>
      <c r="AD170" s="4">
        <v>14</v>
      </c>
      <c r="AE170" s="4">
        <v>16</v>
      </c>
      <c r="AF170" s="4">
        <v>7</v>
      </c>
      <c r="AG170" s="4">
        <v>7</v>
      </c>
      <c r="AH170" s="4">
        <v>1</v>
      </c>
      <c r="AI170" s="4">
        <v>3</v>
      </c>
      <c r="AJ170" s="4">
        <v>8</v>
      </c>
      <c r="AK170" s="4">
        <v>9</v>
      </c>
      <c r="AL170" s="4">
        <v>2</v>
      </c>
      <c r="AM170" s="4">
        <v>2</v>
      </c>
      <c r="AN170" s="4">
        <v>0</v>
      </c>
      <c r="AO170" s="4">
        <v>0</v>
      </c>
      <c r="AP170" s="3" t="s">
        <v>58</v>
      </c>
      <c r="AQ170" s="3" t="s">
        <v>69</v>
      </c>
      <c r="AR170" s="6" t="str">
        <f>HYPERLINK("http://catalog.hathitrust.org/Record/000466315","HathiTrust Record")</f>
        <v>HathiTrust Record</v>
      </c>
      <c r="AS170" s="6" t="str">
        <f>HYPERLINK("https://creighton-primo.hosted.exlibrisgroup.com/primo-explore/search?tab=default_tab&amp;search_scope=EVERYTHING&amp;vid=01CRU&amp;lang=en_US&amp;offset=0&amp;query=any,contains,991000123029702656","Catalog Record")</f>
        <v>Catalog Record</v>
      </c>
      <c r="AT170" s="6" t="str">
        <f>HYPERLINK("http://www.worldcat.org/oclc/9081189","WorldCat Record")</f>
        <v>WorldCat Record</v>
      </c>
      <c r="AU170" s="3" t="s">
        <v>2306</v>
      </c>
      <c r="AV170" s="3" t="s">
        <v>2307</v>
      </c>
      <c r="AW170" s="3" t="s">
        <v>2308</v>
      </c>
      <c r="AX170" s="3" t="s">
        <v>2308</v>
      </c>
      <c r="AY170" s="3" t="s">
        <v>2309</v>
      </c>
      <c r="AZ170" s="3" t="s">
        <v>74</v>
      </c>
      <c r="BB170" s="3" t="s">
        <v>2310</v>
      </c>
      <c r="BC170" s="3" t="s">
        <v>2318</v>
      </c>
      <c r="BD170" s="3" t="s">
        <v>2319</v>
      </c>
    </row>
    <row r="171" spans="1:56" ht="57.75" customHeight="1" x14ac:dyDescent="0.25">
      <c r="A171" s="7" t="s">
        <v>58</v>
      </c>
      <c r="B171" s="2" t="s">
        <v>2320</v>
      </c>
      <c r="C171" s="2" t="s">
        <v>2321</v>
      </c>
      <c r="D171" s="2" t="s">
        <v>2322</v>
      </c>
      <c r="F171" s="3" t="s">
        <v>58</v>
      </c>
      <c r="G171" s="3" t="s">
        <v>59</v>
      </c>
      <c r="H171" s="3" t="s">
        <v>58</v>
      </c>
      <c r="I171" s="3" t="s">
        <v>58</v>
      </c>
      <c r="J171" s="3" t="s">
        <v>60</v>
      </c>
      <c r="K171" s="2" t="s">
        <v>2323</v>
      </c>
      <c r="L171" s="2" t="s">
        <v>2324</v>
      </c>
      <c r="M171" s="3" t="s">
        <v>323</v>
      </c>
      <c r="O171" s="3" t="s">
        <v>64</v>
      </c>
      <c r="P171" s="3" t="s">
        <v>412</v>
      </c>
      <c r="R171" s="3" t="s">
        <v>1093</v>
      </c>
      <c r="S171" s="4">
        <v>6</v>
      </c>
      <c r="T171" s="4">
        <v>6</v>
      </c>
      <c r="U171" s="5" t="s">
        <v>2290</v>
      </c>
      <c r="V171" s="5" t="s">
        <v>2290</v>
      </c>
      <c r="W171" s="5" t="s">
        <v>2325</v>
      </c>
      <c r="X171" s="5" t="s">
        <v>2325</v>
      </c>
      <c r="Y171" s="4">
        <v>272</v>
      </c>
      <c r="Z171" s="4">
        <v>187</v>
      </c>
      <c r="AA171" s="4">
        <v>188</v>
      </c>
      <c r="AB171" s="4">
        <v>3</v>
      </c>
      <c r="AC171" s="4">
        <v>3</v>
      </c>
      <c r="AD171" s="4">
        <v>7</v>
      </c>
      <c r="AE171" s="4">
        <v>7</v>
      </c>
      <c r="AF171" s="4">
        <v>3</v>
      </c>
      <c r="AG171" s="4">
        <v>3</v>
      </c>
      <c r="AH171" s="4">
        <v>0</v>
      </c>
      <c r="AI171" s="4">
        <v>0</v>
      </c>
      <c r="AJ171" s="4">
        <v>5</v>
      </c>
      <c r="AK171" s="4">
        <v>5</v>
      </c>
      <c r="AL171" s="4">
        <v>1</v>
      </c>
      <c r="AM171" s="4">
        <v>1</v>
      </c>
      <c r="AN171" s="4">
        <v>0</v>
      </c>
      <c r="AO171" s="4">
        <v>0</v>
      </c>
      <c r="AP171" s="3" t="s">
        <v>58</v>
      </c>
      <c r="AQ171" s="3" t="s">
        <v>69</v>
      </c>
      <c r="AR171" s="6" t="str">
        <f>HYPERLINK("http://catalog.hathitrust.org/Record/001841684","HathiTrust Record")</f>
        <v>HathiTrust Record</v>
      </c>
      <c r="AS171" s="6" t="str">
        <f>HYPERLINK("https://creighton-primo.hosted.exlibrisgroup.com/primo-explore/search?tab=default_tab&amp;search_scope=EVERYTHING&amp;vid=01CRU&amp;lang=en_US&amp;offset=0&amp;query=any,contains,991001433549702656","Catalog Record")</f>
        <v>Catalog Record</v>
      </c>
      <c r="AT171" s="6" t="str">
        <f>HYPERLINK("http://www.worldcat.org/oclc/19125372","WorldCat Record")</f>
        <v>WorldCat Record</v>
      </c>
      <c r="AU171" s="3" t="s">
        <v>2326</v>
      </c>
      <c r="AV171" s="3" t="s">
        <v>2327</v>
      </c>
      <c r="AW171" s="3" t="s">
        <v>2328</v>
      </c>
      <c r="AX171" s="3" t="s">
        <v>2328</v>
      </c>
      <c r="AY171" s="3" t="s">
        <v>2329</v>
      </c>
      <c r="AZ171" s="3" t="s">
        <v>74</v>
      </c>
      <c r="BB171" s="3" t="s">
        <v>2330</v>
      </c>
      <c r="BC171" s="3" t="s">
        <v>2331</v>
      </c>
      <c r="BD171" s="3" t="s">
        <v>2332</v>
      </c>
    </row>
    <row r="172" spans="1:56" ht="57.75" customHeight="1" x14ac:dyDescent="0.25">
      <c r="A172" s="7" t="s">
        <v>58</v>
      </c>
      <c r="B172" s="2" t="s">
        <v>2333</v>
      </c>
      <c r="C172" s="2" t="s">
        <v>2334</v>
      </c>
      <c r="D172" s="2" t="s">
        <v>2335</v>
      </c>
      <c r="F172" s="3" t="s">
        <v>58</v>
      </c>
      <c r="G172" s="3" t="s">
        <v>59</v>
      </c>
      <c r="H172" s="3" t="s">
        <v>58</v>
      </c>
      <c r="I172" s="3" t="s">
        <v>58</v>
      </c>
      <c r="J172" s="3" t="s">
        <v>60</v>
      </c>
      <c r="K172" s="2" t="s">
        <v>2336</v>
      </c>
      <c r="L172" s="2" t="s">
        <v>2337</v>
      </c>
      <c r="M172" s="3" t="s">
        <v>621</v>
      </c>
      <c r="N172" s="2" t="s">
        <v>2338</v>
      </c>
      <c r="O172" s="3" t="s">
        <v>64</v>
      </c>
      <c r="P172" s="3" t="s">
        <v>412</v>
      </c>
      <c r="Q172" s="2" t="s">
        <v>2339</v>
      </c>
      <c r="R172" s="3" t="s">
        <v>1093</v>
      </c>
      <c r="S172" s="4">
        <v>9</v>
      </c>
      <c r="T172" s="4">
        <v>9</v>
      </c>
      <c r="U172" s="5" t="s">
        <v>931</v>
      </c>
      <c r="V172" s="5" t="s">
        <v>931</v>
      </c>
      <c r="W172" s="5" t="s">
        <v>2340</v>
      </c>
      <c r="X172" s="5" t="s">
        <v>2340</v>
      </c>
      <c r="Y172" s="4">
        <v>433</v>
      </c>
      <c r="Z172" s="4">
        <v>308</v>
      </c>
      <c r="AA172" s="4">
        <v>754</v>
      </c>
      <c r="AB172" s="4">
        <v>4</v>
      </c>
      <c r="AC172" s="4">
        <v>4</v>
      </c>
      <c r="AD172" s="4">
        <v>15</v>
      </c>
      <c r="AE172" s="4">
        <v>40</v>
      </c>
      <c r="AF172" s="4">
        <v>5</v>
      </c>
      <c r="AG172" s="4">
        <v>17</v>
      </c>
      <c r="AH172" s="4">
        <v>3</v>
      </c>
      <c r="AI172" s="4">
        <v>9</v>
      </c>
      <c r="AJ172" s="4">
        <v>10</v>
      </c>
      <c r="AK172" s="4">
        <v>23</v>
      </c>
      <c r="AL172" s="4">
        <v>3</v>
      </c>
      <c r="AM172" s="4">
        <v>3</v>
      </c>
      <c r="AN172" s="4">
        <v>0</v>
      </c>
      <c r="AO172" s="4">
        <v>0</v>
      </c>
      <c r="AP172" s="3" t="s">
        <v>58</v>
      </c>
      <c r="AQ172" s="3" t="s">
        <v>69</v>
      </c>
      <c r="AR172" s="6" t="str">
        <f>HYPERLINK("http://catalog.hathitrust.org/Record/008545178","HathiTrust Record")</f>
        <v>HathiTrust Record</v>
      </c>
      <c r="AS172" s="6" t="str">
        <f>HYPERLINK("https://creighton-primo.hosted.exlibrisgroup.com/primo-explore/search?tab=default_tab&amp;search_scope=EVERYTHING&amp;vid=01CRU&amp;lang=en_US&amp;offset=0&amp;query=any,contains,991002657539702656","Catalog Record")</f>
        <v>Catalog Record</v>
      </c>
      <c r="AT172" s="6" t="str">
        <f>HYPERLINK("http://www.worldcat.org/oclc/390136","WorldCat Record")</f>
        <v>WorldCat Record</v>
      </c>
      <c r="AU172" s="3" t="s">
        <v>2341</v>
      </c>
      <c r="AV172" s="3" t="s">
        <v>2342</v>
      </c>
      <c r="AW172" s="3" t="s">
        <v>2343</v>
      </c>
      <c r="AX172" s="3" t="s">
        <v>2343</v>
      </c>
      <c r="AY172" s="3" t="s">
        <v>2344</v>
      </c>
      <c r="AZ172" s="3" t="s">
        <v>74</v>
      </c>
      <c r="BB172" s="3" t="s">
        <v>2345</v>
      </c>
      <c r="BC172" s="3" t="s">
        <v>2346</v>
      </c>
      <c r="BD172" s="3" t="s">
        <v>2347</v>
      </c>
    </row>
    <row r="173" spans="1:56" ht="57.75" customHeight="1" x14ac:dyDescent="0.25">
      <c r="A173" s="7" t="s">
        <v>58</v>
      </c>
      <c r="B173" s="2" t="s">
        <v>2348</v>
      </c>
      <c r="C173" s="2" t="s">
        <v>2349</v>
      </c>
      <c r="D173" s="2" t="s">
        <v>2350</v>
      </c>
      <c r="F173" s="3" t="s">
        <v>58</v>
      </c>
      <c r="G173" s="3" t="s">
        <v>59</v>
      </c>
      <c r="H173" s="3" t="s">
        <v>58</v>
      </c>
      <c r="I173" s="3" t="s">
        <v>58</v>
      </c>
      <c r="J173" s="3" t="s">
        <v>60</v>
      </c>
      <c r="K173" s="2" t="s">
        <v>2351</v>
      </c>
      <c r="L173" s="2" t="s">
        <v>2352</v>
      </c>
      <c r="M173" s="3" t="s">
        <v>1254</v>
      </c>
      <c r="O173" s="3" t="s">
        <v>64</v>
      </c>
      <c r="P173" s="3" t="s">
        <v>1841</v>
      </c>
      <c r="R173" s="3" t="s">
        <v>1093</v>
      </c>
      <c r="S173" s="4">
        <v>7</v>
      </c>
      <c r="T173" s="4">
        <v>7</v>
      </c>
      <c r="U173" s="5" t="s">
        <v>2353</v>
      </c>
      <c r="V173" s="5" t="s">
        <v>2353</v>
      </c>
      <c r="W173" s="5" t="s">
        <v>2354</v>
      </c>
      <c r="X173" s="5" t="s">
        <v>2354</v>
      </c>
      <c r="Y173" s="4">
        <v>451</v>
      </c>
      <c r="Z173" s="4">
        <v>358</v>
      </c>
      <c r="AA173" s="4">
        <v>365</v>
      </c>
      <c r="AB173" s="4">
        <v>4</v>
      </c>
      <c r="AC173" s="4">
        <v>4</v>
      </c>
      <c r="AD173" s="4">
        <v>19</v>
      </c>
      <c r="AE173" s="4">
        <v>19</v>
      </c>
      <c r="AF173" s="4">
        <v>8</v>
      </c>
      <c r="AG173" s="4">
        <v>8</v>
      </c>
      <c r="AH173" s="4">
        <v>5</v>
      </c>
      <c r="AI173" s="4">
        <v>5</v>
      </c>
      <c r="AJ173" s="4">
        <v>10</v>
      </c>
      <c r="AK173" s="4">
        <v>10</v>
      </c>
      <c r="AL173" s="4">
        <v>3</v>
      </c>
      <c r="AM173" s="4">
        <v>3</v>
      </c>
      <c r="AN173" s="4">
        <v>0</v>
      </c>
      <c r="AO173" s="4">
        <v>0</v>
      </c>
      <c r="AP173" s="3" t="s">
        <v>58</v>
      </c>
      <c r="AQ173" s="3" t="s">
        <v>58</v>
      </c>
      <c r="AS173" s="6" t="str">
        <f>HYPERLINK("https://creighton-primo.hosted.exlibrisgroup.com/primo-explore/search?tab=default_tab&amp;search_scope=EVERYTHING&amp;vid=01CRU&amp;lang=en_US&amp;offset=0&amp;query=any,contains,991004108149702656","Catalog Record")</f>
        <v>Catalog Record</v>
      </c>
      <c r="AT173" s="6" t="str">
        <f>HYPERLINK("http://www.worldcat.org/oclc/49404294","WorldCat Record")</f>
        <v>WorldCat Record</v>
      </c>
      <c r="AU173" s="3" t="s">
        <v>2355</v>
      </c>
      <c r="AV173" s="3" t="s">
        <v>2356</v>
      </c>
      <c r="AW173" s="3" t="s">
        <v>2357</v>
      </c>
      <c r="AX173" s="3" t="s">
        <v>2357</v>
      </c>
      <c r="AY173" s="3" t="s">
        <v>2358</v>
      </c>
      <c r="AZ173" s="3" t="s">
        <v>74</v>
      </c>
      <c r="BB173" s="3" t="s">
        <v>2359</v>
      </c>
      <c r="BC173" s="3" t="s">
        <v>2360</v>
      </c>
      <c r="BD173" s="3" t="s">
        <v>2361</v>
      </c>
    </row>
    <row r="174" spans="1:56" ht="57.75" customHeight="1" x14ac:dyDescent="0.25">
      <c r="A174" s="7" t="s">
        <v>58</v>
      </c>
      <c r="B174" s="2" t="s">
        <v>2362</v>
      </c>
      <c r="C174" s="2" t="s">
        <v>2363</v>
      </c>
      <c r="D174" s="2" t="s">
        <v>2364</v>
      </c>
      <c r="F174" s="3" t="s">
        <v>58</v>
      </c>
      <c r="G174" s="3" t="s">
        <v>59</v>
      </c>
      <c r="H174" s="3" t="s">
        <v>58</v>
      </c>
      <c r="I174" s="3" t="s">
        <v>58</v>
      </c>
      <c r="J174" s="3" t="s">
        <v>60</v>
      </c>
      <c r="K174" s="2" t="s">
        <v>2365</v>
      </c>
      <c r="L174" s="2" t="s">
        <v>2366</v>
      </c>
      <c r="M174" s="3" t="s">
        <v>205</v>
      </c>
      <c r="O174" s="3" t="s">
        <v>64</v>
      </c>
      <c r="P174" s="3" t="s">
        <v>412</v>
      </c>
      <c r="R174" s="3" t="s">
        <v>1093</v>
      </c>
      <c r="S174" s="4">
        <v>6</v>
      </c>
      <c r="T174" s="4">
        <v>6</v>
      </c>
      <c r="U174" s="5" t="s">
        <v>1901</v>
      </c>
      <c r="V174" s="5" t="s">
        <v>1901</v>
      </c>
      <c r="W174" s="5" t="s">
        <v>68</v>
      </c>
      <c r="X174" s="5" t="s">
        <v>68</v>
      </c>
      <c r="Y174" s="4">
        <v>195</v>
      </c>
      <c r="Z174" s="4">
        <v>102</v>
      </c>
      <c r="AA174" s="4">
        <v>102</v>
      </c>
      <c r="AB174" s="4">
        <v>2</v>
      </c>
      <c r="AC174" s="4">
        <v>2</v>
      </c>
      <c r="AD174" s="4">
        <v>5</v>
      </c>
      <c r="AE174" s="4">
        <v>5</v>
      </c>
      <c r="AF174" s="4">
        <v>2</v>
      </c>
      <c r="AG174" s="4">
        <v>2</v>
      </c>
      <c r="AH174" s="4">
        <v>0</v>
      </c>
      <c r="AI174" s="4">
        <v>0</v>
      </c>
      <c r="AJ174" s="4">
        <v>4</v>
      </c>
      <c r="AK174" s="4">
        <v>4</v>
      </c>
      <c r="AL174" s="4">
        <v>1</v>
      </c>
      <c r="AM174" s="4">
        <v>1</v>
      </c>
      <c r="AN174" s="4">
        <v>0</v>
      </c>
      <c r="AO174" s="4">
        <v>0</v>
      </c>
      <c r="AP174" s="3" t="s">
        <v>58</v>
      </c>
      <c r="AQ174" s="3" t="s">
        <v>58</v>
      </c>
      <c r="AS174" s="6" t="str">
        <f>HYPERLINK("https://creighton-primo.hosted.exlibrisgroup.com/primo-explore/search?tab=default_tab&amp;search_scope=EVERYTHING&amp;vid=01CRU&amp;lang=en_US&amp;offset=0&amp;query=any,contains,991004966079702656","Catalog Record")</f>
        <v>Catalog Record</v>
      </c>
      <c r="AT174" s="6" t="str">
        <f>HYPERLINK("http://www.worldcat.org/oclc/6332848","WorldCat Record")</f>
        <v>WorldCat Record</v>
      </c>
      <c r="AU174" s="3" t="s">
        <v>2367</v>
      </c>
      <c r="AV174" s="3" t="s">
        <v>2368</v>
      </c>
      <c r="AW174" s="3" t="s">
        <v>2369</v>
      </c>
      <c r="AX174" s="3" t="s">
        <v>2369</v>
      </c>
      <c r="AY174" s="3" t="s">
        <v>2370</v>
      </c>
      <c r="AZ174" s="3" t="s">
        <v>74</v>
      </c>
      <c r="BB174" s="3" t="s">
        <v>2371</v>
      </c>
      <c r="BC174" s="3" t="s">
        <v>2372</v>
      </c>
      <c r="BD174" s="3" t="s">
        <v>2373</v>
      </c>
    </row>
    <row r="175" spans="1:56" ht="57.75" customHeight="1" x14ac:dyDescent="0.25">
      <c r="A175" s="7" t="s">
        <v>58</v>
      </c>
      <c r="B175" s="2" t="s">
        <v>2374</v>
      </c>
      <c r="C175" s="2" t="s">
        <v>2375</v>
      </c>
      <c r="D175" s="2" t="s">
        <v>2376</v>
      </c>
      <c r="F175" s="3" t="s">
        <v>58</v>
      </c>
      <c r="G175" s="3" t="s">
        <v>59</v>
      </c>
      <c r="H175" s="3" t="s">
        <v>58</v>
      </c>
      <c r="I175" s="3" t="s">
        <v>58</v>
      </c>
      <c r="J175" s="3" t="s">
        <v>60</v>
      </c>
      <c r="K175" s="2" t="s">
        <v>2377</v>
      </c>
      <c r="L175" s="2" t="s">
        <v>2378</v>
      </c>
      <c r="M175" s="3" t="s">
        <v>1986</v>
      </c>
      <c r="O175" s="3" t="s">
        <v>64</v>
      </c>
      <c r="P175" s="3" t="s">
        <v>234</v>
      </c>
      <c r="R175" s="3" t="s">
        <v>1093</v>
      </c>
      <c r="S175" s="4">
        <v>5</v>
      </c>
      <c r="T175" s="4">
        <v>5</v>
      </c>
      <c r="U175" s="5" t="s">
        <v>2379</v>
      </c>
      <c r="V175" s="5" t="s">
        <v>2379</v>
      </c>
      <c r="W175" s="5" t="s">
        <v>2380</v>
      </c>
      <c r="X175" s="5" t="s">
        <v>2380</v>
      </c>
      <c r="Y175" s="4">
        <v>552</v>
      </c>
      <c r="Z175" s="4">
        <v>464</v>
      </c>
      <c r="AA175" s="4">
        <v>506</v>
      </c>
      <c r="AB175" s="4">
        <v>5</v>
      </c>
      <c r="AC175" s="4">
        <v>5</v>
      </c>
      <c r="AD175" s="4">
        <v>22</v>
      </c>
      <c r="AE175" s="4">
        <v>23</v>
      </c>
      <c r="AF175" s="4">
        <v>9</v>
      </c>
      <c r="AG175" s="4">
        <v>9</v>
      </c>
      <c r="AH175" s="4">
        <v>4</v>
      </c>
      <c r="AI175" s="4">
        <v>5</v>
      </c>
      <c r="AJ175" s="4">
        <v>10</v>
      </c>
      <c r="AK175" s="4">
        <v>10</v>
      </c>
      <c r="AL175" s="4">
        <v>4</v>
      </c>
      <c r="AM175" s="4">
        <v>4</v>
      </c>
      <c r="AN175" s="4">
        <v>0</v>
      </c>
      <c r="AO175" s="4">
        <v>0</v>
      </c>
      <c r="AP175" s="3" t="s">
        <v>58</v>
      </c>
      <c r="AQ175" s="3" t="s">
        <v>69</v>
      </c>
      <c r="AR175" s="6" t="str">
        <f>HYPERLINK("http://catalog.hathitrust.org/Record/004029691","HathiTrust Record")</f>
        <v>HathiTrust Record</v>
      </c>
      <c r="AS175" s="6" t="str">
        <f>HYPERLINK("https://creighton-primo.hosted.exlibrisgroup.com/primo-explore/search?tab=default_tab&amp;search_scope=EVERYTHING&amp;vid=01CRU&amp;lang=en_US&amp;offset=0&amp;query=any,contains,991002897149702656","Catalog Record")</f>
        <v>Catalog Record</v>
      </c>
      <c r="AT175" s="6" t="str">
        <f>HYPERLINK("http://www.worldcat.org/oclc/38179875","WorldCat Record")</f>
        <v>WorldCat Record</v>
      </c>
      <c r="AU175" s="3" t="s">
        <v>2381</v>
      </c>
      <c r="AV175" s="3" t="s">
        <v>2382</v>
      </c>
      <c r="AW175" s="3" t="s">
        <v>2383</v>
      </c>
      <c r="AX175" s="3" t="s">
        <v>2383</v>
      </c>
      <c r="AY175" s="3" t="s">
        <v>2384</v>
      </c>
      <c r="AZ175" s="3" t="s">
        <v>74</v>
      </c>
      <c r="BB175" s="3" t="s">
        <v>2385</v>
      </c>
      <c r="BC175" s="3" t="s">
        <v>2386</v>
      </c>
      <c r="BD175" s="3" t="s">
        <v>2387</v>
      </c>
    </row>
    <row r="176" spans="1:56" ht="57.75" customHeight="1" x14ac:dyDescent="0.25">
      <c r="A176" s="7" t="s">
        <v>58</v>
      </c>
      <c r="B176" s="2" t="s">
        <v>2388</v>
      </c>
      <c r="C176" s="2" t="s">
        <v>2389</v>
      </c>
      <c r="D176" s="2" t="s">
        <v>2390</v>
      </c>
      <c r="F176" s="3" t="s">
        <v>58</v>
      </c>
      <c r="G176" s="3" t="s">
        <v>59</v>
      </c>
      <c r="H176" s="3" t="s">
        <v>58</v>
      </c>
      <c r="I176" s="3" t="s">
        <v>58</v>
      </c>
      <c r="J176" s="3" t="s">
        <v>60</v>
      </c>
      <c r="K176" s="2" t="s">
        <v>2391</v>
      </c>
      <c r="L176" s="2" t="s">
        <v>2392</v>
      </c>
      <c r="M176" s="3" t="s">
        <v>1420</v>
      </c>
      <c r="O176" s="3" t="s">
        <v>64</v>
      </c>
      <c r="P176" s="3" t="s">
        <v>412</v>
      </c>
      <c r="R176" s="3" t="s">
        <v>1093</v>
      </c>
      <c r="S176" s="4">
        <v>1</v>
      </c>
      <c r="T176" s="4">
        <v>1</v>
      </c>
      <c r="U176" s="5" t="s">
        <v>2277</v>
      </c>
      <c r="V176" s="5" t="s">
        <v>2277</v>
      </c>
      <c r="W176" s="5" t="s">
        <v>2393</v>
      </c>
      <c r="X176" s="5" t="s">
        <v>2393</v>
      </c>
      <c r="Y176" s="4">
        <v>456</v>
      </c>
      <c r="Z176" s="4">
        <v>310</v>
      </c>
      <c r="AA176" s="4">
        <v>310</v>
      </c>
      <c r="AB176" s="4">
        <v>4</v>
      </c>
      <c r="AC176" s="4">
        <v>4</v>
      </c>
      <c r="AD176" s="4">
        <v>23</v>
      </c>
      <c r="AE176" s="4">
        <v>23</v>
      </c>
      <c r="AF176" s="4">
        <v>9</v>
      </c>
      <c r="AG176" s="4">
        <v>9</v>
      </c>
      <c r="AH176" s="4">
        <v>5</v>
      </c>
      <c r="AI176" s="4">
        <v>5</v>
      </c>
      <c r="AJ176" s="4">
        <v>13</v>
      </c>
      <c r="AK176" s="4">
        <v>13</v>
      </c>
      <c r="AL176" s="4">
        <v>3</v>
      </c>
      <c r="AM176" s="4">
        <v>3</v>
      </c>
      <c r="AN176" s="4">
        <v>0</v>
      </c>
      <c r="AO176" s="4">
        <v>0</v>
      </c>
      <c r="AP176" s="3" t="s">
        <v>58</v>
      </c>
      <c r="AQ176" s="3" t="s">
        <v>58</v>
      </c>
      <c r="AS176" s="6" t="str">
        <f>HYPERLINK("https://creighton-primo.hosted.exlibrisgroup.com/primo-explore/search?tab=default_tab&amp;search_scope=EVERYTHING&amp;vid=01CRU&amp;lang=en_US&amp;offset=0&amp;query=any,contains,991002916899702656","Catalog Record")</f>
        <v>Catalog Record</v>
      </c>
      <c r="AT176" s="6" t="str">
        <f>HYPERLINK("http://www.worldcat.org/oclc/38566435","WorldCat Record")</f>
        <v>WorldCat Record</v>
      </c>
      <c r="AU176" s="3" t="s">
        <v>2394</v>
      </c>
      <c r="AV176" s="3" t="s">
        <v>2395</v>
      </c>
      <c r="AW176" s="3" t="s">
        <v>2396</v>
      </c>
      <c r="AX176" s="3" t="s">
        <v>2396</v>
      </c>
      <c r="AY176" s="3" t="s">
        <v>2397</v>
      </c>
      <c r="AZ176" s="3" t="s">
        <v>74</v>
      </c>
      <c r="BB176" s="3" t="s">
        <v>2398</v>
      </c>
      <c r="BC176" s="3" t="s">
        <v>2399</v>
      </c>
      <c r="BD176" s="3" t="s">
        <v>2400</v>
      </c>
    </row>
    <row r="177" spans="1:56" ht="57.75" customHeight="1" x14ac:dyDescent="0.25">
      <c r="A177" s="7" t="s">
        <v>58</v>
      </c>
      <c r="B177" s="2" t="s">
        <v>2401</v>
      </c>
      <c r="C177" s="2" t="s">
        <v>2402</v>
      </c>
      <c r="D177" s="2" t="s">
        <v>2403</v>
      </c>
      <c r="F177" s="3" t="s">
        <v>58</v>
      </c>
      <c r="G177" s="3" t="s">
        <v>59</v>
      </c>
      <c r="H177" s="3" t="s">
        <v>58</v>
      </c>
      <c r="I177" s="3" t="s">
        <v>58</v>
      </c>
      <c r="J177" s="3" t="s">
        <v>60</v>
      </c>
      <c r="K177" s="2" t="s">
        <v>2404</v>
      </c>
      <c r="L177" s="2" t="s">
        <v>2405</v>
      </c>
      <c r="M177" s="3" t="s">
        <v>1120</v>
      </c>
      <c r="O177" s="3" t="s">
        <v>64</v>
      </c>
      <c r="P177" s="3" t="s">
        <v>412</v>
      </c>
      <c r="Q177" s="2" t="s">
        <v>2406</v>
      </c>
      <c r="R177" s="3" t="s">
        <v>1093</v>
      </c>
      <c r="S177" s="4">
        <v>12</v>
      </c>
      <c r="T177" s="4">
        <v>12</v>
      </c>
      <c r="U177" s="5" t="s">
        <v>2407</v>
      </c>
      <c r="V177" s="5" t="s">
        <v>2407</v>
      </c>
      <c r="W177" s="5" t="s">
        <v>2408</v>
      </c>
      <c r="X177" s="5" t="s">
        <v>2408</v>
      </c>
      <c r="Y177" s="4">
        <v>425</v>
      </c>
      <c r="Z177" s="4">
        <v>316</v>
      </c>
      <c r="AA177" s="4">
        <v>320</v>
      </c>
      <c r="AB177" s="4">
        <v>3</v>
      </c>
      <c r="AC177" s="4">
        <v>3</v>
      </c>
      <c r="AD177" s="4">
        <v>22</v>
      </c>
      <c r="AE177" s="4">
        <v>22</v>
      </c>
      <c r="AF177" s="4">
        <v>10</v>
      </c>
      <c r="AG177" s="4">
        <v>10</v>
      </c>
      <c r="AH177" s="4">
        <v>6</v>
      </c>
      <c r="AI177" s="4">
        <v>6</v>
      </c>
      <c r="AJ177" s="4">
        <v>13</v>
      </c>
      <c r="AK177" s="4">
        <v>13</v>
      </c>
      <c r="AL177" s="4">
        <v>2</v>
      </c>
      <c r="AM177" s="4">
        <v>2</v>
      </c>
      <c r="AN177" s="4">
        <v>0</v>
      </c>
      <c r="AO177" s="4">
        <v>0</v>
      </c>
      <c r="AP177" s="3" t="s">
        <v>58</v>
      </c>
      <c r="AQ177" s="3" t="s">
        <v>69</v>
      </c>
      <c r="AR177" s="6" t="str">
        <f>HYPERLINK("http://catalog.hathitrust.org/Record/000433183","HathiTrust Record")</f>
        <v>HathiTrust Record</v>
      </c>
      <c r="AS177" s="6" t="str">
        <f>HYPERLINK("https://creighton-primo.hosted.exlibrisgroup.com/primo-explore/search?tab=default_tab&amp;search_scope=EVERYTHING&amp;vid=01CRU&amp;lang=en_US&amp;offset=0&amp;query=any,contains,991000677069702656","Catalog Record")</f>
        <v>Catalog Record</v>
      </c>
      <c r="AT177" s="6" t="str">
        <f>HYPERLINK("http://www.worldcat.org/oclc/12369952","WorldCat Record")</f>
        <v>WorldCat Record</v>
      </c>
      <c r="AU177" s="3" t="s">
        <v>2409</v>
      </c>
      <c r="AV177" s="3" t="s">
        <v>2410</v>
      </c>
      <c r="AW177" s="3" t="s">
        <v>2411</v>
      </c>
      <c r="AX177" s="3" t="s">
        <v>2411</v>
      </c>
      <c r="AY177" s="3" t="s">
        <v>2412</v>
      </c>
      <c r="AZ177" s="3" t="s">
        <v>74</v>
      </c>
      <c r="BB177" s="3" t="s">
        <v>2413</v>
      </c>
      <c r="BC177" s="3" t="s">
        <v>2414</v>
      </c>
      <c r="BD177" s="3" t="s">
        <v>2415</v>
      </c>
    </row>
    <row r="178" spans="1:56" ht="57.75" customHeight="1" x14ac:dyDescent="0.25">
      <c r="A178" s="7" t="s">
        <v>58</v>
      </c>
      <c r="B178" s="2" t="s">
        <v>2416</v>
      </c>
      <c r="C178" s="2" t="s">
        <v>2417</v>
      </c>
      <c r="D178" s="2" t="s">
        <v>2418</v>
      </c>
      <c r="F178" s="3" t="s">
        <v>58</v>
      </c>
      <c r="G178" s="3" t="s">
        <v>59</v>
      </c>
      <c r="H178" s="3" t="s">
        <v>58</v>
      </c>
      <c r="I178" s="3" t="s">
        <v>58</v>
      </c>
      <c r="J178" s="3" t="s">
        <v>60</v>
      </c>
      <c r="K178" s="2" t="s">
        <v>2419</v>
      </c>
      <c r="L178" s="2" t="s">
        <v>2420</v>
      </c>
      <c r="M178" s="3" t="s">
        <v>323</v>
      </c>
      <c r="O178" s="3" t="s">
        <v>64</v>
      </c>
      <c r="P178" s="3" t="s">
        <v>65</v>
      </c>
      <c r="Q178" s="2" t="s">
        <v>2421</v>
      </c>
      <c r="R178" s="3" t="s">
        <v>1093</v>
      </c>
      <c r="S178" s="4">
        <v>28</v>
      </c>
      <c r="T178" s="4">
        <v>28</v>
      </c>
      <c r="U178" s="5" t="s">
        <v>2422</v>
      </c>
      <c r="V178" s="5" t="s">
        <v>2422</v>
      </c>
      <c r="W178" s="5" t="s">
        <v>2423</v>
      </c>
      <c r="X178" s="5" t="s">
        <v>2423</v>
      </c>
      <c r="Y178" s="4">
        <v>548</v>
      </c>
      <c r="Z178" s="4">
        <v>437</v>
      </c>
      <c r="AA178" s="4">
        <v>459</v>
      </c>
      <c r="AB178" s="4">
        <v>5</v>
      </c>
      <c r="AC178" s="4">
        <v>5</v>
      </c>
      <c r="AD178" s="4">
        <v>24</v>
      </c>
      <c r="AE178" s="4">
        <v>24</v>
      </c>
      <c r="AF178" s="4">
        <v>10</v>
      </c>
      <c r="AG178" s="4">
        <v>10</v>
      </c>
      <c r="AH178" s="4">
        <v>4</v>
      </c>
      <c r="AI178" s="4">
        <v>4</v>
      </c>
      <c r="AJ178" s="4">
        <v>13</v>
      </c>
      <c r="AK178" s="4">
        <v>13</v>
      </c>
      <c r="AL178" s="4">
        <v>3</v>
      </c>
      <c r="AM178" s="4">
        <v>3</v>
      </c>
      <c r="AN178" s="4">
        <v>0</v>
      </c>
      <c r="AO178" s="4">
        <v>0</v>
      </c>
      <c r="AP178" s="3" t="s">
        <v>58</v>
      </c>
      <c r="AQ178" s="3" t="s">
        <v>58</v>
      </c>
      <c r="AS178" s="6" t="str">
        <f>HYPERLINK("https://creighton-primo.hosted.exlibrisgroup.com/primo-explore/search?tab=default_tab&amp;search_scope=EVERYTHING&amp;vid=01CRU&amp;lang=en_US&amp;offset=0&amp;query=any,contains,991005411839702656","Catalog Record")</f>
        <v>Catalog Record</v>
      </c>
      <c r="AT178" s="6" t="str">
        <f>HYPERLINK("http://www.worldcat.org/oclc/20865937","WorldCat Record")</f>
        <v>WorldCat Record</v>
      </c>
      <c r="AU178" s="3" t="s">
        <v>2424</v>
      </c>
      <c r="AV178" s="3" t="s">
        <v>2425</v>
      </c>
      <c r="AW178" s="3" t="s">
        <v>2426</v>
      </c>
      <c r="AX178" s="3" t="s">
        <v>2426</v>
      </c>
      <c r="AY178" s="3" t="s">
        <v>2427</v>
      </c>
      <c r="AZ178" s="3" t="s">
        <v>74</v>
      </c>
      <c r="BB178" s="3" t="s">
        <v>2428</v>
      </c>
      <c r="BC178" s="3" t="s">
        <v>2429</v>
      </c>
      <c r="BD178" s="3" t="s">
        <v>2430</v>
      </c>
    </row>
    <row r="179" spans="1:56" ht="57.75" customHeight="1" x14ac:dyDescent="0.25">
      <c r="A179" s="7" t="s">
        <v>58</v>
      </c>
      <c r="B179" s="2" t="s">
        <v>2431</v>
      </c>
      <c r="C179" s="2" t="s">
        <v>2432</v>
      </c>
      <c r="D179" s="2" t="s">
        <v>2433</v>
      </c>
      <c r="F179" s="3" t="s">
        <v>58</v>
      </c>
      <c r="G179" s="3" t="s">
        <v>59</v>
      </c>
      <c r="H179" s="3" t="s">
        <v>58</v>
      </c>
      <c r="I179" s="3" t="s">
        <v>58</v>
      </c>
      <c r="J179" s="3" t="s">
        <v>60</v>
      </c>
      <c r="K179" s="2" t="s">
        <v>2434</v>
      </c>
      <c r="L179" s="2" t="s">
        <v>2435</v>
      </c>
      <c r="M179" s="3" t="s">
        <v>577</v>
      </c>
      <c r="O179" s="3" t="s">
        <v>64</v>
      </c>
      <c r="P179" s="3" t="s">
        <v>540</v>
      </c>
      <c r="Q179" s="2" t="s">
        <v>2436</v>
      </c>
      <c r="R179" s="3" t="s">
        <v>1093</v>
      </c>
      <c r="S179" s="4">
        <v>3</v>
      </c>
      <c r="T179" s="4">
        <v>3</v>
      </c>
      <c r="U179" s="5" t="s">
        <v>2290</v>
      </c>
      <c r="V179" s="5" t="s">
        <v>2290</v>
      </c>
      <c r="W179" s="5" t="s">
        <v>2437</v>
      </c>
      <c r="X179" s="5" t="s">
        <v>2437</v>
      </c>
      <c r="Y179" s="4">
        <v>427</v>
      </c>
      <c r="Z179" s="4">
        <v>349</v>
      </c>
      <c r="AA179" s="4">
        <v>352</v>
      </c>
      <c r="AB179" s="4">
        <v>3</v>
      </c>
      <c r="AC179" s="4">
        <v>3</v>
      </c>
      <c r="AD179" s="4">
        <v>19</v>
      </c>
      <c r="AE179" s="4">
        <v>19</v>
      </c>
      <c r="AF179" s="4">
        <v>6</v>
      </c>
      <c r="AG179" s="4">
        <v>6</v>
      </c>
      <c r="AH179" s="4">
        <v>6</v>
      </c>
      <c r="AI179" s="4">
        <v>6</v>
      </c>
      <c r="AJ179" s="4">
        <v>13</v>
      </c>
      <c r="AK179" s="4">
        <v>13</v>
      </c>
      <c r="AL179" s="4">
        <v>2</v>
      </c>
      <c r="AM179" s="4">
        <v>2</v>
      </c>
      <c r="AN179" s="4">
        <v>0</v>
      </c>
      <c r="AO179" s="4">
        <v>0</v>
      </c>
      <c r="AP179" s="3" t="s">
        <v>58</v>
      </c>
      <c r="AQ179" s="3" t="s">
        <v>69</v>
      </c>
      <c r="AR179" s="6" t="str">
        <f>HYPERLINK("http://catalog.hathitrust.org/Record/008545154","HathiTrust Record")</f>
        <v>HathiTrust Record</v>
      </c>
      <c r="AS179" s="6" t="str">
        <f>HYPERLINK("https://creighton-primo.hosted.exlibrisgroup.com/primo-explore/search?tab=default_tab&amp;search_scope=EVERYTHING&amp;vid=01CRU&amp;lang=en_US&amp;offset=0&amp;query=any,contains,991004144879702656","Catalog Record")</f>
        <v>Catalog Record</v>
      </c>
      <c r="AT179" s="6" t="str">
        <f>HYPERLINK("http://www.worldcat.org/oclc/2507957","WorldCat Record")</f>
        <v>WorldCat Record</v>
      </c>
      <c r="AU179" s="3" t="s">
        <v>2438</v>
      </c>
      <c r="AV179" s="3" t="s">
        <v>2439</v>
      </c>
      <c r="AW179" s="3" t="s">
        <v>2440</v>
      </c>
      <c r="AX179" s="3" t="s">
        <v>2440</v>
      </c>
      <c r="AY179" s="3" t="s">
        <v>2441</v>
      </c>
      <c r="AZ179" s="3" t="s">
        <v>74</v>
      </c>
      <c r="BB179" s="3" t="s">
        <v>2442</v>
      </c>
      <c r="BC179" s="3" t="s">
        <v>2443</v>
      </c>
      <c r="BD179" s="3" t="s">
        <v>2444</v>
      </c>
    </row>
    <row r="180" spans="1:56" ht="57.75" customHeight="1" x14ac:dyDescent="0.25">
      <c r="A180" s="7" t="s">
        <v>58</v>
      </c>
      <c r="B180" s="2" t="s">
        <v>2445</v>
      </c>
      <c r="C180" s="2" t="s">
        <v>2446</v>
      </c>
      <c r="D180" s="2" t="s">
        <v>2447</v>
      </c>
      <c r="E180" s="3" t="s">
        <v>801</v>
      </c>
      <c r="F180" s="3" t="s">
        <v>69</v>
      </c>
      <c r="G180" s="3" t="s">
        <v>59</v>
      </c>
      <c r="H180" s="3" t="s">
        <v>58</v>
      </c>
      <c r="I180" s="3" t="s">
        <v>58</v>
      </c>
      <c r="J180" s="3" t="s">
        <v>60</v>
      </c>
      <c r="K180" s="2" t="s">
        <v>2448</v>
      </c>
      <c r="L180" s="2" t="s">
        <v>2449</v>
      </c>
      <c r="M180" s="3" t="s">
        <v>778</v>
      </c>
      <c r="O180" s="3" t="s">
        <v>64</v>
      </c>
      <c r="P180" s="3" t="s">
        <v>412</v>
      </c>
      <c r="Q180" s="2" t="s">
        <v>2406</v>
      </c>
      <c r="R180" s="3" t="s">
        <v>1093</v>
      </c>
      <c r="S180" s="4">
        <v>4</v>
      </c>
      <c r="T180" s="4">
        <v>8</v>
      </c>
      <c r="U180" s="5" t="s">
        <v>85</v>
      </c>
      <c r="V180" s="5" t="s">
        <v>85</v>
      </c>
      <c r="W180" s="5" t="s">
        <v>2450</v>
      </c>
      <c r="X180" s="5" t="s">
        <v>2450</v>
      </c>
      <c r="Y180" s="4">
        <v>288</v>
      </c>
      <c r="Z180" s="4">
        <v>195</v>
      </c>
      <c r="AA180" s="4">
        <v>197</v>
      </c>
      <c r="AB180" s="4">
        <v>2</v>
      </c>
      <c r="AC180" s="4">
        <v>2</v>
      </c>
      <c r="AD180" s="4">
        <v>9</v>
      </c>
      <c r="AE180" s="4">
        <v>9</v>
      </c>
      <c r="AF180" s="4">
        <v>1</v>
      </c>
      <c r="AG180" s="4">
        <v>1</v>
      </c>
      <c r="AH180" s="4">
        <v>3</v>
      </c>
      <c r="AI180" s="4">
        <v>3</v>
      </c>
      <c r="AJ180" s="4">
        <v>7</v>
      </c>
      <c r="AK180" s="4">
        <v>7</v>
      </c>
      <c r="AL180" s="4">
        <v>1</v>
      </c>
      <c r="AM180" s="4">
        <v>1</v>
      </c>
      <c r="AN180" s="4">
        <v>0</v>
      </c>
      <c r="AO180" s="4">
        <v>0</v>
      </c>
      <c r="AP180" s="3" t="s">
        <v>58</v>
      </c>
      <c r="AQ180" s="3" t="s">
        <v>69</v>
      </c>
      <c r="AR180" s="6" t="str">
        <f>HYPERLINK("http://catalog.hathitrust.org/Record/001471923","HathiTrust Record")</f>
        <v>HathiTrust Record</v>
      </c>
      <c r="AS180" s="6" t="str">
        <f>HYPERLINK("https://creighton-primo.hosted.exlibrisgroup.com/primo-explore/search?tab=default_tab&amp;search_scope=EVERYTHING&amp;vid=01CRU&amp;lang=en_US&amp;offset=0&amp;query=any,contains,991003063379702656","Catalog Record")</f>
        <v>Catalog Record</v>
      </c>
      <c r="AT180" s="6" t="str">
        <f>HYPERLINK("http://www.worldcat.org/oclc/620034","WorldCat Record")</f>
        <v>WorldCat Record</v>
      </c>
      <c r="AU180" s="3" t="s">
        <v>2451</v>
      </c>
      <c r="AV180" s="3" t="s">
        <v>2452</v>
      </c>
      <c r="AW180" s="3" t="s">
        <v>2453</v>
      </c>
      <c r="AX180" s="3" t="s">
        <v>2453</v>
      </c>
      <c r="AY180" s="3" t="s">
        <v>2454</v>
      </c>
      <c r="AZ180" s="3" t="s">
        <v>74</v>
      </c>
      <c r="BC180" s="3" t="s">
        <v>2455</v>
      </c>
      <c r="BD180" s="3" t="s">
        <v>2456</v>
      </c>
    </row>
    <row r="181" spans="1:56" ht="57.75" customHeight="1" x14ac:dyDescent="0.25">
      <c r="A181" s="7" t="s">
        <v>58</v>
      </c>
      <c r="B181" s="2" t="s">
        <v>2445</v>
      </c>
      <c r="C181" s="2" t="s">
        <v>2446</v>
      </c>
      <c r="D181" s="2" t="s">
        <v>2447</v>
      </c>
      <c r="E181" s="3" t="s">
        <v>789</v>
      </c>
      <c r="F181" s="3" t="s">
        <v>69</v>
      </c>
      <c r="G181" s="3" t="s">
        <v>59</v>
      </c>
      <c r="H181" s="3" t="s">
        <v>58</v>
      </c>
      <c r="I181" s="3" t="s">
        <v>58</v>
      </c>
      <c r="J181" s="3" t="s">
        <v>60</v>
      </c>
      <c r="K181" s="2" t="s">
        <v>2448</v>
      </c>
      <c r="L181" s="2" t="s">
        <v>2449</v>
      </c>
      <c r="M181" s="3" t="s">
        <v>778</v>
      </c>
      <c r="O181" s="3" t="s">
        <v>64</v>
      </c>
      <c r="P181" s="3" t="s">
        <v>412</v>
      </c>
      <c r="Q181" s="2" t="s">
        <v>2406</v>
      </c>
      <c r="R181" s="3" t="s">
        <v>1093</v>
      </c>
      <c r="S181" s="4">
        <v>4</v>
      </c>
      <c r="T181" s="4">
        <v>8</v>
      </c>
      <c r="U181" s="5" t="s">
        <v>85</v>
      </c>
      <c r="V181" s="5" t="s">
        <v>85</v>
      </c>
      <c r="W181" s="5" t="s">
        <v>2450</v>
      </c>
      <c r="X181" s="5" t="s">
        <v>2450</v>
      </c>
      <c r="Y181" s="4">
        <v>288</v>
      </c>
      <c r="Z181" s="4">
        <v>195</v>
      </c>
      <c r="AA181" s="4">
        <v>197</v>
      </c>
      <c r="AB181" s="4">
        <v>2</v>
      </c>
      <c r="AC181" s="4">
        <v>2</v>
      </c>
      <c r="AD181" s="4">
        <v>9</v>
      </c>
      <c r="AE181" s="4">
        <v>9</v>
      </c>
      <c r="AF181" s="4">
        <v>1</v>
      </c>
      <c r="AG181" s="4">
        <v>1</v>
      </c>
      <c r="AH181" s="4">
        <v>3</v>
      </c>
      <c r="AI181" s="4">
        <v>3</v>
      </c>
      <c r="AJ181" s="4">
        <v>7</v>
      </c>
      <c r="AK181" s="4">
        <v>7</v>
      </c>
      <c r="AL181" s="4">
        <v>1</v>
      </c>
      <c r="AM181" s="4">
        <v>1</v>
      </c>
      <c r="AN181" s="4">
        <v>0</v>
      </c>
      <c r="AO181" s="4">
        <v>0</v>
      </c>
      <c r="AP181" s="3" t="s">
        <v>58</v>
      </c>
      <c r="AQ181" s="3" t="s">
        <v>69</v>
      </c>
      <c r="AR181" s="6" t="str">
        <f>HYPERLINK("http://catalog.hathitrust.org/Record/001471923","HathiTrust Record")</f>
        <v>HathiTrust Record</v>
      </c>
      <c r="AS181" s="6" t="str">
        <f>HYPERLINK("https://creighton-primo.hosted.exlibrisgroup.com/primo-explore/search?tab=default_tab&amp;search_scope=EVERYTHING&amp;vid=01CRU&amp;lang=en_US&amp;offset=0&amp;query=any,contains,991003063379702656","Catalog Record")</f>
        <v>Catalog Record</v>
      </c>
      <c r="AT181" s="6" t="str">
        <f>HYPERLINK("http://www.worldcat.org/oclc/620034","WorldCat Record")</f>
        <v>WorldCat Record</v>
      </c>
      <c r="AU181" s="3" t="s">
        <v>2451</v>
      </c>
      <c r="AV181" s="3" t="s">
        <v>2452</v>
      </c>
      <c r="AW181" s="3" t="s">
        <v>2453</v>
      </c>
      <c r="AX181" s="3" t="s">
        <v>2453</v>
      </c>
      <c r="AY181" s="3" t="s">
        <v>2454</v>
      </c>
      <c r="AZ181" s="3" t="s">
        <v>74</v>
      </c>
      <c r="BC181" s="3" t="s">
        <v>2457</v>
      </c>
      <c r="BD181" s="3" t="s">
        <v>2458</v>
      </c>
    </row>
    <row r="182" spans="1:56" ht="57.75" customHeight="1" x14ac:dyDescent="0.25">
      <c r="A182" s="7" t="s">
        <v>58</v>
      </c>
      <c r="B182" s="2" t="s">
        <v>2459</v>
      </c>
      <c r="C182" s="2" t="s">
        <v>2460</v>
      </c>
      <c r="D182" s="2" t="s">
        <v>2461</v>
      </c>
      <c r="F182" s="3" t="s">
        <v>58</v>
      </c>
      <c r="G182" s="3" t="s">
        <v>59</v>
      </c>
      <c r="H182" s="3" t="s">
        <v>58</v>
      </c>
      <c r="I182" s="3" t="s">
        <v>58</v>
      </c>
      <c r="J182" s="3" t="s">
        <v>60</v>
      </c>
      <c r="K182" s="2" t="s">
        <v>2323</v>
      </c>
      <c r="L182" s="2" t="s">
        <v>2462</v>
      </c>
      <c r="M182" s="3" t="s">
        <v>577</v>
      </c>
      <c r="O182" s="3" t="s">
        <v>64</v>
      </c>
      <c r="P182" s="3" t="s">
        <v>65</v>
      </c>
      <c r="R182" s="3" t="s">
        <v>1093</v>
      </c>
      <c r="S182" s="4">
        <v>4</v>
      </c>
      <c r="T182" s="4">
        <v>4</v>
      </c>
      <c r="U182" s="5" t="s">
        <v>85</v>
      </c>
      <c r="V182" s="5" t="s">
        <v>85</v>
      </c>
      <c r="W182" s="5" t="s">
        <v>68</v>
      </c>
      <c r="X182" s="5" t="s">
        <v>68</v>
      </c>
      <c r="Y182" s="4">
        <v>176</v>
      </c>
      <c r="Z182" s="4">
        <v>152</v>
      </c>
      <c r="AA182" s="4">
        <v>427</v>
      </c>
      <c r="AB182" s="4">
        <v>1</v>
      </c>
      <c r="AC182" s="4">
        <v>2</v>
      </c>
      <c r="AD182" s="4">
        <v>9</v>
      </c>
      <c r="AE182" s="4">
        <v>16</v>
      </c>
      <c r="AF182" s="4">
        <v>4</v>
      </c>
      <c r="AG182" s="4">
        <v>5</v>
      </c>
      <c r="AH182" s="4">
        <v>4</v>
      </c>
      <c r="AI182" s="4">
        <v>6</v>
      </c>
      <c r="AJ182" s="4">
        <v>7</v>
      </c>
      <c r="AK182" s="4">
        <v>11</v>
      </c>
      <c r="AL182" s="4">
        <v>0</v>
      </c>
      <c r="AM182" s="4">
        <v>1</v>
      </c>
      <c r="AN182" s="4">
        <v>0</v>
      </c>
      <c r="AO182" s="4">
        <v>0</v>
      </c>
      <c r="AP182" s="3" t="s">
        <v>58</v>
      </c>
      <c r="AQ182" s="3" t="s">
        <v>69</v>
      </c>
      <c r="AR182" s="6" t="str">
        <f>HYPERLINK("http://catalog.hathitrust.org/Record/004505839","HathiTrust Record")</f>
        <v>HathiTrust Record</v>
      </c>
      <c r="AS182" s="6" t="str">
        <f>HYPERLINK("https://creighton-primo.hosted.exlibrisgroup.com/primo-explore/search?tab=default_tab&amp;search_scope=EVERYTHING&amp;vid=01CRU&amp;lang=en_US&amp;offset=0&amp;query=any,contains,991004195209702656","Catalog Record")</f>
        <v>Catalog Record</v>
      </c>
      <c r="AT182" s="6" t="str">
        <f>HYPERLINK("http://www.worldcat.org/oclc/2644152","WorldCat Record")</f>
        <v>WorldCat Record</v>
      </c>
      <c r="AU182" s="3" t="s">
        <v>2463</v>
      </c>
      <c r="AV182" s="3" t="s">
        <v>2464</v>
      </c>
      <c r="AW182" s="3" t="s">
        <v>2465</v>
      </c>
      <c r="AX182" s="3" t="s">
        <v>2465</v>
      </c>
      <c r="AY182" s="3" t="s">
        <v>2466</v>
      </c>
      <c r="AZ182" s="3" t="s">
        <v>74</v>
      </c>
      <c r="BB182" s="3" t="s">
        <v>2467</v>
      </c>
      <c r="BC182" s="3" t="s">
        <v>2468</v>
      </c>
      <c r="BD182" s="3" t="s">
        <v>2469</v>
      </c>
    </row>
    <row r="183" spans="1:56" ht="57.75" customHeight="1" x14ac:dyDescent="0.25">
      <c r="A183" s="7" t="s">
        <v>58</v>
      </c>
      <c r="B183" s="2" t="s">
        <v>2470</v>
      </c>
      <c r="C183" s="2" t="s">
        <v>2471</v>
      </c>
      <c r="D183" s="2" t="s">
        <v>2472</v>
      </c>
      <c r="F183" s="3" t="s">
        <v>58</v>
      </c>
      <c r="G183" s="3" t="s">
        <v>59</v>
      </c>
      <c r="H183" s="3" t="s">
        <v>58</v>
      </c>
      <c r="I183" s="3" t="s">
        <v>58</v>
      </c>
      <c r="J183" s="3" t="s">
        <v>60</v>
      </c>
      <c r="K183" s="2" t="s">
        <v>2473</v>
      </c>
      <c r="L183" s="2" t="s">
        <v>2474</v>
      </c>
      <c r="M183" s="3" t="s">
        <v>370</v>
      </c>
      <c r="O183" s="3" t="s">
        <v>64</v>
      </c>
      <c r="P183" s="3" t="s">
        <v>65</v>
      </c>
      <c r="Q183" s="2" t="s">
        <v>2475</v>
      </c>
      <c r="R183" s="3" t="s">
        <v>1093</v>
      </c>
      <c r="S183" s="4">
        <v>2</v>
      </c>
      <c r="T183" s="4">
        <v>2</v>
      </c>
      <c r="U183" s="5" t="s">
        <v>2476</v>
      </c>
      <c r="V183" s="5" t="s">
        <v>2476</v>
      </c>
      <c r="W183" s="5" t="s">
        <v>372</v>
      </c>
      <c r="X183" s="5" t="s">
        <v>372</v>
      </c>
      <c r="Y183" s="4">
        <v>215</v>
      </c>
      <c r="Z183" s="4">
        <v>192</v>
      </c>
      <c r="AA183" s="4">
        <v>195</v>
      </c>
      <c r="AB183" s="4">
        <v>2</v>
      </c>
      <c r="AC183" s="4">
        <v>2</v>
      </c>
      <c r="AD183" s="4">
        <v>6</v>
      </c>
      <c r="AE183" s="4">
        <v>6</v>
      </c>
      <c r="AF183" s="4">
        <v>2</v>
      </c>
      <c r="AG183" s="4">
        <v>2</v>
      </c>
      <c r="AH183" s="4">
        <v>1</v>
      </c>
      <c r="AI183" s="4">
        <v>1</v>
      </c>
      <c r="AJ183" s="4">
        <v>2</v>
      </c>
      <c r="AK183" s="4">
        <v>2</v>
      </c>
      <c r="AL183" s="4">
        <v>1</v>
      </c>
      <c r="AM183" s="4">
        <v>1</v>
      </c>
      <c r="AN183" s="4">
        <v>0</v>
      </c>
      <c r="AO183" s="4">
        <v>0</v>
      </c>
      <c r="AP183" s="3" t="s">
        <v>58</v>
      </c>
      <c r="AQ183" s="3" t="s">
        <v>69</v>
      </c>
      <c r="AR183" s="6" t="str">
        <f>HYPERLINK("http://catalog.hathitrust.org/Record/007905055","HathiTrust Record")</f>
        <v>HathiTrust Record</v>
      </c>
      <c r="AS183" s="6" t="str">
        <f>HYPERLINK("https://creighton-primo.hosted.exlibrisgroup.com/primo-explore/search?tab=default_tab&amp;search_scope=EVERYTHING&amp;vid=01CRU&amp;lang=en_US&amp;offset=0&amp;query=any,contains,991000063289702656","Catalog Record")</f>
        <v>Catalog Record</v>
      </c>
      <c r="AT183" s="6" t="str">
        <f>HYPERLINK("http://www.worldcat.org/oclc/25930","WorldCat Record")</f>
        <v>WorldCat Record</v>
      </c>
      <c r="AU183" s="3" t="s">
        <v>2477</v>
      </c>
      <c r="AV183" s="3" t="s">
        <v>2478</v>
      </c>
      <c r="AW183" s="3" t="s">
        <v>2479</v>
      </c>
      <c r="AX183" s="3" t="s">
        <v>2479</v>
      </c>
      <c r="AY183" s="3" t="s">
        <v>2480</v>
      </c>
      <c r="AZ183" s="3" t="s">
        <v>74</v>
      </c>
      <c r="BC183" s="3" t="s">
        <v>2481</v>
      </c>
      <c r="BD183" s="3" t="s">
        <v>2482</v>
      </c>
    </row>
    <row r="184" spans="1:56" ht="57.75" customHeight="1" x14ac:dyDescent="0.25">
      <c r="A184" s="7" t="s">
        <v>58</v>
      </c>
      <c r="B184" s="2" t="s">
        <v>2483</v>
      </c>
      <c r="C184" s="2" t="s">
        <v>2484</v>
      </c>
      <c r="D184" s="2" t="s">
        <v>2485</v>
      </c>
      <c r="F184" s="3" t="s">
        <v>58</v>
      </c>
      <c r="G184" s="3" t="s">
        <v>59</v>
      </c>
      <c r="H184" s="3" t="s">
        <v>58</v>
      </c>
      <c r="I184" s="3" t="s">
        <v>58</v>
      </c>
      <c r="J184" s="3" t="s">
        <v>60</v>
      </c>
      <c r="K184" s="2" t="s">
        <v>2486</v>
      </c>
      <c r="L184" s="2" t="s">
        <v>2487</v>
      </c>
      <c r="M184" s="3" t="s">
        <v>916</v>
      </c>
      <c r="N184" s="2" t="s">
        <v>861</v>
      </c>
      <c r="O184" s="3" t="s">
        <v>64</v>
      </c>
      <c r="P184" s="3" t="s">
        <v>65</v>
      </c>
      <c r="R184" s="3" t="s">
        <v>1093</v>
      </c>
      <c r="S184" s="4">
        <v>7</v>
      </c>
      <c r="T184" s="4">
        <v>7</v>
      </c>
      <c r="U184" s="5" t="s">
        <v>2488</v>
      </c>
      <c r="V184" s="5" t="s">
        <v>2488</v>
      </c>
      <c r="W184" s="5" t="s">
        <v>68</v>
      </c>
      <c r="X184" s="5" t="s">
        <v>68</v>
      </c>
      <c r="Y184" s="4">
        <v>309</v>
      </c>
      <c r="Z184" s="4">
        <v>267</v>
      </c>
      <c r="AA184" s="4">
        <v>381</v>
      </c>
      <c r="AB184" s="4">
        <v>1</v>
      </c>
      <c r="AC184" s="4">
        <v>2</v>
      </c>
      <c r="AD184" s="4">
        <v>2</v>
      </c>
      <c r="AE184" s="4">
        <v>6</v>
      </c>
      <c r="AF184" s="4">
        <v>1</v>
      </c>
      <c r="AG184" s="4">
        <v>4</v>
      </c>
      <c r="AH184" s="4">
        <v>0</v>
      </c>
      <c r="AI184" s="4">
        <v>0</v>
      </c>
      <c r="AJ184" s="4">
        <v>1</v>
      </c>
      <c r="AK184" s="4">
        <v>2</v>
      </c>
      <c r="AL184" s="4">
        <v>0</v>
      </c>
      <c r="AM184" s="4">
        <v>1</v>
      </c>
      <c r="AN184" s="4">
        <v>0</v>
      </c>
      <c r="AO184" s="4">
        <v>0</v>
      </c>
      <c r="AP184" s="3" t="s">
        <v>58</v>
      </c>
      <c r="AQ184" s="3" t="s">
        <v>69</v>
      </c>
      <c r="AR184" s="6" t="str">
        <f>HYPERLINK("http://catalog.hathitrust.org/Record/007478965","HathiTrust Record")</f>
        <v>HathiTrust Record</v>
      </c>
      <c r="AS184" s="6" t="str">
        <f>HYPERLINK("https://creighton-primo.hosted.exlibrisgroup.com/primo-explore/search?tab=default_tab&amp;search_scope=EVERYTHING&amp;vid=01CRU&amp;lang=en_US&amp;offset=0&amp;query=any,contains,991005103659702656","Catalog Record")</f>
        <v>Catalog Record</v>
      </c>
      <c r="AT184" s="6" t="str">
        <f>HYPERLINK("http://www.worldcat.org/oclc/7310406","WorldCat Record")</f>
        <v>WorldCat Record</v>
      </c>
      <c r="AU184" s="3" t="s">
        <v>2489</v>
      </c>
      <c r="AV184" s="3" t="s">
        <v>2490</v>
      </c>
      <c r="AW184" s="3" t="s">
        <v>2491</v>
      </c>
      <c r="AX184" s="3" t="s">
        <v>2491</v>
      </c>
      <c r="AY184" s="3" t="s">
        <v>2492</v>
      </c>
      <c r="AZ184" s="3" t="s">
        <v>74</v>
      </c>
      <c r="BB184" s="3" t="s">
        <v>2493</v>
      </c>
      <c r="BC184" s="3" t="s">
        <v>2494</v>
      </c>
      <c r="BD184" s="3" t="s">
        <v>2495</v>
      </c>
    </row>
    <row r="185" spans="1:56" ht="57.75" customHeight="1" x14ac:dyDescent="0.25">
      <c r="A185" s="7" t="s">
        <v>58</v>
      </c>
      <c r="B185" s="2" t="s">
        <v>2496</v>
      </c>
      <c r="C185" s="2" t="s">
        <v>2497</v>
      </c>
      <c r="D185" s="2" t="s">
        <v>2498</v>
      </c>
      <c r="F185" s="3" t="s">
        <v>58</v>
      </c>
      <c r="G185" s="3" t="s">
        <v>59</v>
      </c>
      <c r="H185" s="3" t="s">
        <v>58</v>
      </c>
      <c r="I185" s="3" t="s">
        <v>58</v>
      </c>
      <c r="J185" s="3" t="s">
        <v>60</v>
      </c>
      <c r="K185" s="2" t="s">
        <v>2499</v>
      </c>
      <c r="L185" s="2" t="s">
        <v>2500</v>
      </c>
      <c r="M185" s="3" t="s">
        <v>1362</v>
      </c>
      <c r="O185" s="3" t="s">
        <v>64</v>
      </c>
      <c r="P185" s="3" t="s">
        <v>65</v>
      </c>
      <c r="R185" s="3" t="s">
        <v>1093</v>
      </c>
      <c r="S185" s="4">
        <v>10</v>
      </c>
      <c r="T185" s="4">
        <v>10</v>
      </c>
      <c r="U185" s="5" t="s">
        <v>2501</v>
      </c>
      <c r="V185" s="5" t="s">
        <v>2501</v>
      </c>
      <c r="W185" s="5" t="s">
        <v>2502</v>
      </c>
      <c r="X185" s="5" t="s">
        <v>2502</v>
      </c>
      <c r="Y185" s="4">
        <v>386</v>
      </c>
      <c r="Z185" s="4">
        <v>345</v>
      </c>
      <c r="AA185" s="4">
        <v>663</v>
      </c>
      <c r="AB185" s="4">
        <v>3</v>
      </c>
      <c r="AC185" s="4">
        <v>4</v>
      </c>
      <c r="AD185" s="4">
        <v>6</v>
      </c>
      <c r="AE185" s="4">
        <v>14</v>
      </c>
      <c r="AF185" s="4">
        <v>1</v>
      </c>
      <c r="AG185" s="4">
        <v>6</v>
      </c>
      <c r="AH185" s="4">
        <v>2</v>
      </c>
      <c r="AI185" s="4">
        <v>3</v>
      </c>
      <c r="AJ185" s="4">
        <v>3</v>
      </c>
      <c r="AK185" s="4">
        <v>8</v>
      </c>
      <c r="AL185" s="4">
        <v>1</v>
      </c>
      <c r="AM185" s="4">
        <v>2</v>
      </c>
      <c r="AN185" s="4">
        <v>0</v>
      </c>
      <c r="AO185" s="4">
        <v>0</v>
      </c>
      <c r="AP185" s="3" t="s">
        <v>58</v>
      </c>
      <c r="AQ185" s="3" t="s">
        <v>69</v>
      </c>
      <c r="AR185" s="6" t="str">
        <f>HYPERLINK("http://catalog.hathitrust.org/Record/102094377","HathiTrust Record")</f>
        <v>HathiTrust Record</v>
      </c>
      <c r="AS185" s="6" t="str">
        <f>HYPERLINK("https://creighton-primo.hosted.exlibrisgroup.com/primo-explore/search?tab=default_tab&amp;search_scope=EVERYTHING&amp;vid=01CRU&amp;lang=en_US&amp;offset=0&amp;query=any,contains,991001009729702656","Catalog Record")</f>
        <v>Catalog Record</v>
      </c>
      <c r="AT185" s="6" t="str">
        <f>HYPERLINK("http://www.worldcat.org/oclc/15280942","WorldCat Record")</f>
        <v>WorldCat Record</v>
      </c>
      <c r="AU185" s="3" t="s">
        <v>2503</v>
      </c>
      <c r="AV185" s="3" t="s">
        <v>2504</v>
      </c>
      <c r="AW185" s="3" t="s">
        <v>2505</v>
      </c>
      <c r="AX185" s="3" t="s">
        <v>2505</v>
      </c>
      <c r="AY185" s="3" t="s">
        <v>2506</v>
      </c>
      <c r="AZ185" s="3" t="s">
        <v>74</v>
      </c>
      <c r="BB185" s="3" t="s">
        <v>2507</v>
      </c>
      <c r="BC185" s="3" t="s">
        <v>2508</v>
      </c>
      <c r="BD185" s="3" t="s">
        <v>2509</v>
      </c>
    </row>
    <row r="186" spans="1:56" ht="57.75" customHeight="1" x14ac:dyDescent="0.25">
      <c r="A186" s="7" t="s">
        <v>58</v>
      </c>
      <c r="B186" s="2" t="s">
        <v>2510</v>
      </c>
      <c r="C186" s="2" t="s">
        <v>2511</v>
      </c>
      <c r="D186" s="2" t="s">
        <v>2512</v>
      </c>
      <c r="F186" s="3" t="s">
        <v>58</v>
      </c>
      <c r="G186" s="3" t="s">
        <v>59</v>
      </c>
      <c r="H186" s="3" t="s">
        <v>58</v>
      </c>
      <c r="I186" s="3" t="s">
        <v>58</v>
      </c>
      <c r="J186" s="3" t="s">
        <v>60</v>
      </c>
      <c r="K186" s="2" t="s">
        <v>2513</v>
      </c>
      <c r="L186" s="2" t="s">
        <v>2514</v>
      </c>
      <c r="M186" s="3" t="s">
        <v>191</v>
      </c>
      <c r="N186" s="2" t="s">
        <v>606</v>
      </c>
      <c r="O186" s="3" t="s">
        <v>64</v>
      </c>
      <c r="P186" s="3" t="s">
        <v>65</v>
      </c>
      <c r="R186" s="3" t="s">
        <v>1093</v>
      </c>
      <c r="S186" s="4">
        <v>18</v>
      </c>
      <c r="T186" s="4">
        <v>18</v>
      </c>
      <c r="U186" s="5" t="s">
        <v>2501</v>
      </c>
      <c r="V186" s="5" t="s">
        <v>2501</v>
      </c>
      <c r="W186" s="5" t="s">
        <v>2515</v>
      </c>
      <c r="X186" s="5" t="s">
        <v>2515</v>
      </c>
      <c r="Y186" s="4">
        <v>124</v>
      </c>
      <c r="Z186" s="4">
        <v>87</v>
      </c>
      <c r="AA186" s="4">
        <v>87</v>
      </c>
      <c r="AB186" s="4">
        <v>2</v>
      </c>
      <c r="AC186" s="4">
        <v>2</v>
      </c>
      <c r="AD186" s="4">
        <v>2</v>
      </c>
      <c r="AE186" s="4">
        <v>2</v>
      </c>
      <c r="AF186" s="4">
        <v>1</v>
      </c>
      <c r="AG186" s="4">
        <v>1</v>
      </c>
      <c r="AH186" s="4">
        <v>0</v>
      </c>
      <c r="AI186" s="4">
        <v>0</v>
      </c>
      <c r="AJ186" s="4">
        <v>1</v>
      </c>
      <c r="AK186" s="4">
        <v>1</v>
      </c>
      <c r="AL186" s="4">
        <v>1</v>
      </c>
      <c r="AM186" s="4">
        <v>1</v>
      </c>
      <c r="AN186" s="4">
        <v>0</v>
      </c>
      <c r="AO186" s="4">
        <v>0</v>
      </c>
      <c r="AP186" s="3" t="s">
        <v>58</v>
      </c>
      <c r="AQ186" s="3" t="s">
        <v>58</v>
      </c>
      <c r="AS186" s="6" t="str">
        <f>HYPERLINK("https://creighton-primo.hosted.exlibrisgroup.com/primo-explore/search?tab=default_tab&amp;search_scope=EVERYTHING&amp;vid=01CRU&amp;lang=en_US&amp;offset=0&amp;query=any,contains,991005394989702656","Catalog Record")</f>
        <v>Catalog Record</v>
      </c>
      <c r="AT186" s="6" t="str">
        <f>HYPERLINK("http://www.worldcat.org/oclc/8306430","WorldCat Record")</f>
        <v>WorldCat Record</v>
      </c>
      <c r="AU186" s="3" t="s">
        <v>2516</v>
      </c>
      <c r="AV186" s="3" t="s">
        <v>2517</v>
      </c>
      <c r="AW186" s="3" t="s">
        <v>2518</v>
      </c>
      <c r="AX186" s="3" t="s">
        <v>2518</v>
      </c>
      <c r="AY186" s="3" t="s">
        <v>2519</v>
      </c>
      <c r="AZ186" s="3" t="s">
        <v>74</v>
      </c>
      <c r="BB186" s="3" t="s">
        <v>2520</v>
      </c>
      <c r="BC186" s="3" t="s">
        <v>2521</v>
      </c>
      <c r="BD186" s="3" t="s">
        <v>2522</v>
      </c>
    </row>
    <row r="187" spans="1:56" ht="57.75" customHeight="1" x14ac:dyDescent="0.25">
      <c r="A187" s="7" t="s">
        <v>58</v>
      </c>
      <c r="B187" s="2" t="s">
        <v>2523</v>
      </c>
      <c r="C187" s="2" t="s">
        <v>2524</v>
      </c>
      <c r="D187" s="2" t="s">
        <v>2525</v>
      </c>
      <c r="F187" s="3" t="s">
        <v>58</v>
      </c>
      <c r="G187" s="3" t="s">
        <v>59</v>
      </c>
      <c r="H187" s="3" t="s">
        <v>58</v>
      </c>
      <c r="I187" s="3" t="s">
        <v>58</v>
      </c>
      <c r="J187" s="3" t="s">
        <v>60</v>
      </c>
      <c r="K187" s="2" t="s">
        <v>2526</v>
      </c>
      <c r="L187" s="2" t="s">
        <v>2527</v>
      </c>
      <c r="M187" s="3" t="s">
        <v>98</v>
      </c>
      <c r="O187" s="3" t="s">
        <v>64</v>
      </c>
      <c r="P187" s="3" t="s">
        <v>65</v>
      </c>
      <c r="R187" s="3" t="s">
        <v>1093</v>
      </c>
      <c r="S187" s="4">
        <v>1</v>
      </c>
      <c r="T187" s="4">
        <v>1</v>
      </c>
      <c r="U187" s="5" t="s">
        <v>2528</v>
      </c>
      <c r="V187" s="5" t="s">
        <v>2528</v>
      </c>
      <c r="W187" s="5" t="s">
        <v>1858</v>
      </c>
      <c r="X187" s="5" t="s">
        <v>1858</v>
      </c>
      <c r="Y187" s="4">
        <v>606</v>
      </c>
      <c r="Z187" s="4">
        <v>569</v>
      </c>
      <c r="AA187" s="4">
        <v>575</v>
      </c>
      <c r="AB187" s="4">
        <v>5</v>
      </c>
      <c r="AC187" s="4">
        <v>5</v>
      </c>
      <c r="AD187" s="4">
        <v>3</v>
      </c>
      <c r="AE187" s="4">
        <v>3</v>
      </c>
      <c r="AF187" s="4">
        <v>0</v>
      </c>
      <c r="AG187" s="4">
        <v>0</v>
      </c>
      <c r="AH187" s="4">
        <v>0</v>
      </c>
      <c r="AI187" s="4">
        <v>0</v>
      </c>
      <c r="AJ187" s="4">
        <v>1</v>
      </c>
      <c r="AK187" s="4">
        <v>1</v>
      </c>
      <c r="AL187" s="4">
        <v>2</v>
      </c>
      <c r="AM187" s="4">
        <v>2</v>
      </c>
      <c r="AN187" s="4">
        <v>0</v>
      </c>
      <c r="AO187" s="4">
        <v>0</v>
      </c>
      <c r="AP187" s="3" t="s">
        <v>58</v>
      </c>
      <c r="AQ187" s="3" t="s">
        <v>69</v>
      </c>
      <c r="AR187" s="6" t="str">
        <f>HYPERLINK("http://catalog.hathitrust.org/Record/005923070","HathiTrust Record")</f>
        <v>HathiTrust Record</v>
      </c>
      <c r="AS187" s="6" t="str">
        <f>HYPERLINK("https://creighton-primo.hosted.exlibrisgroup.com/primo-explore/search?tab=default_tab&amp;search_scope=EVERYTHING&amp;vid=01CRU&amp;lang=en_US&amp;offset=0&amp;query=any,contains,991003431259702656","Catalog Record")</f>
        <v>Catalog Record</v>
      </c>
      <c r="AT187" s="6" t="str">
        <f>HYPERLINK("http://www.worldcat.org/oclc/965803","WorldCat Record")</f>
        <v>WorldCat Record</v>
      </c>
      <c r="AU187" s="3" t="s">
        <v>2529</v>
      </c>
      <c r="AV187" s="3" t="s">
        <v>2530</v>
      </c>
      <c r="AW187" s="3" t="s">
        <v>2531</v>
      </c>
      <c r="AX187" s="3" t="s">
        <v>2531</v>
      </c>
      <c r="AY187" s="3" t="s">
        <v>2532</v>
      </c>
      <c r="AZ187" s="3" t="s">
        <v>74</v>
      </c>
      <c r="BC187" s="3" t="s">
        <v>2533</v>
      </c>
      <c r="BD187" s="3" t="s">
        <v>2534</v>
      </c>
    </row>
    <row r="188" spans="1:56" ht="57.75" customHeight="1" x14ac:dyDescent="0.25">
      <c r="A188" s="7" t="s">
        <v>58</v>
      </c>
      <c r="B188" s="2" t="s">
        <v>2535</v>
      </c>
      <c r="C188" s="2" t="s">
        <v>2536</v>
      </c>
      <c r="D188" s="2" t="s">
        <v>2537</v>
      </c>
      <c r="F188" s="3" t="s">
        <v>58</v>
      </c>
      <c r="G188" s="3" t="s">
        <v>59</v>
      </c>
      <c r="H188" s="3" t="s">
        <v>58</v>
      </c>
      <c r="I188" s="3" t="s">
        <v>58</v>
      </c>
      <c r="J188" s="3" t="s">
        <v>60</v>
      </c>
      <c r="K188" s="2" t="s">
        <v>2538</v>
      </c>
      <c r="L188" s="2" t="s">
        <v>2539</v>
      </c>
      <c r="M188" s="3" t="s">
        <v>792</v>
      </c>
      <c r="O188" s="3" t="s">
        <v>64</v>
      </c>
      <c r="P188" s="3" t="s">
        <v>65</v>
      </c>
      <c r="R188" s="3" t="s">
        <v>1093</v>
      </c>
      <c r="S188" s="4">
        <v>3</v>
      </c>
      <c r="T188" s="4">
        <v>3</v>
      </c>
      <c r="U188" s="5" t="s">
        <v>2540</v>
      </c>
      <c r="V188" s="5" t="s">
        <v>2540</v>
      </c>
      <c r="W188" s="5" t="s">
        <v>2541</v>
      </c>
      <c r="X188" s="5" t="s">
        <v>2541</v>
      </c>
      <c r="Y188" s="4">
        <v>187</v>
      </c>
      <c r="Z188" s="4">
        <v>186</v>
      </c>
      <c r="AA188" s="4">
        <v>225</v>
      </c>
      <c r="AB188" s="4">
        <v>2</v>
      </c>
      <c r="AC188" s="4">
        <v>2</v>
      </c>
      <c r="AD188" s="4">
        <v>3</v>
      </c>
      <c r="AE188" s="4">
        <v>3</v>
      </c>
      <c r="AF188" s="4">
        <v>0</v>
      </c>
      <c r="AG188" s="4">
        <v>0</v>
      </c>
      <c r="AH188" s="4">
        <v>1</v>
      </c>
      <c r="AI188" s="4">
        <v>1</v>
      </c>
      <c r="AJ188" s="4">
        <v>1</v>
      </c>
      <c r="AK188" s="4">
        <v>1</v>
      </c>
      <c r="AL188" s="4">
        <v>1</v>
      </c>
      <c r="AM188" s="4">
        <v>1</v>
      </c>
      <c r="AN188" s="4">
        <v>0</v>
      </c>
      <c r="AO188" s="4">
        <v>0</v>
      </c>
      <c r="AP188" s="3" t="s">
        <v>58</v>
      </c>
      <c r="AQ188" s="3" t="s">
        <v>58</v>
      </c>
      <c r="AS188" s="6" t="str">
        <f>HYPERLINK("https://creighton-primo.hosted.exlibrisgroup.com/primo-explore/search?tab=default_tab&amp;search_scope=EVERYTHING&amp;vid=01CRU&amp;lang=en_US&amp;offset=0&amp;query=any,contains,991003773269702656","Catalog Record")</f>
        <v>Catalog Record</v>
      </c>
      <c r="AT188" s="6" t="str">
        <f>HYPERLINK("http://www.worldcat.org/oclc/1476053","WorldCat Record")</f>
        <v>WorldCat Record</v>
      </c>
      <c r="AU188" s="3" t="s">
        <v>2542</v>
      </c>
      <c r="AV188" s="3" t="s">
        <v>2543</v>
      </c>
      <c r="AW188" s="3" t="s">
        <v>2544</v>
      </c>
      <c r="AX188" s="3" t="s">
        <v>2544</v>
      </c>
      <c r="AY188" s="3" t="s">
        <v>2545</v>
      </c>
      <c r="AZ188" s="3" t="s">
        <v>74</v>
      </c>
      <c r="BC188" s="3" t="s">
        <v>2546</v>
      </c>
      <c r="BD188" s="3" t="s">
        <v>2547</v>
      </c>
    </row>
    <row r="189" spans="1:56" ht="57.75" customHeight="1" x14ac:dyDescent="0.25">
      <c r="A189" s="7" t="s">
        <v>58</v>
      </c>
      <c r="B189" s="2" t="s">
        <v>2548</v>
      </c>
      <c r="C189" s="2" t="s">
        <v>2549</v>
      </c>
      <c r="D189" s="2" t="s">
        <v>2550</v>
      </c>
      <c r="F189" s="3" t="s">
        <v>58</v>
      </c>
      <c r="G189" s="3" t="s">
        <v>59</v>
      </c>
      <c r="H189" s="3" t="s">
        <v>58</v>
      </c>
      <c r="I189" s="3" t="s">
        <v>58</v>
      </c>
      <c r="J189" s="3" t="s">
        <v>60</v>
      </c>
      <c r="K189" s="2" t="s">
        <v>2551</v>
      </c>
      <c r="L189" s="2" t="s">
        <v>2552</v>
      </c>
      <c r="M189" s="3" t="s">
        <v>763</v>
      </c>
      <c r="O189" s="3" t="s">
        <v>64</v>
      </c>
      <c r="P189" s="3" t="s">
        <v>65</v>
      </c>
      <c r="R189" s="3" t="s">
        <v>1093</v>
      </c>
      <c r="S189" s="4">
        <v>5</v>
      </c>
      <c r="T189" s="4">
        <v>5</v>
      </c>
      <c r="U189" s="5" t="s">
        <v>2553</v>
      </c>
      <c r="V189" s="5" t="s">
        <v>2553</v>
      </c>
      <c r="W189" s="5" t="s">
        <v>1746</v>
      </c>
      <c r="X189" s="5" t="s">
        <v>1746</v>
      </c>
      <c r="Y189" s="4">
        <v>181</v>
      </c>
      <c r="Z189" s="4">
        <v>151</v>
      </c>
      <c r="AA189" s="4">
        <v>152</v>
      </c>
      <c r="AB189" s="4">
        <v>2</v>
      </c>
      <c r="AC189" s="4">
        <v>2</v>
      </c>
      <c r="AD189" s="4">
        <v>5</v>
      </c>
      <c r="AE189" s="4">
        <v>5</v>
      </c>
      <c r="AF189" s="4">
        <v>1</v>
      </c>
      <c r="AG189" s="4">
        <v>1</v>
      </c>
      <c r="AH189" s="4">
        <v>2</v>
      </c>
      <c r="AI189" s="4">
        <v>2</v>
      </c>
      <c r="AJ189" s="4">
        <v>3</v>
      </c>
      <c r="AK189" s="4">
        <v>3</v>
      </c>
      <c r="AL189" s="4">
        <v>1</v>
      </c>
      <c r="AM189" s="4">
        <v>1</v>
      </c>
      <c r="AN189" s="4">
        <v>0</v>
      </c>
      <c r="AO189" s="4">
        <v>0</v>
      </c>
      <c r="AP189" s="3" t="s">
        <v>58</v>
      </c>
      <c r="AQ189" s="3" t="s">
        <v>69</v>
      </c>
      <c r="AR189" s="6" t="str">
        <f>HYPERLINK("http://catalog.hathitrust.org/Record/002430968","HathiTrust Record")</f>
        <v>HathiTrust Record</v>
      </c>
      <c r="AS189" s="6" t="str">
        <f>HYPERLINK("https://creighton-primo.hosted.exlibrisgroup.com/primo-explore/search?tab=default_tab&amp;search_scope=EVERYTHING&amp;vid=01CRU&amp;lang=en_US&amp;offset=0&amp;query=any,contains,991001681719702656","Catalog Record")</f>
        <v>Catalog Record</v>
      </c>
      <c r="AT189" s="6" t="str">
        <f>HYPERLINK("http://www.worldcat.org/oclc/21357028","WorldCat Record")</f>
        <v>WorldCat Record</v>
      </c>
      <c r="AU189" s="3" t="s">
        <v>2554</v>
      </c>
      <c r="AV189" s="3" t="s">
        <v>2555</v>
      </c>
      <c r="AW189" s="3" t="s">
        <v>2556</v>
      </c>
      <c r="AX189" s="3" t="s">
        <v>2556</v>
      </c>
      <c r="AY189" s="3" t="s">
        <v>2557</v>
      </c>
      <c r="AZ189" s="3" t="s">
        <v>74</v>
      </c>
      <c r="BC189" s="3" t="s">
        <v>2558</v>
      </c>
      <c r="BD189" s="3" t="s">
        <v>2559</v>
      </c>
    </row>
    <row r="190" spans="1:56" ht="57.75" customHeight="1" x14ac:dyDescent="0.25">
      <c r="A190" s="7" t="s">
        <v>58</v>
      </c>
      <c r="B190" s="2" t="s">
        <v>2560</v>
      </c>
      <c r="C190" s="2" t="s">
        <v>2561</v>
      </c>
      <c r="D190" s="2" t="s">
        <v>2562</v>
      </c>
      <c r="F190" s="3" t="s">
        <v>58</v>
      </c>
      <c r="G190" s="3" t="s">
        <v>59</v>
      </c>
      <c r="H190" s="3" t="s">
        <v>58</v>
      </c>
      <c r="I190" s="3" t="s">
        <v>58</v>
      </c>
      <c r="J190" s="3" t="s">
        <v>60</v>
      </c>
      <c r="K190" s="2" t="s">
        <v>2563</v>
      </c>
      <c r="L190" s="2" t="s">
        <v>2564</v>
      </c>
      <c r="M190" s="3" t="s">
        <v>83</v>
      </c>
      <c r="O190" s="3" t="s">
        <v>64</v>
      </c>
      <c r="P190" s="3" t="s">
        <v>250</v>
      </c>
      <c r="R190" s="3" t="s">
        <v>1093</v>
      </c>
      <c r="S190" s="4">
        <v>10</v>
      </c>
      <c r="T190" s="4">
        <v>10</v>
      </c>
      <c r="U190" s="5" t="s">
        <v>2565</v>
      </c>
      <c r="V190" s="5" t="s">
        <v>2565</v>
      </c>
      <c r="W190" s="5" t="s">
        <v>2566</v>
      </c>
      <c r="X190" s="5" t="s">
        <v>2566</v>
      </c>
      <c r="Y190" s="4">
        <v>394</v>
      </c>
      <c r="Z190" s="4">
        <v>350</v>
      </c>
      <c r="AA190" s="4">
        <v>352</v>
      </c>
      <c r="AB190" s="4">
        <v>4</v>
      </c>
      <c r="AC190" s="4">
        <v>4</v>
      </c>
      <c r="AD190" s="4">
        <v>8</v>
      </c>
      <c r="AE190" s="4">
        <v>8</v>
      </c>
      <c r="AF190" s="4">
        <v>2</v>
      </c>
      <c r="AG190" s="4">
        <v>2</v>
      </c>
      <c r="AH190" s="4">
        <v>2</v>
      </c>
      <c r="AI190" s="4">
        <v>2</v>
      </c>
      <c r="AJ190" s="4">
        <v>4</v>
      </c>
      <c r="AK190" s="4">
        <v>4</v>
      </c>
      <c r="AL190" s="4">
        <v>2</v>
      </c>
      <c r="AM190" s="4">
        <v>2</v>
      </c>
      <c r="AN190" s="4">
        <v>0</v>
      </c>
      <c r="AO190" s="4">
        <v>0</v>
      </c>
      <c r="AP190" s="3" t="s">
        <v>58</v>
      </c>
      <c r="AQ190" s="3" t="s">
        <v>69</v>
      </c>
      <c r="AR190" s="6" t="str">
        <f>HYPERLINK("http://catalog.hathitrust.org/Record/002645421","HathiTrust Record")</f>
        <v>HathiTrust Record</v>
      </c>
      <c r="AS190" s="6" t="str">
        <f>HYPERLINK("https://creighton-primo.hosted.exlibrisgroup.com/primo-explore/search?tab=default_tab&amp;search_scope=EVERYTHING&amp;vid=01CRU&amp;lang=en_US&amp;offset=0&amp;query=any,contains,991002096359702656","Catalog Record")</f>
        <v>Catalog Record</v>
      </c>
      <c r="AT190" s="6" t="str">
        <f>HYPERLINK("http://www.worldcat.org/oclc/26870999","WorldCat Record")</f>
        <v>WorldCat Record</v>
      </c>
      <c r="AU190" s="3" t="s">
        <v>2567</v>
      </c>
      <c r="AV190" s="3" t="s">
        <v>2568</v>
      </c>
      <c r="AW190" s="3" t="s">
        <v>2569</v>
      </c>
      <c r="AX190" s="3" t="s">
        <v>2569</v>
      </c>
      <c r="AY190" s="3" t="s">
        <v>2570</v>
      </c>
      <c r="AZ190" s="3" t="s">
        <v>74</v>
      </c>
      <c r="BB190" s="3" t="s">
        <v>2571</v>
      </c>
      <c r="BC190" s="3" t="s">
        <v>2572</v>
      </c>
      <c r="BD190" s="3" t="s">
        <v>2573</v>
      </c>
    </row>
    <row r="191" spans="1:56" ht="57.75" customHeight="1" x14ac:dyDescent="0.25">
      <c r="A191" s="7" t="s">
        <v>58</v>
      </c>
      <c r="B191" s="2" t="s">
        <v>2574</v>
      </c>
      <c r="C191" s="2" t="s">
        <v>2575</v>
      </c>
      <c r="D191" s="2" t="s">
        <v>2576</v>
      </c>
      <c r="F191" s="3" t="s">
        <v>58</v>
      </c>
      <c r="G191" s="3" t="s">
        <v>59</v>
      </c>
      <c r="H191" s="3" t="s">
        <v>58</v>
      </c>
      <c r="I191" s="3" t="s">
        <v>58</v>
      </c>
      <c r="J191" s="3" t="s">
        <v>60</v>
      </c>
      <c r="K191" s="2" t="s">
        <v>2563</v>
      </c>
      <c r="L191" s="2" t="s">
        <v>2577</v>
      </c>
      <c r="M191" s="3" t="s">
        <v>2578</v>
      </c>
      <c r="O191" s="3" t="s">
        <v>64</v>
      </c>
      <c r="P191" s="3" t="s">
        <v>2579</v>
      </c>
      <c r="R191" s="3" t="s">
        <v>1093</v>
      </c>
      <c r="S191" s="4">
        <v>10</v>
      </c>
      <c r="T191" s="4">
        <v>10</v>
      </c>
      <c r="U191" s="5" t="s">
        <v>2501</v>
      </c>
      <c r="V191" s="5" t="s">
        <v>2501</v>
      </c>
      <c r="W191" s="5" t="s">
        <v>2580</v>
      </c>
      <c r="X191" s="5" t="s">
        <v>2580</v>
      </c>
      <c r="Y191" s="4">
        <v>700</v>
      </c>
      <c r="Z191" s="4">
        <v>646</v>
      </c>
      <c r="AA191" s="4">
        <v>649</v>
      </c>
      <c r="AB191" s="4">
        <v>6</v>
      </c>
      <c r="AC191" s="4">
        <v>6</v>
      </c>
      <c r="AD191" s="4">
        <v>20</v>
      </c>
      <c r="AE191" s="4">
        <v>20</v>
      </c>
      <c r="AF191" s="4">
        <v>9</v>
      </c>
      <c r="AG191" s="4">
        <v>9</v>
      </c>
      <c r="AH191" s="4">
        <v>4</v>
      </c>
      <c r="AI191" s="4">
        <v>4</v>
      </c>
      <c r="AJ191" s="4">
        <v>7</v>
      </c>
      <c r="AK191" s="4">
        <v>7</v>
      </c>
      <c r="AL191" s="4">
        <v>4</v>
      </c>
      <c r="AM191" s="4">
        <v>4</v>
      </c>
      <c r="AN191" s="4">
        <v>0</v>
      </c>
      <c r="AO191" s="4">
        <v>0</v>
      </c>
      <c r="AP191" s="3" t="s">
        <v>58</v>
      </c>
      <c r="AQ191" s="3" t="s">
        <v>69</v>
      </c>
      <c r="AR191" s="6" t="str">
        <f>HYPERLINK("http://catalog.hathitrust.org/Record/002795434","HathiTrust Record")</f>
        <v>HathiTrust Record</v>
      </c>
      <c r="AS191" s="6" t="str">
        <f>HYPERLINK("https://creighton-primo.hosted.exlibrisgroup.com/primo-explore/search?tab=default_tab&amp;search_scope=EVERYTHING&amp;vid=01CRU&amp;lang=en_US&amp;offset=0&amp;query=any,contains,991002212629702656","Catalog Record")</f>
        <v>Catalog Record</v>
      </c>
      <c r="AT191" s="6" t="str">
        <f>HYPERLINK("http://www.worldcat.org/oclc/28488516","WorldCat Record")</f>
        <v>WorldCat Record</v>
      </c>
      <c r="AU191" s="3" t="s">
        <v>2581</v>
      </c>
      <c r="AV191" s="3" t="s">
        <v>2582</v>
      </c>
      <c r="AW191" s="3" t="s">
        <v>2583</v>
      </c>
      <c r="AX191" s="3" t="s">
        <v>2583</v>
      </c>
      <c r="AY191" s="3" t="s">
        <v>2584</v>
      </c>
      <c r="AZ191" s="3" t="s">
        <v>74</v>
      </c>
      <c r="BB191" s="3" t="s">
        <v>2585</v>
      </c>
      <c r="BC191" s="3" t="s">
        <v>2586</v>
      </c>
      <c r="BD191" s="3" t="s">
        <v>2587</v>
      </c>
    </row>
    <row r="192" spans="1:56" ht="57.75" customHeight="1" x14ac:dyDescent="0.25">
      <c r="A192" s="7" t="s">
        <v>58</v>
      </c>
      <c r="B192" s="2" t="s">
        <v>2588</v>
      </c>
      <c r="C192" s="2" t="s">
        <v>2589</v>
      </c>
      <c r="D192" s="2" t="s">
        <v>2590</v>
      </c>
      <c r="F192" s="3" t="s">
        <v>58</v>
      </c>
      <c r="G192" s="3" t="s">
        <v>59</v>
      </c>
      <c r="H192" s="3" t="s">
        <v>58</v>
      </c>
      <c r="I192" s="3" t="s">
        <v>58</v>
      </c>
      <c r="J192" s="3" t="s">
        <v>60</v>
      </c>
      <c r="L192" s="2" t="s">
        <v>2591</v>
      </c>
      <c r="M192" s="3" t="s">
        <v>1986</v>
      </c>
      <c r="N192" s="2" t="s">
        <v>606</v>
      </c>
      <c r="O192" s="3" t="s">
        <v>64</v>
      </c>
      <c r="P192" s="3" t="s">
        <v>250</v>
      </c>
      <c r="R192" s="3" t="s">
        <v>1093</v>
      </c>
      <c r="S192" s="4">
        <v>2</v>
      </c>
      <c r="T192" s="4">
        <v>2</v>
      </c>
      <c r="U192" s="5" t="s">
        <v>2592</v>
      </c>
      <c r="V192" s="5" t="s">
        <v>2592</v>
      </c>
      <c r="W192" s="5" t="s">
        <v>1814</v>
      </c>
      <c r="X192" s="5" t="s">
        <v>1814</v>
      </c>
      <c r="Y192" s="4">
        <v>90</v>
      </c>
      <c r="Z192" s="4">
        <v>82</v>
      </c>
      <c r="AA192" s="4">
        <v>82</v>
      </c>
      <c r="AB192" s="4">
        <v>2</v>
      </c>
      <c r="AC192" s="4">
        <v>2</v>
      </c>
      <c r="AD192" s="4">
        <v>1</v>
      </c>
      <c r="AE192" s="4">
        <v>1</v>
      </c>
      <c r="AF192" s="4">
        <v>0</v>
      </c>
      <c r="AG192" s="4">
        <v>0</v>
      </c>
      <c r="AH192" s="4">
        <v>0</v>
      </c>
      <c r="AI192" s="4">
        <v>0</v>
      </c>
      <c r="AJ192" s="4">
        <v>1</v>
      </c>
      <c r="AK192" s="4">
        <v>1</v>
      </c>
      <c r="AL192" s="4">
        <v>0</v>
      </c>
      <c r="AM192" s="4">
        <v>0</v>
      </c>
      <c r="AN192" s="4">
        <v>0</v>
      </c>
      <c r="AO192" s="4">
        <v>0</v>
      </c>
      <c r="AP192" s="3" t="s">
        <v>58</v>
      </c>
      <c r="AQ192" s="3" t="s">
        <v>58</v>
      </c>
      <c r="AS192" s="6" t="str">
        <f>HYPERLINK("https://creighton-primo.hosted.exlibrisgroup.com/primo-explore/search?tab=default_tab&amp;search_scope=EVERYTHING&amp;vid=01CRU&amp;lang=en_US&amp;offset=0&amp;query=any,contains,991003794239702656","Catalog Record")</f>
        <v>Catalog Record</v>
      </c>
      <c r="AT192" s="6" t="str">
        <f>HYPERLINK("http://www.worldcat.org/oclc/43794859","WorldCat Record")</f>
        <v>WorldCat Record</v>
      </c>
      <c r="AU192" s="3" t="s">
        <v>2593</v>
      </c>
      <c r="AV192" s="3" t="s">
        <v>2594</v>
      </c>
      <c r="AW192" s="3" t="s">
        <v>2595</v>
      </c>
      <c r="AX192" s="3" t="s">
        <v>2595</v>
      </c>
      <c r="AY192" s="3" t="s">
        <v>2596</v>
      </c>
      <c r="AZ192" s="3" t="s">
        <v>74</v>
      </c>
      <c r="BB192" s="3" t="s">
        <v>2597</v>
      </c>
      <c r="BC192" s="3" t="s">
        <v>2598</v>
      </c>
      <c r="BD192" s="3" t="s">
        <v>2599</v>
      </c>
    </row>
    <row r="193" spans="1:56" ht="57.75" customHeight="1" x14ac:dyDescent="0.25">
      <c r="A193" s="7" t="s">
        <v>58</v>
      </c>
      <c r="B193" s="2" t="s">
        <v>2600</v>
      </c>
      <c r="C193" s="2" t="s">
        <v>2601</v>
      </c>
      <c r="D193" s="2" t="s">
        <v>2602</v>
      </c>
      <c r="F193" s="3" t="s">
        <v>58</v>
      </c>
      <c r="G193" s="3" t="s">
        <v>59</v>
      </c>
      <c r="H193" s="3" t="s">
        <v>58</v>
      </c>
      <c r="I193" s="3" t="s">
        <v>58</v>
      </c>
      <c r="J193" s="3" t="s">
        <v>60</v>
      </c>
      <c r="K193" s="2" t="s">
        <v>2603</v>
      </c>
      <c r="L193" s="2" t="s">
        <v>2604</v>
      </c>
      <c r="M193" s="3" t="s">
        <v>83</v>
      </c>
      <c r="O193" s="3" t="s">
        <v>64</v>
      </c>
      <c r="P193" s="3" t="s">
        <v>65</v>
      </c>
      <c r="Q193" s="2" t="s">
        <v>2605</v>
      </c>
      <c r="R193" s="3" t="s">
        <v>1093</v>
      </c>
      <c r="S193" s="4">
        <v>3</v>
      </c>
      <c r="T193" s="4">
        <v>3</v>
      </c>
      <c r="U193" s="5" t="s">
        <v>2501</v>
      </c>
      <c r="V193" s="5" t="s">
        <v>2501</v>
      </c>
      <c r="W193" s="5" t="s">
        <v>2606</v>
      </c>
      <c r="X193" s="5" t="s">
        <v>2606</v>
      </c>
      <c r="Y193" s="4">
        <v>563</v>
      </c>
      <c r="Z193" s="4">
        <v>504</v>
      </c>
      <c r="AA193" s="4">
        <v>511</v>
      </c>
      <c r="AB193" s="4">
        <v>6</v>
      </c>
      <c r="AC193" s="4">
        <v>6</v>
      </c>
      <c r="AD193" s="4">
        <v>11</v>
      </c>
      <c r="AE193" s="4">
        <v>11</v>
      </c>
      <c r="AF193" s="4">
        <v>3</v>
      </c>
      <c r="AG193" s="4">
        <v>3</v>
      </c>
      <c r="AH193" s="4">
        <v>3</v>
      </c>
      <c r="AI193" s="4">
        <v>3</v>
      </c>
      <c r="AJ193" s="4">
        <v>6</v>
      </c>
      <c r="AK193" s="4">
        <v>6</v>
      </c>
      <c r="AL193" s="4">
        <v>2</v>
      </c>
      <c r="AM193" s="4">
        <v>2</v>
      </c>
      <c r="AN193" s="4">
        <v>0</v>
      </c>
      <c r="AO193" s="4">
        <v>0</v>
      </c>
      <c r="AP193" s="3" t="s">
        <v>58</v>
      </c>
      <c r="AQ193" s="3" t="s">
        <v>69</v>
      </c>
      <c r="AR193" s="6" t="str">
        <f>HYPERLINK("http://catalog.hathitrust.org/Record/002609911","HathiTrust Record")</f>
        <v>HathiTrust Record</v>
      </c>
      <c r="AS193" s="6" t="str">
        <f>HYPERLINK("https://creighton-primo.hosted.exlibrisgroup.com/primo-explore/search?tab=default_tab&amp;search_scope=EVERYTHING&amp;vid=01CRU&amp;lang=en_US&amp;offset=0&amp;query=any,contains,991001998259702656","Catalog Record")</f>
        <v>Catalog Record</v>
      </c>
      <c r="AT193" s="6" t="str">
        <f>HYPERLINK("http://www.worldcat.org/oclc/25409223","WorldCat Record")</f>
        <v>WorldCat Record</v>
      </c>
      <c r="AU193" s="3" t="s">
        <v>2607</v>
      </c>
      <c r="AV193" s="3" t="s">
        <v>2608</v>
      </c>
      <c r="AW193" s="3" t="s">
        <v>2609</v>
      </c>
      <c r="AX193" s="3" t="s">
        <v>2609</v>
      </c>
      <c r="AY193" s="3" t="s">
        <v>2610</v>
      </c>
      <c r="AZ193" s="3" t="s">
        <v>74</v>
      </c>
      <c r="BB193" s="3" t="s">
        <v>2611</v>
      </c>
      <c r="BC193" s="3" t="s">
        <v>2612</v>
      </c>
      <c r="BD193" s="3" t="s">
        <v>2613</v>
      </c>
    </row>
    <row r="194" spans="1:56" ht="57.75" customHeight="1" x14ac:dyDescent="0.25">
      <c r="A194" s="7" t="s">
        <v>58</v>
      </c>
      <c r="B194" s="2" t="s">
        <v>2614</v>
      </c>
      <c r="C194" s="2" t="s">
        <v>2615</v>
      </c>
      <c r="D194" s="2" t="s">
        <v>2616</v>
      </c>
      <c r="F194" s="3" t="s">
        <v>58</v>
      </c>
      <c r="G194" s="3" t="s">
        <v>59</v>
      </c>
      <c r="H194" s="3" t="s">
        <v>58</v>
      </c>
      <c r="I194" s="3" t="s">
        <v>58</v>
      </c>
      <c r="J194" s="3" t="s">
        <v>60</v>
      </c>
      <c r="K194" s="2" t="s">
        <v>2617</v>
      </c>
      <c r="L194" s="2" t="s">
        <v>2618</v>
      </c>
      <c r="M194" s="3" t="s">
        <v>916</v>
      </c>
      <c r="O194" s="3" t="s">
        <v>64</v>
      </c>
      <c r="P194" s="3" t="s">
        <v>65</v>
      </c>
      <c r="R194" s="3" t="s">
        <v>1093</v>
      </c>
      <c r="S194" s="4">
        <v>2</v>
      </c>
      <c r="T194" s="4">
        <v>2</v>
      </c>
      <c r="U194" s="5" t="s">
        <v>2528</v>
      </c>
      <c r="V194" s="5" t="s">
        <v>2528</v>
      </c>
      <c r="W194" s="5" t="s">
        <v>2619</v>
      </c>
      <c r="X194" s="5" t="s">
        <v>2619</v>
      </c>
      <c r="Y194" s="4">
        <v>250</v>
      </c>
      <c r="Z194" s="4">
        <v>220</v>
      </c>
      <c r="AA194" s="4">
        <v>220</v>
      </c>
      <c r="AB194" s="4">
        <v>2</v>
      </c>
      <c r="AC194" s="4">
        <v>2</v>
      </c>
      <c r="AD194" s="4">
        <v>5</v>
      </c>
      <c r="AE194" s="4">
        <v>5</v>
      </c>
      <c r="AF194" s="4">
        <v>3</v>
      </c>
      <c r="AG194" s="4">
        <v>3</v>
      </c>
      <c r="AH194" s="4">
        <v>1</v>
      </c>
      <c r="AI194" s="4">
        <v>1</v>
      </c>
      <c r="AJ194" s="4">
        <v>3</v>
      </c>
      <c r="AK194" s="4">
        <v>3</v>
      </c>
      <c r="AL194" s="4">
        <v>1</v>
      </c>
      <c r="AM194" s="4">
        <v>1</v>
      </c>
      <c r="AN194" s="4">
        <v>0</v>
      </c>
      <c r="AO194" s="4">
        <v>0</v>
      </c>
      <c r="AP194" s="3" t="s">
        <v>58</v>
      </c>
      <c r="AQ194" s="3" t="s">
        <v>58</v>
      </c>
      <c r="AS194" s="6" t="str">
        <f>HYPERLINK("https://creighton-primo.hosted.exlibrisgroup.com/primo-explore/search?tab=default_tab&amp;search_scope=EVERYTHING&amp;vid=01CRU&amp;lang=en_US&amp;offset=0&amp;query=any,contains,991005008859702656","Catalog Record")</f>
        <v>Catalog Record</v>
      </c>
      <c r="AT194" s="6" t="str">
        <f>HYPERLINK("http://www.worldcat.org/oclc/8059030","WorldCat Record")</f>
        <v>WorldCat Record</v>
      </c>
      <c r="AU194" s="3" t="s">
        <v>2620</v>
      </c>
      <c r="AV194" s="3" t="s">
        <v>2621</v>
      </c>
      <c r="AW194" s="3" t="s">
        <v>2622</v>
      </c>
      <c r="AX194" s="3" t="s">
        <v>2622</v>
      </c>
      <c r="AY194" s="3" t="s">
        <v>2623</v>
      </c>
      <c r="AZ194" s="3" t="s">
        <v>74</v>
      </c>
      <c r="BC194" s="3" t="s">
        <v>2624</v>
      </c>
      <c r="BD194" s="3" t="s">
        <v>2625</v>
      </c>
    </row>
    <row r="195" spans="1:56" ht="57.75" customHeight="1" x14ac:dyDescent="0.25">
      <c r="A195" s="7" t="s">
        <v>58</v>
      </c>
      <c r="B195" s="2" t="s">
        <v>2626</v>
      </c>
      <c r="C195" s="2" t="s">
        <v>2627</v>
      </c>
      <c r="D195" s="2" t="s">
        <v>2628</v>
      </c>
      <c r="F195" s="3" t="s">
        <v>58</v>
      </c>
      <c r="G195" s="3" t="s">
        <v>59</v>
      </c>
      <c r="H195" s="3" t="s">
        <v>58</v>
      </c>
      <c r="I195" s="3" t="s">
        <v>58</v>
      </c>
      <c r="J195" s="3" t="s">
        <v>60</v>
      </c>
      <c r="K195" s="2" t="s">
        <v>2629</v>
      </c>
      <c r="L195" s="2" t="s">
        <v>2630</v>
      </c>
      <c r="M195" s="3" t="s">
        <v>792</v>
      </c>
      <c r="O195" s="3" t="s">
        <v>64</v>
      </c>
      <c r="P195" s="3" t="s">
        <v>412</v>
      </c>
      <c r="R195" s="3" t="s">
        <v>1093</v>
      </c>
      <c r="S195" s="4">
        <v>5</v>
      </c>
      <c r="T195" s="4">
        <v>5</v>
      </c>
      <c r="U195" s="5" t="s">
        <v>2631</v>
      </c>
      <c r="V195" s="5" t="s">
        <v>2631</v>
      </c>
      <c r="W195" s="5" t="s">
        <v>2632</v>
      </c>
      <c r="X195" s="5" t="s">
        <v>2632</v>
      </c>
      <c r="Y195" s="4">
        <v>84</v>
      </c>
      <c r="Z195" s="4">
        <v>25</v>
      </c>
      <c r="AA195" s="4">
        <v>394</v>
      </c>
      <c r="AB195" s="4">
        <v>1</v>
      </c>
      <c r="AC195" s="4">
        <v>5</v>
      </c>
      <c r="AD195" s="4">
        <v>1</v>
      </c>
      <c r="AE195" s="4">
        <v>14</v>
      </c>
      <c r="AF195" s="4">
        <v>0</v>
      </c>
      <c r="AG195" s="4">
        <v>5</v>
      </c>
      <c r="AH195" s="4">
        <v>0</v>
      </c>
      <c r="AI195" s="4">
        <v>3</v>
      </c>
      <c r="AJ195" s="4">
        <v>1</v>
      </c>
      <c r="AK195" s="4">
        <v>4</v>
      </c>
      <c r="AL195" s="4">
        <v>0</v>
      </c>
      <c r="AM195" s="4">
        <v>3</v>
      </c>
      <c r="AN195" s="4">
        <v>0</v>
      </c>
      <c r="AO195" s="4">
        <v>0</v>
      </c>
      <c r="AP195" s="3" t="s">
        <v>58</v>
      </c>
      <c r="AQ195" s="3" t="s">
        <v>58</v>
      </c>
      <c r="AS195" s="6" t="str">
        <f>HYPERLINK("https://creighton-primo.hosted.exlibrisgroup.com/primo-explore/search?tab=default_tab&amp;search_scope=EVERYTHING&amp;vid=01CRU&amp;lang=en_US&amp;offset=0&amp;query=any,contains,991004640839702656","Catalog Record")</f>
        <v>Catalog Record</v>
      </c>
      <c r="AT195" s="6" t="str">
        <f>HYPERLINK("http://www.worldcat.org/oclc/4457940","WorldCat Record")</f>
        <v>WorldCat Record</v>
      </c>
      <c r="AU195" s="3" t="s">
        <v>2633</v>
      </c>
      <c r="AV195" s="3" t="s">
        <v>2634</v>
      </c>
      <c r="AW195" s="3" t="s">
        <v>2635</v>
      </c>
      <c r="AX195" s="3" t="s">
        <v>2635</v>
      </c>
      <c r="AY195" s="3" t="s">
        <v>2636</v>
      </c>
      <c r="AZ195" s="3" t="s">
        <v>74</v>
      </c>
      <c r="BC195" s="3" t="s">
        <v>2637</v>
      </c>
      <c r="BD195" s="3" t="s">
        <v>2638</v>
      </c>
    </row>
    <row r="196" spans="1:56" ht="57.75" customHeight="1" x14ac:dyDescent="0.25">
      <c r="A196" s="7" t="s">
        <v>58</v>
      </c>
      <c r="B196" s="2" t="s">
        <v>2639</v>
      </c>
      <c r="C196" s="2" t="s">
        <v>2640</v>
      </c>
      <c r="D196" s="2" t="s">
        <v>2641</v>
      </c>
      <c r="F196" s="3" t="s">
        <v>58</v>
      </c>
      <c r="G196" s="3" t="s">
        <v>59</v>
      </c>
      <c r="H196" s="3" t="s">
        <v>58</v>
      </c>
      <c r="I196" s="3" t="s">
        <v>58</v>
      </c>
      <c r="J196" s="3" t="s">
        <v>60</v>
      </c>
      <c r="K196" s="2" t="s">
        <v>2642</v>
      </c>
      <c r="L196" s="2" t="s">
        <v>2643</v>
      </c>
      <c r="M196" s="3" t="s">
        <v>2644</v>
      </c>
      <c r="O196" s="3" t="s">
        <v>64</v>
      </c>
      <c r="P196" s="3" t="s">
        <v>2645</v>
      </c>
      <c r="Q196" s="2" t="s">
        <v>2646</v>
      </c>
      <c r="R196" s="3" t="s">
        <v>1093</v>
      </c>
      <c r="S196" s="4">
        <v>3</v>
      </c>
      <c r="T196" s="4">
        <v>3</v>
      </c>
      <c r="U196" s="5" t="s">
        <v>2631</v>
      </c>
      <c r="V196" s="5" t="s">
        <v>2631</v>
      </c>
      <c r="W196" s="5" t="s">
        <v>2647</v>
      </c>
      <c r="X196" s="5" t="s">
        <v>2647</v>
      </c>
      <c r="Y196" s="4">
        <v>214</v>
      </c>
      <c r="Z196" s="4">
        <v>190</v>
      </c>
      <c r="AA196" s="4">
        <v>209</v>
      </c>
      <c r="AB196" s="4">
        <v>3</v>
      </c>
      <c r="AC196" s="4">
        <v>3</v>
      </c>
      <c r="AD196" s="4">
        <v>9</v>
      </c>
      <c r="AE196" s="4">
        <v>9</v>
      </c>
      <c r="AF196" s="4">
        <v>3</v>
      </c>
      <c r="AG196" s="4">
        <v>3</v>
      </c>
      <c r="AH196" s="4">
        <v>0</v>
      </c>
      <c r="AI196" s="4">
        <v>0</v>
      </c>
      <c r="AJ196" s="4">
        <v>5</v>
      </c>
      <c r="AK196" s="4">
        <v>5</v>
      </c>
      <c r="AL196" s="4">
        <v>2</v>
      </c>
      <c r="AM196" s="4">
        <v>2</v>
      </c>
      <c r="AN196" s="4">
        <v>0</v>
      </c>
      <c r="AO196" s="4">
        <v>0</v>
      </c>
      <c r="AP196" s="3" t="s">
        <v>58</v>
      </c>
      <c r="AQ196" s="3" t="s">
        <v>58</v>
      </c>
      <c r="AS196" s="6" t="str">
        <f>HYPERLINK("https://creighton-primo.hosted.exlibrisgroup.com/primo-explore/search?tab=default_tab&amp;search_scope=EVERYTHING&amp;vid=01CRU&amp;lang=en_US&amp;offset=0&amp;query=any,contains,991003935909702656","Catalog Record")</f>
        <v>Catalog Record</v>
      </c>
      <c r="AT196" s="6" t="str">
        <f>HYPERLINK("http://www.worldcat.org/oclc/1913726","WorldCat Record")</f>
        <v>WorldCat Record</v>
      </c>
      <c r="AU196" s="3" t="s">
        <v>2648</v>
      </c>
      <c r="AV196" s="3" t="s">
        <v>2649</v>
      </c>
      <c r="AW196" s="3" t="s">
        <v>2650</v>
      </c>
      <c r="AX196" s="3" t="s">
        <v>2650</v>
      </c>
      <c r="AY196" s="3" t="s">
        <v>2651</v>
      </c>
      <c r="AZ196" s="3" t="s">
        <v>74</v>
      </c>
      <c r="BC196" s="3" t="s">
        <v>2652</v>
      </c>
      <c r="BD196" s="3" t="s">
        <v>2653</v>
      </c>
    </row>
    <row r="197" spans="1:56" ht="57.75" customHeight="1" x14ac:dyDescent="0.25">
      <c r="A197" s="7" t="s">
        <v>58</v>
      </c>
      <c r="B197" s="2" t="s">
        <v>2654</v>
      </c>
      <c r="C197" s="2" t="s">
        <v>2655</v>
      </c>
      <c r="D197" s="2" t="s">
        <v>2656</v>
      </c>
      <c r="F197" s="3" t="s">
        <v>58</v>
      </c>
      <c r="G197" s="3" t="s">
        <v>59</v>
      </c>
      <c r="H197" s="3" t="s">
        <v>58</v>
      </c>
      <c r="I197" s="3" t="s">
        <v>58</v>
      </c>
      <c r="J197" s="3" t="s">
        <v>60</v>
      </c>
      <c r="K197" s="2" t="s">
        <v>2657</v>
      </c>
      <c r="L197" s="2" t="s">
        <v>705</v>
      </c>
      <c r="M197" s="3" t="s">
        <v>205</v>
      </c>
      <c r="O197" s="3" t="s">
        <v>64</v>
      </c>
      <c r="P197" s="3" t="s">
        <v>637</v>
      </c>
      <c r="R197" s="3" t="s">
        <v>1093</v>
      </c>
      <c r="S197" s="4">
        <v>1</v>
      </c>
      <c r="T197" s="4">
        <v>1</v>
      </c>
      <c r="U197" s="5" t="s">
        <v>2658</v>
      </c>
      <c r="V197" s="5" t="s">
        <v>2658</v>
      </c>
      <c r="W197" s="5" t="s">
        <v>192</v>
      </c>
      <c r="X197" s="5" t="s">
        <v>192</v>
      </c>
      <c r="Y197" s="4">
        <v>373</v>
      </c>
      <c r="Z197" s="4">
        <v>351</v>
      </c>
      <c r="AA197" s="4">
        <v>358</v>
      </c>
      <c r="AB197" s="4">
        <v>4</v>
      </c>
      <c r="AC197" s="4">
        <v>4</v>
      </c>
      <c r="AD197" s="4">
        <v>8</v>
      </c>
      <c r="AE197" s="4">
        <v>8</v>
      </c>
      <c r="AF197" s="4">
        <v>4</v>
      </c>
      <c r="AG197" s="4">
        <v>4</v>
      </c>
      <c r="AH197" s="4">
        <v>1</v>
      </c>
      <c r="AI197" s="4">
        <v>1</v>
      </c>
      <c r="AJ197" s="4">
        <v>1</v>
      </c>
      <c r="AK197" s="4">
        <v>1</v>
      </c>
      <c r="AL197" s="4">
        <v>3</v>
      </c>
      <c r="AM197" s="4">
        <v>3</v>
      </c>
      <c r="AN197" s="4">
        <v>0</v>
      </c>
      <c r="AO197" s="4">
        <v>0</v>
      </c>
      <c r="AP197" s="3" t="s">
        <v>58</v>
      </c>
      <c r="AQ197" s="3" t="s">
        <v>69</v>
      </c>
      <c r="AR197" s="6" t="str">
        <f>HYPERLINK("http://catalog.hathitrust.org/Record/000687790","HathiTrust Record")</f>
        <v>HathiTrust Record</v>
      </c>
      <c r="AS197" s="6" t="str">
        <f>HYPERLINK("https://creighton-primo.hosted.exlibrisgroup.com/primo-explore/search?tab=default_tab&amp;search_scope=EVERYTHING&amp;vid=01CRU&amp;lang=en_US&amp;offset=0&amp;query=any,contains,991004792469702656","Catalog Record")</f>
        <v>Catalog Record</v>
      </c>
      <c r="AT197" s="6" t="str">
        <f>HYPERLINK("http://www.worldcat.org/oclc/5171655","WorldCat Record")</f>
        <v>WorldCat Record</v>
      </c>
      <c r="AU197" s="3" t="s">
        <v>2659</v>
      </c>
      <c r="AV197" s="3" t="s">
        <v>2660</v>
      </c>
      <c r="AW197" s="3" t="s">
        <v>2661</v>
      </c>
      <c r="AX197" s="3" t="s">
        <v>2661</v>
      </c>
      <c r="AY197" s="3" t="s">
        <v>2662</v>
      </c>
      <c r="AZ197" s="3" t="s">
        <v>74</v>
      </c>
      <c r="BB197" s="3" t="s">
        <v>2663</v>
      </c>
      <c r="BC197" s="3" t="s">
        <v>2664</v>
      </c>
      <c r="BD197" s="3" t="s">
        <v>2665</v>
      </c>
    </row>
    <row r="198" spans="1:56" ht="57.75" customHeight="1" x14ac:dyDescent="0.25">
      <c r="A198" s="7" t="s">
        <v>58</v>
      </c>
      <c r="B198" s="2" t="s">
        <v>2666</v>
      </c>
      <c r="C198" s="2" t="s">
        <v>2667</v>
      </c>
      <c r="D198" s="2" t="s">
        <v>2668</v>
      </c>
      <c r="F198" s="3" t="s">
        <v>58</v>
      </c>
      <c r="G198" s="3" t="s">
        <v>59</v>
      </c>
      <c r="H198" s="3" t="s">
        <v>58</v>
      </c>
      <c r="I198" s="3" t="s">
        <v>58</v>
      </c>
      <c r="J198" s="3" t="s">
        <v>60</v>
      </c>
      <c r="K198" s="2" t="s">
        <v>2669</v>
      </c>
      <c r="L198" s="2" t="s">
        <v>2670</v>
      </c>
      <c r="M198" s="3" t="s">
        <v>153</v>
      </c>
      <c r="O198" s="3" t="s">
        <v>64</v>
      </c>
      <c r="P198" s="3" t="s">
        <v>412</v>
      </c>
      <c r="R198" s="3" t="s">
        <v>1093</v>
      </c>
      <c r="S198" s="4">
        <v>3</v>
      </c>
      <c r="T198" s="4">
        <v>3</v>
      </c>
      <c r="U198" s="5" t="s">
        <v>2671</v>
      </c>
      <c r="V198" s="5" t="s">
        <v>2671</v>
      </c>
      <c r="W198" s="5" t="s">
        <v>1858</v>
      </c>
      <c r="X198" s="5" t="s">
        <v>1858</v>
      </c>
      <c r="Y198" s="4">
        <v>394</v>
      </c>
      <c r="Z198" s="4">
        <v>337</v>
      </c>
      <c r="AA198" s="4">
        <v>348</v>
      </c>
      <c r="AB198" s="4">
        <v>4</v>
      </c>
      <c r="AC198" s="4">
        <v>4</v>
      </c>
      <c r="AD198" s="4">
        <v>10</v>
      </c>
      <c r="AE198" s="4">
        <v>10</v>
      </c>
      <c r="AF198" s="4">
        <v>4</v>
      </c>
      <c r="AG198" s="4">
        <v>4</v>
      </c>
      <c r="AH198" s="4">
        <v>1</v>
      </c>
      <c r="AI198" s="4">
        <v>1</v>
      </c>
      <c r="AJ198" s="4">
        <v>4</v>
      </c>
      <c r="AK198" s="4">
        <v>4</v>
      </c>
      <c r="AL198" s="4">
        <v>2</v>
      </c>
      <c r="AM198" s="4">
        <v>2</v>
      </c>
      <c r="AN198" s="4">
        <v>0</v>
      </c>
      <c r="AO198" s="4">
        <v>0</v>
      </c>
      <c r="AP198" s="3" t="s">
        <v>58</v>
      </c>
      <c r="AQ198" s="3" t="s">
        <v>69</v>
      </c>
      <c r="AR198" s="6" t="str">
        <f>HYPERLINK("http://catalog.hathitrust.org/Record/002552609","HathiTrust Record")</f>
        <v>HathiTrust Record</v>
      </c>
      <c r="AS198" s="6" t="str">
        <f>HYPERLINK("https://creighton-primo.hosted.exlibrisgroup.com/primo-explore/search?tab=default_tab&amp;search_scope=EVERYTHING&amp;vid=01CRU&amp;lang=en_US&amp;offset=0&amp;query=any,contains,991002351189702656","Catalog Record")</f>
        <v>Catalog Record</v>
      </c>
      <c r="AT198" s="6" t="str">
        <f>HYPERLINK("http://www.worldcat.org/oclc/325202","WorldCat Record")</f>
        <v>WorldCat Record</v>
      </c>
      <c r="AU198" s="3" t="s">
        <v>2672</v>
      </c>
      <c r="AV198" s="3" t="s">
        <v>2673</v>
      </c>
      <c r="AW198" s="3" t="s">
        <v>2674</v>
      </c>
      <c r="AX198" s="3" t="s">
        <v>2674</v>
      </c>
      <c r="AY198" s="3" t="s">
        <v>2675</v>
      </c>
      <c r="AZ198" s="3" t="s">
        <v>74</v>
      </c>
      <c r="BC198" s="3" t="s">
        <v>2676</v>
      </c>
      <c r="BD198" s="3" t="s">
        <v>2677</v>
      </c>
    </row>
    <row r="199" spans="1:56" ht="57.75" customHeight="1" x14ac:dyDescent="0.25">
      <c r="A199" s="7" t="s">
        <v>58</v>
      </c>
      <c r="B199" s="2" t="s">
        <v>2678</v>
      </c>
      <c r="C199" s="2" t="s">
        <v>2679</v>
      </c>
      <c r="D199" s="2" t="s">
        <v>2680</v>
      </c>
      <c r="F199" s="3" t="s">
        <v>58</v>
      </c>
      <c r="G199" s="3" t="s">
        <v>59</v>
      </c>
      <c r="H199" s="3" t="s">
        <v>58</v>
      </c>
      <c r="I199" s="3" t="s">
        <v>58</v>
      </c>
      <c r="J199" s="3" t="s">
        <v>60</v>
      </c>
      <c r="K199" s="2" t="s">
        <v>2681</v>
      </c>
      <c r="L199" s="2" t="s">
        <v>2682</v>
      </c>
      <c r="M199" s="3" t="s">
        <v>792</v>
      </c>
      <c r="O199" s="3" t="s">
        <v>64</v>
      </c>
      <c r="P199" s="3" t="s">
        <v>65</v>
      </c>
      <c r="Q199" s="2" t="s">
        <v>2683</v>
      </c>
      <c r="R199" s="3" t="s">
        <v>1093</v>
      </c>
      <c r="S199" s="4">
        <v>4</v>
      </c>
      <c r="T199" s="4">
        <v>4</v>
      </c>
      <c r="U199" s="5" t="s">
        <v>2684</v>
      </c>
      <c r="V199" s="5" t="s">
        <v>2684</v>
      </c>
      <c r="W199" s="5" t="s">
        <v>1858</v>
      </c>
      <c r="X199" s="5" t="s">
        <v>1858</v>
      </c>
      <c r="Y199" s="4">
        <v>415</v>
      </c>
      <c r="Z199" s="4">
        <v>390</v>
      </c>
      <c r="AA199" s="4">
        <v>403</v>
      </c>
      <c r="AB199" s="4">
        <v>3</v>
      </c>
      <c r="AC199" s="4">
        <v>3</v>
      </c>
      <c r="AD199" s="4">
        <v>10</v>
      </c>
      <c r="AE199" s="4">
        <v>10</v>
      </c>
      <c r="AF199" s="4">
        <v>3</v>
      </c>
      <c r="AG199" s="4">
        <v>3</v>
      </c>
      <c r="AH199" s="4">
        <v>2</v>
      </c>
      <c r="AI199" s="4">
        <v>2</v>
      </c>
      <c r="AJ199" s="4">
        <v>4</v>
      </c>
      <c r="AK199" s="4">
        <v>4</v>
      </c>
      <c r="AL199" s="4">
        <v>1</v>
      </c>
      <c r="AM199" s="4">
        <v>1</v>
      </c>
      <c r="AN199" s="4">
        <v>0</v>
      </c>
      <c r="AO199" s="4">
        <v>0</v>
      </c>
      <c r="AP199" s="3" t="s">
        <v>58</v>
      </c>
      <c r="AQ199" s="3" t="s">
        <v>69</v>
      </c>
      <c r="AR199" s="6" t="str">
        <f>HYPERLINK("http://catalog.hathitrust.org/Record/008545433","HathiTrust Record")</f>
        <v>HathiTrust Record</v>
      </c>
      <c r="AS199" s="6" t="str">
        <f>HYPERLINK("https://creighton-primo.hosted.exlibrisgroup.com/primo-explore/search?tab=default_tab&amp;search_scope=EVERYTHING&amp;vid=01CRU&amp;lang=en_US&amp;offset=0&amp;query=any,contains,991003646169702656","Catalog Record")</f>
        <v>Catalog Record</v>
      </c>
      <c r="AT199" s="6" t="str">
        <f>HYPERLINK("http://www.worldcat.org/oclc/1247436","WorldCat Record")</f>
        <v>WorldCat Record</v>
      </c>
      <c r="AU199" s="3" t="s">
        <v>2685</v>
      </c>
      <c r="AV199" s="3" t="s">
        <v>2686</v>
      </c>
      <c r="AW199" s="3" t="s">
        <v>2687</v>
      </c>
      <c r="AX199" s="3" t="s">
        <v>2687</v>
      </c>
      <c r="AY199" s="3" t="s">
        <v>2688</v>
      </c>
      <c r="AZ199" s="3" t="s">
        <v>74</v>
      </c>
      <c r="BC199" s="3" t="s">
        <v>2689</v>
      </c>
      <c r="BD199" s="3" t="s">
        <v>2690</v>
      </c>
    </row>
    <row r="200" spans="1:56" ht="57.75" customHeight="1" x14ac:dyDescent="0.25">
      <c r="A200" s="7" t="s">
        <v>58</v>
      </c>
      <c r="B200" s="2" t="s">
        <v>2691</v>
      </c>
      <c r="C200" s="2" t="s">
        <v>2692</v>
      </c>
      <c r="D200" s="2" t="s">
        <v>2693</v>
      </c>
      <c r="F200" s="3" t="s">
        <v>58</v>
      </c>
      <c r="G200" s="3" t="s">
        <v>59</v>
      </c>
      <c r="H200" s="3" t="s">
        <v>58</v>
      </c>
      <c r="I200" s="3" t="s">
        <v>58</v>
      </c>
      <c r="J200" s="3" t="s">
        <v>60</v>
      </c>
      <c r="K200" s="2" t="s">
        <v>2694</v>
      </c>
      <c r="L200" s="2" t="s">
        <v>2695</v>
      </c>
      <c r="M200" s="3" t="s">
        <v>916</v>
      </c>
      <c r="O200" s="3" t="s">
        <v>64</v>
      </c>
      <c r="P200" s="3" t="s">
        <v>65</v>
      </c>
      <c r="R200" s="3" t="s">
        <v>1093</v>
      </c>
      <c r="S200" s="4">
        <v>1</v>
      </c>
      <c r="T200" s="4">
        <v>1</v>
      </c>
      <c r="U200" s="5" t="s">
        <v>2696</v>
      </c>
      <c r="V200" s="5" t="s">
        <v>2696</v>
      </c>
      <c r="W200" s="5" t="s">
        <v>2697</v>
      </c>
      <c r="X200" s="5" t="s">
        <v>2697</v>
      </c>
      <c r="Y200" s="4">
        <v>1104</v>
      </c>
      <c r="Z200" s="4">
        <v>1038</v>
      </c>
      <c r="AA200" s="4">
        <v>1104</v>
      </c>
      <c r="AB200" s="4">
        <v>8</v>
      </c>
      <c r="AC200" s="4">
        <v>8</v>
      </c>
      <c r="AD200" s="4">
        <v>25</v>
      </c>
      <c r="AE200" s="4">
        <v>27</v>
      </c>
      <c r="AF200" s="4">
        <v>8</v>
      </c>
      <c r="AG200" s="4">
        <v>10</v>
      </c>
      <c r="AH200" s="4">
        <v>4</v>
      </c>
      <c r="AI200" s="4">
        <v>4</v>
      </c>
      <c r="AJ200" s="4">
        <v>13</v>
      </c>
      <c r="AK200" s="4">
        <v>13</v>
      </c>
      <c r="AL200" s="4">
        <v>4</v>
      </c>
      <c r="AM200" s="4">
        <v>4</v>
      </c>
      <c r="AN200" s="4">
        <v>0</v>
      </c>
      <c r="AO200" s="4">
        <v>0</v>
      </c>
      <c r="AP200" s="3" t="s">
        <v>58</v>
      </c>
      <c r="AQ200" s="3" t="s">
        <v>69</v>
      </c>
      <c r="AR200" s="6" t="str">
        <f>HYPERLINK("http://catalog.hathitrust.org/Record/006229156","HathiTrust Record")</f>
        <v>HathiTrust Record</v>
      </c>
      <c r="AS200" s="6" t="str">
        <f>HYPERLINK("https://creighton-primo.hosted.exlibrisgroup.com/primo-explore/search?tab=default_tab&amp;search_scope=EVERYTHING&amp;vid=01CRU&amp;lang=en_US&amp;offset=0&amp;query=any,contains,991005135199702656","Catalog Record")</f>
        <v>Catalog Record</v>
      </c>
      <c r="AT200" s="6" t="str">
        <f>HYPERLINK("http://www.worldcat.org/oclc/7576217","WorldCat Record")</f>
        <v>WorldCat Record</v>
      </c>
      <c r="AU200" s="3" t="s">
        <v>2698</v>
      </c>
      <c r="AV200" s="3" t="s">
        <v>2699</v>
      </c>
      <c r="AW200" s="3" t="s">
        <v>2700</v>
      </c>
      <c r="AX200" s="3" t="s">
        <v>2700</v>
      </c>
      <c r="AY200" s="3" t="s">
        <v>2701</v>
      </c>
      <c r="AZ200" s="3" t="s">
        <v>74</v>
      </c>
      <c r="BB200" s="3" t="s">
        <v>2702</v>
      </c>
      <c r="BC200" s="3" t="s">
        <v>2703</v>
      </c>
      <c r="BD200" s="3" t="s">
        <v>2704</v>
      </c>
    </row>
    <row r="201" spans="1:56" ht="57.75" customHeight="1" x14ac:dyDescent="0.25">
      <c r="A201" s="7" t="s">
        <v>58</v>
      </c>
      <c r="B201" s="2" t="s">
        <v>2705</v>
      </c>
      <c r="C201" s="2" t="s">
        <v>2706</v>
      </c>
      <c r="D201" s="2" t="s">
        <v>2707</v>
      </c>
      <c r="F201" s="3" t="s">
        <v>58</v>
      </c>
      <c r="G201" s="3" t="s">
        <v>59</v>
      </c>
      <c r="H201" s="3" t="s">
        <v>58</v>
      </c>
      <c r="I201" s="3" t="s">
        <v>58</v>
      </c>
      <c r="J201" s="3" t="s">
        <v>60</v>
      </c>
      <c r="K201" s="2" t="s">
        <v>2708</v>
      </c>
      <c r="L201" s="2" t="s">
        <v>2709</v>
      </c>
      <c r="M201" s="3" t="s">
        <v>916</v>
      </c>
      <c r="N201" s="2" t="s">
        <v>606</v>
      </c>
      <c r="O201" s="3" t="s">
        <v>64</v>
      </c>
      <c r="P201" s="3" t="s">
        <v>154</v>
      </c>
      <c r="R201" s="3" t="s">
        <v>1093</v>
      </c>
      <c r="S201" s="4">
        <v>3</v>
      </c>
      <c r="T201" s="4">
        <v>3</v>
      </c>
      <c r="U201" s="5" t="s">
        <v>2710</v>
      </c>
      <c r="V201" s="5" t="s">
        <v>2710</v>
      </c>
      <c r="W201" s="5" t="s">
        <v>2697</v>
      </c>
      <c r="X201" s="5" t="s">
        <v>2697</v>
      </c>
      <c r="Y201" s="4">
        <v>166</v>
      </c>
      <c r="Z201" s="4">
        <v>133</v>
      </c>
      <c r="AA201" s="4">
        <v>172</v>
      </c>
      <c r="AB201" s="4">
        <v>2</v>
      </c>
      <c r="AC201" s="4">
        <v>3</v>
      </c>
      <c r="AD201" s="4">
        <v>0</v>
      </c>
      <c r="AE201" s="4">
        <v>1</v>
      </c>
      <c r="AF201" s="4">
        <v>0</v>
      </c>
      <c r="AG201" s="4">
        <v>0</v>
      </c>
      <c r="AH201" s="4">
        <v>0</v>
      </c>
      <c r="AI201" s="4">
        <v>0</v>
      </c>
      <c r="AJ201" s="4">
        <v>0</v>
      </c>
      <c r="AK201" s="4">
        <v>0</v>
      </c>
      <c r="AL201" s="4">
        <v>0</v>
      </c>
      <c r="AM201" s="4">
        <v>1</v>
      </c>
      <c r="AN201" s="4">
        <v>0</v>
      </c>
      <c r="AO201" s="4">
        <v>0</v>
      </c>
      <c r="AP201" s="3" t="s">
        <v>58</v>
      </c>
      <c r="AQ201" s="3" t="s">
        <v>58</v>
      </c>
      <c r="AS201" s="6" t="str">
        <f>HYPERLINK("https://creighton-primo.hosted.exlibrisgroup.com/primo-explore/search?tab=default_tab&amp;search_scope=EVERYTHING&amp;vid=01CRU&amp;lang=en_US&amp;offset=0&amp;query=any,contains,991005114759702656","Catalog Record")</f>
        <v>Catalog Record</v>
      </c>
      <c r="AT201" s="6" t="str">
        <f>HYPERLINK("http://www.worldcat.org/oclc/7461421","WorldCat Record")</f>
        <v>WorldCat Record</v>
      </c>
      <c r="AU201" s="3" t="s">
        <v>2711</v>
      </c>
      <c r="AV201" s="3" t="s">
        <v>2712</v>
      </c>
      <c r="AW201" s="3" t="s">
        <v>2713</v>
      </c>
      <c r="AX201" s="3" t="s">
        <v>2713</v>
      </c>
      <c r="AY201" s="3" t="s">
        <v>2714</v>
      </c>
      <c r="AZ201" s="3" t="s">
        <v>74</v>
      </c>
      <c r="BB201" s="3" t="s">
        <v>2715</v>
      </c>
      <c r="BC201" s="3" t="s">
        <v>2716</v>
      </c>
      <c r="BD201" s="3" t="s">
        <v>2717</v>
      </c>
    </row>
    <row r="202" spans="1:56" ht="57.75" customHeight="1" x14ac:dyDescent="0.25">
      <c r="A202" s="7" t="s">
        <v>58</v>
      </c>
      <c r="B202" s="2" t="s">
        <v>2718</v>
      </c>
      <c r="C202" s="2" t="s">
        <v>2719</v>
      </c>
      <c r="D202" s="2" t="s">
        <v>2720</v>
      </c>
      <c r="F202" s="3" t="s">
        <v>58</v>
      </c>
      <c r="G202" s="3" t="s">
        <v>59</v>
      </c>
      <c r="H202" s="3" t="s">
        <v>58</v>
      </c>
      <c r="I202" s="3" t="s">
        <v>58</v>
      </c>
      <c r="J202" s="3" t="s">
        <v>60</v>
      </c>
      <c r="K202" s="2" t="s">
        <v>2721</v>
      </c>
      <c r="L202" s="2" t="s">
        <v>2722</v>
      </c>
      <c r="M202" s="3" t="s">
        <v>1391</v>
      </c>
      <c r="O202" s="3" t="s">
        <v>64</v>
      </c>
      <c r="P202" s="3" t="s">
        <v>65</v>
      </c>
      <c r="R202" s="3" t="s">
        <v>1093</v>
      </c>
      <c r="S202" s="4">
        <v>5</v>
      </c>
      <c r="T202" s="4">
        <v>5</v>
      </c>
      <c r="U202" s="5" t="s">
        <v>2723</v>
      </c>
      <c r="V202" s="5" t="s">
        <v>2723</v>
      </c>
      <c r="W202" s="5" t="s">
        <v>2697</v>
      </c>
      <c r="X202" s="5" t="s">
        <v>2697</v>
      </c>
      <c r="Y202" s="4">
        <v>376</v>
      </c>
      <c r="Z202" s="4">
        <v>350</v>
      </c>
      <c r="AA202" s="4">
        <v>636</v>
      </c>
      <c r="AB202" s="4">
        <v>7</v>
      </c>
      <c r="AC202" s="4">
        <v>11</v>
      </c>
      <c r="AD202" s="4">
        <v>10</v>
      </c>
      <c r="AE202" s="4">
        <v>16</v>
      </c>
      <c r="AF202" s="4">
        <v>4</v>
      </c>
      <c r="AG202" s="4">
        <v>6</v>
      </c>
      <c r="AH202" s="4">
        <v>1</v>
      </c>
      <c r="AI202" s="4">
        <v>4</v>
      </c>
      <c r="AJ202" s="4">
        <v>4</v>
      </c>
      <c r="AK202" s="4">
        <v>6</v>
      </c>
      <c r="AL202" s="4">
        <v>4</v>
      </c>
      <c r="AM202" s="4">
        <v>5</v>
      </c>
      <c r="AN202" s="4">
        <v>0</v>
      </c>
      <c r="AO202" s="4">
        <v>0</v>
      </c>
      <c r="AP202" s="3" t="s">
        <v>58</v>
      </c>
      <c r="AQ202" s="3" t="s">
        <v>69</v>
      </c>
      <c r="AR202" s="6" t="str">
        <f>HYPERLINK("http://catalog.hathitrust.org/Record/006125692","HathiTrust Record")</f>
        <v>HathiTrust Record</v>
      </c>
      <c r="AS202" s="6" t="str">
        <f>HYPERLINK("https://creighton-primo.hosted.exlibrisgroup.com/primo-explore/search?tab=default_tab&amp;search_scope=EVERYTHING&amp;vid=01CRU&amp;lang=en_US&amp;offset=0&amp;query=any,contains,991003512709702656","Catalog Record")</f>
        <v>Catalog Record</v>
      </c>
      <c r="AT202" s="6" t="str">
        <f>HYPERLINK("http://www.worldcat.org/oclc/1068426","WorldCat Record")</f>
        <v>WorldCat Record</v>
      </c>
      <c r="AU202" s="3" t="s">
        <v>2724</v>
      </c>
      <c r="AV202" s="3" t="s">
        <v>2725</v>
      </c>
      <c r="AW202" s="3" t="s">
        <v>2726</v>
      </c>
      <c r="AX202" s="3" t="s">
        <v>2726</v>
      </c>
      <c r="AY202" s="3" t="s">
        <v>2727</v>
      </c>
      <c r="AZ202" s="3" t="s">
        <v>74</v>
      </c>
      <c r="BC202" s="3" t="s">
        <v>2728</v>
      </c>
      <c r="BD202" s="3" t="s">
        <v>2729</v>
      </c>
    </row>
    <row r="203" spans="1:56" ht="57.75" customHeight="1" x14ac:dyDescent="0.25">
      <c r="A203" s="7" t="s">
        <v>58</v>
      </c>
      <c r="B203" s="2" t="s">
        <v>2730</v>
      </c>
      <c r="C203" s="2" t="s">
        <v>2731</v>
      </c>
      <c r="D203" s="2" t="s">
        <v>2732</v>
      </c>
      <c r="F203" s="3" t="s">
        <v>58</v>
      </c>
      <c r="G203" s="3" t="s">
        <v>59</v>
      </c>
      <c r="H203" s="3" t="s">
        <v>58</v>
      </c>
      <c r="I203" s="3" t="s">
        <v>58</v>
      </c>
      <c r="J203" s="3" t="s">
        <v>60</v>
      </c>
      <c r="L203" s="2" t="s">
        <v>2733</v>
      </c>
      <c r="M203" s="3" t="s">
        <v>577</v>
      </c>
      <c r="O203" s="3" t="s">
        <v>64</v>
      </c>
      <c r="P203" s="3" t="s">
        <v>412</v>
      </c>
      <c r="R203" s="3" t="s">
        <v>1093</v>
      </c>
      <c r="S203" s="4">
        <v>6</v>
      </c>
      <c r="T203" s="4">
        <v>6</v>
      </c>
      <c r="U203" s="5" t="s">
        <v>2734</v>
      </c>
      <c r="V203" s="5" t="s">
        <v>2734</v>
      </c>
      <c r="W203" s="5" t="s">
        <v>68</v>
      </c>
      <c r="X203" s="5" t="s">
        <v>68</v>
      </c>
      <c r="Y203" s="4">
        <v>412</v>
      </c>
      <c r="Z203" s="4">
        <v>234</v>
      </c>
      <c r="AA203" s="4">
        <v>705</v>
      </c>
      <c r="AB203" s="4">
        <v>4</v>
      </c>
      <c r="AC203" s="4">
        <v>6</v>
      </c>
      <c r="AD203" s="4">
        <v>11</v>
      </c>
      <c r="AE203" s="4">
        <v>25</v>
      </c>
      <c r="AF203" s="4">
        <v>2</v>
      </c>
      <c r="AG203" s="4">
        <v>8</v>
      </c>
      <c r="AH203" s="4">
        <v>3</v>
      </c>
      <c r="AI203" s="4">
        <v>7</v>
      </c>
      <c r="AJ203" s="4">
        <v>5</v>
      </c>
      <c r="AK203" s="4">
        <v>11</v>
      </c>
      <c r="AL203" s="4">
        <v>3</v>
      </c>
      <c r="AM203" s="4">
        <v>5</v>
      </c>
      <c r="AN203" s="4">
        <v>0</v>
      </c>
      <c r="AO203" s="4">
        <v>0</v>
      </c>
      <c r="AP203" s="3" t="s">
        <v>58</v>
      </c>
      <c r="AQ203" s="3" t="s">
        <v>69</v>
      </c>
      <c r="AR203" s="6" t="str">
        <f>HYPERLINK("http://catalog.hathitrust.org/Record/007114305","HathiTrust Record")</f>
        <v>HathiTrust Record</v>
      </c>
      <c r="AS203" s="6" t="str">
        <f>HYPERLINK("https://creighton-primo.hosted.exlibrisgroup.com/primo-explore/search?tab=default_tab&amp;search_scope=EVERYTHING&amp;vid=01CRU&amp;lang=en_US&amp;offset=0&amp;query=any,contains,991004114539702656","Catalog Record")</f>
        <v>Catalog Record</v>
      </c>
      <c r="AT203" s="6" t="str">
        <f>HYPERLINK("http://www.worldcat.org/oclc/2407541","WorldCat Record")</f>
        <v>WorldCat Record</v>
      </c>
      <c r="AU203" s="3" t="s">
        <v>2735</v>
      </c>
      <c r="AV203" s="3" t="s">
        <v>2736</v>
      </c>
      <c r="AW203" s="3" t="s">
        <v>2737</v>
      </c>
      <c r="AX203" s="3" t="s">
        <v>2737</v>
      </c>
      <c r="AY203" s="3" t="s">
        <v>2738</v>
      </c>
      <c r="AZ203" s="3" t="s">
        <v>74</v>
      </c>
      <c r="BB203" s="3" t="s">
        <v>2739</v>
      </c>
      <c r="BC203" s="3" t="s">
        <v>2740</v>
      </c>
      <c r="BD203" s="3" t="s">
        <v>2741</v>
      </c>
    </row>
    <row r="204" spans="1:56" ht="57.75" customHeight="1" x14ac:dyDescent="0.25">
      <c r="A204" s="7" t="s">
        <v>58</v>
      </c>
      <c r="B204" s="2" t="s">
        <v>2742</v>
      </c>
      <c r="C204" s="2" t="s">
        <v>2743</v>
      </c>
      <c r="D204" s="2" t="s">
        <v>2744</v>
      </c>
      <c r="F204" s="3" t="s">
        <v>58</v>
      </c>
      <c r="G204" s="3" t="s">
        <v>59</v>
      </c>
      <c r="H204" s="3" t="s">
        <v>58</v>
      </c>
      <c r="I204" s="3" t="s">
        <v>58</v>
      </c>
      <c r="J204" s="3" t="s">
        <v>60</v>
      </c>
      <c r="K204" s="2" t="s">
        <v>2745</v>
      </c>
      <c r="L204" s="2" t="s">
        <v>2746</v>
      </c>
      <c r="M204" s="3" t="s">
        <v>539</v>
      </c>
      <c r="O204" s="3" t="s">
        <v>64</v>
      </c>
      <c r="P204" s="3" t="s">
        <v>65</v>
      </c>
      <c r="R204" s="3" t="s">
        <v>1093</v>
      </c>
      <c r="S204" s="4">
        <v>1</v>
      </c>
      <c r="T204" s="4">
        <v>1</v>
      </c>
      <c r="U204" s="5" t="s">
        <v>2747</v>
      </c>
      <c r="V204" s="5" t="s">
        <v>2747</v>
      </c>
      <c r="W204" s="5" t="s">
        <v>372</v>
      </c>
      <c r="X204" s="5" t="s">
        <v>372</v>
      </c>
      <c r="Y204" s="4">
        <v>152</v>
      </c>
      <c r="Z204" s="4">
        <v>148</v>
      </c>
      <c r="AA204" s="4">
        <v>191</v>
      </c>
      <c r="AB204" s="4">
        <v>2</v>
      </c>
      <c r="AC204" s="4">
        <v>2</v>
      </c>
      <c r="AD204" s="4">
        <v>4</v>
      </c>
      <c r="AE204" s="4">
        <v>6</v>
      </c>
      <c r="AF204" s="4">
        <v>2</v>
      </c>
      <c r="AG204" s="4">
        <v>3</v>
      </c>
      <c r="AH204" s="4">
        <v>1</v>
      </c>
      <c r="AI204" s="4">
        <v>1</v>
      </c>
      <c r="AJ204" s="4">
        <v>1</v>
      </c>
      <c r="AK204" s="4">
        <v>3</v>
      </c>
      <c r="AL204" s="4">
        <v>1</v>
      </c>
      <c r="AM204" s="4">
        <v>1</v>
      </c>
      <c r="AN204" s="4">
        <v>0</v>
      </c>
      <c r="AO204" s="4">
        <v>0</v>
      </c>
      <c r="AP204" s="3" t="s">
        <v>58</v>
      </c>
      <c r="AQ204" s="3" t="s">
        <v>58</v>
      </c>
      <c r="AS204" s="6" t="str">
        <f>HYPERLINK("https://creighton-primo.hosted.exlibrisgroup.com/primo-explore/search?tab=default_tab&amp;search_scope=EVERYTHING&amp;vid=01CRU&amp;lang=en_US&amp;offset=0&amp;query=any,contains,991002775609702656","Catalog Record")</f>
        <v>Catalog Record</v>
      </c>
      <c r="AT204" s="6" t="str">
        <f>HYPERLINK("http://www.worldcat.org/oclc/438564","WorldCat Record")</f>
        <v>WorldCat Record</v>
      </c>
      <c r="AU204" s="3" t="s">
        <v>2748</v>
      </c>
      <c r="AV204" s="3" t="s">
        <v>2749</v>
      </c>
      <c r="AW204" s="3" t="s">
        <v>2750</v>
      </c>
      <c r="AX204" s="3" t="s">
        <v>2750</v>
      </c>
      <c r="AY204" s="3" t="s">
        <v>2751</v>
      </c>
      <c r="AZ204" s="3" t="s">
        <v>74</v>
      </c>
      <c r="BC204" s="3" t="s">
        <v>2752</v>
      </c>
      <c r="BD204" s="3" t="s">
        <v>2753</v>
      </c>
    </row>
    <row r="205" spans="1:56" ht="57.75" customHeight="1" x14ac:dyDescent="0.25">
      <c r="A205" s="7" t="s">
        <v>58</v>
      </c>
      <c r="B205" s="2" t="s">
        <v>2754</v>
      </c>
      <c r="C205" s="2" t="s">
        <v>2755</v>
      </c>
      <c r="D205" s="2" t="s">
        <v>2756</v>
      </c>
      <c r="F205" s="3" t="s">
        <v>58</v>
      </c>
      <c r="G205" s="3" t="s">
        <v>59</v>
      </c>
      <c r="H205" s="3" t="s">
        <v>58</v>
      </c>
      <c r="I205" s="3" t="s">
        <v>58</v>
      </c>
      <c r="J205" s="3" t="s">
        <v>60</v>
      </c>
      <c r="K205" s="2" t="s">
        <v>2757</v>
      </c>
      <c r="L205" s="2" t="s">
        <v>2758</v>
      </c>
      <c r="M205" s="3" t="s">
        <v>1986</v>
      </c>
      <c r="O205" s="3" t="s">
        <v>64</v>
      </c>
      <c r="P205" s="3" t="s">
        <v>65</v>
      </c>
      <c r="R205" s="3" t="s">
        <v>1093</v>
      </c>
      <c r="S205" s="4">
        <v>2</v>
      </c>
      <c r="T205" s="4">
        <v>2</v>
      </c>
      <c r="U205" s="5" t="s">
        <v>2759</v>
      </c>
      <c r="V205" s="5" t="s">
        <v>2759</v>
      </c>
      <c r="W205" s="5" t="s">
        <v>2760</v>
      </c>
      <c r="X205" s="5" t="s">
        <v>2760</v>
      </c>
      <c r="Y205" s="4">
        <v>368</v>
      </c>
      <c r="Z205" s="4">
        <v>351</v>
      </c>
      <c r="AA205" s="4">
        <v>372</v>
      </c>
      <c r="AB205" s="4">
        <v>4</v>
      </c>
      <c r="AC205" s="4">
        <v>4</v>
      </c>
      <c r="AD205" s="4">
        <v>13</v>
      </c>
      <c r="AE205" s="4">
        <v>13</v>
      </c>
      <c r="AF205" s="4">
        <v>4</v>
      </c>
      <c r="AG205" s="4">
        <v>4</v>
      </c>
      <c r="AH205" s="4">
        <v>4</v>
      </c>
      <c r="AI205" s="4">
        <v>4</v>
      </c>
      <c r="AJ205" s="4">
        <v>6</v>
      </c>
      <c r="AK205" s="4">
        <v>6</v>
      </c>
      <c r="AL205" s="4">
        <v>2</v>
      </c>
      <c r="AM205" s="4">
        <v>2</v>
      </c>
      <c r="AN205" s="4">
        <v>0</v>
      </c>
      <c r="AO205" s="4">
        <v>0</v>
      </c>
      <c r="AP205" s="3" t="s">
        <v>58</v>
      </c>
      <c r="AQ205" s="3" t="s">
        <v>69</v>
      </c>
      <c r="AR205" s="6" t="str">
        <f>HYPERLINK("http://catalog.hathitrust.org/Record/004055669","HathiTrust Record")</f>
        <v>HathiTrust Record</v>
      </c>
      <c r="AS205" s="6" t="str">
        <f>HYPERLINK("https://creighton-primo.hosted.exlibrisgroup.com/primo-explore/search?tab=default_tab&amp;search_scope=EVERYTHING&amp;vid=01CRU&amp;lang=en_US&amp;offset=0&amp;query=any,contains,991003837719702656","Catalog Record")</f>
        <v>Catalog Record</v>
      </c>
      <c r="AT205" s="6" t="str">
        <f>HYPERLINK("http://www.worldcat.org/oclc/41476808","WorldCat Record")</f>
        <v>WorldCat Record</v>
      </c>
      <c r="AU205" s="3" t="s">
        <v>2761</v>
      </c>
      <c r="AV205" s="3" t="s">
        <v>2762</v>
      </c>
      <c r="AW205" s="3" t="s">
        <v>2763</v>
      </c>
      <c r="AX205" s="3" t="s">
        <v>2763</v>
      </c>
      <c r="AY205" s="3" t="s">
        <v>2764</v>
      </c>
      <c r="AZ205" s="3" t="s">
        <v>74</v>
      </c>
      <c r="BB205" s="3" t="s">
        <v>2765</v>
      </c>
      <c r="BC205" s="3" t="s">
        <v>2766</v>
      </c>
      <c r="BD205" s="3" t="s">
        <v>2767</v>
      </c>
    </row>
    <row r="206" spans="1:56" ht="57.75" customHeight="1" x14ac:dyDescent="0.25">
      <c r="A206" s="7" t="s">
        <v>58</v>
      </c>
      <c r="B206" s="2" t="s">
        <v>2768</v>
      </c>
      <c r="C206" s="2" t="s">
        <v>2769</v>
      </c>
      <c r="D206" s="2" t="s">
        <v>2770</v>
      </c>
      <c r="F206" s="3" t="s">
        <v>58</v>
      </c>
      <c r="G206" s="3" t="s">
        <v>59</v>
      </c>
      <c r="H206" s="3" t="s">
        <v>58</v>
      </c>
      <c r="I206" s="3" t="s">
        <v>58</v>
      </c>
      <c r="J206" s="3" t="s">
        <v>60</v>
      </c>
      <c r="K206" s="2" t="s">
        <v>2771</v>
      </c>
      <c r="L206" s="2" t="s">
        <v>2772</v>
      </c>
      <c r="M206" s="3" t="s">
        <v>763</v>
      </c>
      <c r="O206" s="3" t="s">
        <v>64</v>
      </c>
      <c r="P206" s="3" t="s">
        <v>65</v>
      </c>
      <c r="R206" s="3" t="s">
        <v>1093</v>
      </c>
      <c r="S206" s="4">
        <v>3</v>
      </c>
      <c r="T206" s="4">
        <v>3</v>
      </c>
      <c r="U206" s="5" t="s">
        <v>2773</v>
      </c>
      <c r="V206" s="5" t="s">
        <v>2773</v>
      </c>
      <c r="W206" s="5" t="s">
        <v>2774</v>
      </c>
      <c r="X206" s="5" t="s">
        <v>2774</v>
      </c>
      <c r="Y206" s="4">
        <v>486</v>
      </c>
      <c r="Z206" s="4">
        <v>443</v>
      </c>
      <c r="AA206" s="4">
        <v>469</v>
      </c>
      <c r="AB206" s="4">
        <v>3</v>
      </c>
      <c r="AC206" s="4">
        <v>3</v>
      </c>
      <c r="AD206" s="4">
        <v>14</v>
      </c>
      <c r="AE206" s="4">
        <v>14</v>
      </c>
      <c r="AF206" s="4">
        <v>3</v>
      </c>
      <c r="AG206" s="4">
        <v>3</v>
      </c>
      <c r="AH206" s="4">
        <v>5</v>
      </c>
      <c r="AI206" s="4">
        <v>5</v>
      </c>
      <c r="AJ206" s="4">
        <v>6</v>
      </c>
      <c r="AK206" s="4">
        <v>6</v>
      </c>
      <c r="AL206" s="4">
        <v>2</v>
      </c>
      <c r="AM206" s="4">
        <v>2</v>
      </c>
      <c r="AN206" s="4">
        <v>0</v>
      </c>
      <c r="AO206" s="4">
        <v>0</v>
      </c>
      <c r="AP206" s="3" t="s">
        <v>58</v>
      </c>
      <c r="AQ206" s="3" t="s">
        <v>58</v>
      </c>
      <c r="AS206" s="6" t="str">
        <f>HYPERLINK("https://creighton-primo.hosted.exlibrisgroup.com/primo-explore/search?tab=default_tab&amp;search_scope=EVERYTHING&amp;vid=01CRU&amp;lang=en_US&amp;offset=0&amp;query=any,contains,991001777889702656","Catalog Record")</f>
        <v>Catalog Record</v>
      </c>
      <c r="AT206" s="6" t="str">
        <f>HYPERLINK("http://www.worldcat.org/oclc/22434893","WorldCat Record")</f>
        <v>WorldCat Record</v>
      </c>
      <c r="AU206" s="3" t="s">
        <v>2775</v>
      </c>
      <c r="AV206" s="3" t="s">
        <v>2776</v>
      </c>
      <c r="AW206" s="3" t="s">
        <v>2777</v>
      </c>
      <c r="AX206" s="3" t="s">
        <v>2777</v>
      </c>
      <c r="AY206" s="3" t="s">
        <v>2778</v>
      </c>
      <c r="AZ206" s="3" t="s">
        <v>74</v>
      </c>
      <c r="BB206" s="3" t="s">
        <v>2779</v>
      </c>
      <c r="BC206" s="3" t="s">
        <v>2780</v>
      </c>
      <c r="BD206" s="3" t="s">
        <v>2781</v>
      </c>
    </row>
    <row r="207" spans="1:56" ht="57.75" customHeight="1" x14ac:dyDescent="0.25">
      <c r="A207" s="7" t="s">
        <v>58</v>
      </c>
      <c r="B207" s="2" t="s">
        <v>2782</v>
      </c>
      <c r="C207" s="2" t="s">
        <v>2783</v>
      </c>
      <c r="D207" s="2" t="s">
        <v>2784</v>
      </c>
      <c r="F207" s="3" t="s">
        <v>58</v>
      </c>
      <c r="G207" s="3" t="s">
        <v>59</v>
      </c>
      <c r="H207" s="3" t="s">
        <v>58</v>
      </c>
      <c r="I207" s="3" t="s">
        <v>58</v>
      </c>
      <c r="J207" s="3" t="s">
        <v>60</v>
      </c>
      <c r="K207" s="2" t="s">
        <v>2785</v>
      </c>
      <c r="L207" s="2" t="s">
        <v>2786</v>
      </c>
      <c r="M207" s="3" t="s">
        <v>1391</v>
      </c>
      <c r="O207" s="3" t="s">
        <v>64</v>
      </c>
      <c r="P207" s="3" t="s">
        <v>65</v>
      </c>
      <c r="R207" s="3" t="s">
        <v>1093</v>
      </c>
      <c r="S207" s="4">
        <v>3</v>
      </c>
      <c r="T207" s="4">
        <v>3</v>
      </c>
      <c r="U207" s="5" t="s">
        <v>2787</v>
      </c>
      <c r="V207" s="5" t="s">
        <v>2787</v>
      </c>
      <c r="W207" s="5" t="s">
        <v>2788</v>
      </c>
      <c r="X207" s="5" t="s">
        <v>2788</v>
      </c>
      <c r="Y207" s="4">
        <v>419</v>
      </c>
      <c r="Z207" s="4">
        <v>388</v>
      </c>
      <c r="AA207" s="4">
        <v>399</v>
      </c>
      <c r="AB207" s="4">
        <v>2</v>
      </c>
      <c r="AC207" s="4">
        <v>2</v>
      </c>
      <c r="AD207" s="4">
        <v>21</v>
      </c>
      <c r="AE207" s="4">
        <v>21</v>
      </c>
      <c r="AF207" s="4">
        <v>6</v>
      </c>
      <c r="AG207" s="4">
        <v>6</v>
      </c>
      <c r="AH207" s="4">
        <v>6</v>
      </c>
      <c r="AI207" s="4">
        <v>6</v>
      </c>
      <c r="AJ207" s="4">
        <v>14</v>
      </c>
      <c r="AK207" s="4">
        <v>14</v>
      </c>
      <c r="AL207" s="4">
        <v>0</v>
      </c>
      <c r="AM207" s="4">
        <v>0</v>
      </c>
      <c r="AN207" s="4">
        <v>0</v>
      </c>
      <c r="AO207" s="4">
        <v>0</v>
      </c>
      <c r="AP207" s="3" t="s">
        <v>58</v>
      </c>
      <c r="AQ207" s="3" t="s">
        <v>58</v>
      </c>
      <c r="AS207" s="6" t="str">
        <f>HYPERLINK("https://creighton-primo.hosted.exlibrisgroup.com/primo-explore/search?tab=default_tab&amp;search_scope=EVERYTHING&amp;vid=01CRU&amp;lang=en_US&amp;offset=0&amp;query=any,contains,991003965729702656","Catalog Record")</f>
        <v>Catalog Record</v>
      </c>
      <c r="AT207" s="6" t="str">
        <f>HYPERLINK("http://www.worldcat.org/oclc/1982821","WorldCat Record")</f>
        <v>WorldCat Record</v>
      </c>
      <c r="AU207" s="3" t="s">
        <v>2789</v>
      </c>
      <c r="AV207" s="3" t="s">
        <v>2790</v>
      </c>
      <c r="AW207" s="3" t="s">
        <v>2791</v>
      </c>
      <c r="AX207" s="3" t="s">
        <v>2791</v>
      </c>
      <c r="AY207" s="3" t="s">
        <v>2792</v>
      </c>
      <c r="AZ207" s="3" t="s">
        <v>74</v>
      </c>
      <c r="BC207" s="3" t="s">
        <v>2793</v>
      </c>
      <c r="BD207" s="3" t="s">
        <v>2794</v>
      </c>
    </row>
    <row r="208" spans="1:56" ht="57.75" customHeight="1" x14ac:dyDescent="0.25">
      <c r="A208" s="7" t="s">
        <v>58</v>
      </c>
      <c r="B208" s="2" t="s">
        <v>2795</v>
      </c>
      <c r="C208" s="2" t="s">
        <v>2796</v>
      </c>
      <c r="D208" s="2" t="s">
        <v>2797</v>
      </c>
      <c r="F208" s="3" t="s">
        <v>58</v>
      </c>
      <c r="G208" s="3" t="s">
        <v>59</v>
      </c>
      <c r="H208" s="3" t="s">
        <v>58</v>
      </c>
      <c r="I208" s="3" t="s">
        <v>58</v>
      </c>
      <c r="J208" s="3" t="s">
        <v>60</v>
      </c>
      <c r="K208" s="2" t="s">
        <v>2798</v>
      </c>
      <c r="L208" s="2" t="s">
        <v>2799</v>
      </c>
      <c r="M208" s="3" t="s">
        <v>2800</v>
      </c>
      <c r="O208" s="3" t="s">
        <v>64</v>
      </c>
      <c r="P208" s="3" t="s">
        <v>65</v>
      </c>
      <c r="R208" s="3" t="s">
        <v>1093</v>
      </c>
      <c r="S208" s="4">
        <v>8</v>
      </c>
      <c r="T208" s="4">
        <v>8</v>
      </c>
      <c r="U208" s="5" t="s">
        <v>2801</v>
      </c>
      <c r="V208" s="5" t="s">
        <v>2801</v>
      </c>
      <c r="W208" s="5" t="s">
        <v>2802</v>
      </c>
      <c r="X208" s="5" t="s">
        <v>2802</v>
      </c>
      <c r="Y208" s="4">
        <v>218</v>
      </c>
      <c r="Z208" s="4">
        <v>209</v>
      </c>
      <c r="AA208" s="4">
        <v>411</v>
      </c>
      <c r="AB208" s="4">
        <v>3</v>
      </c>
      <c r="AC208" s="4">
        <v>3</v>
      </c>
      <c r="AD208" s="4">
        <v>4</v>
      </c>
      <c r="AE208" s="4">
        <v>7</v>
      </c>
      <c r="AF208" s="4">
        <v>1</v>
      </c>
      <c r="AG208" s="4">
        <v>2</v>
      </c>
      <c r="AH208" s="4">
        <v>1</v>
      </c>
      <c r="AI208" s="4">
        <v>2</v>
      </c>
      <c r="AJ208" s="4">
        <v>2</v>
      </c>
      <c r="AK208" s="4">
        <v>5</v>
      </c>
      <c r="AL208" s="4">
        <v>2</v>
      </c>
      <c r="AM208" s="4">
        <v>2</v>
      </c>
      <c r="AN208" s="4">
        <v>0</v>
      </c>
      <c r="AO208" s="4">
        <v>0</v>
      </c>
      <c r="AP208" s="3" t="s">
        <v>58</v>
      </c>
      <c r="AQ208" s="3" t="s">
        <v>58</v>
      </c>
      <c r="AS208" s="6" t="str">
        <f>HYPERLINK("https://creighton-primo.hosted.exlibrisgroup.com/primo-explore/search?tab=default_tab&amp;search_scope=EVERYTHING&amp;vid=01CRU&amp;lang=en_US&amp;offset=0&amp;query=any,contains,991003768499702656","Catalog Record")</f>
        <v>Catalog Record</v>
      </c>
      <c r="AT208" s="6" t="str">
        <f>HYPERLINK("http://www.worldcat.org/oclc/1464024","WorldCat Record")</f>
        <v>WorldCat Record</v>
      </c>
      <c r="AU208" s="3" t="s">
        <v>2803</v>
      </c>
      <c r="AV208" s="3" t="s">
        <v>2804</v>
      </c>
      <c r="AW208" s="3" t="s">
        <v>2805</v>
      </c>
      <c r="AX208" s="3" t="s">
        <v>2805</v>
      </c>
      <c r="AY208" s="3" t="s">
        <v>2806</v>
      </c>
      <c r="AZ208" s="3" t="s">
        <v>74</v>
      </c>
      <c r="BC208" s="3" t="s">
        <v>2807</v>
      </c>
      <c r="BD208" s="3" t="s">
        <v>2808</v>
      </c>
    </row>
    <row r="209" spans="1:56" ht="57.75" customHeight="1" x14ac:dyDescent="0.25">
      <c r="A209" s="7" t="s">
        <v>58</v>
      </c>
      <c r="B209" s="2" t="s">
        <v>2809</v>
      </c>
      <c r="C209" s="2" t="s">
        <v>2810</v>
      </c>
      <c r="D209" s="2" t="s">
        <v>2811</v>
      </c>
      <c r="F209" s="3" t="s">
        <v>58</v>
      </c>
      <c r="G209" s="3" t="s">
        <v>59</v>
      </c>
      <c r="H209" s="3" t="s">
        <v>58</v>
      </c>
      <c r="I209" s="3" t="s">
        <v>58</v>
      </c>
      <c r="J209" s="3" t="s">
        <v>60</v>
      </c>
      <c r="K209" s="2" t="s">
        <v>2812</v>
      </c>
      <c r="L209" s="2" t="s">
        <v>2813</v>
      </c>
      <c r="M209" s="3" t="s">
        <v>138</v>
      </c>
      <c r="N209" s="2" t="s">
        <v>2338</v>
      </c>
      <c r="O209" s="3" t="s">
        <v>64</v>
      </c>
      <c r="P209" s="3" t="s">
        <v>234</v>
      </c>
      <c r="R209" s="3" t="s">
        <v>1093</v>
      </c>
      <c r="S209" s="4">
        <v>1</v>
      </c>
      <c r="T209" s="4">
        <v>1</v>
      </c>
      <c r="U209" s="5" t="s">
        <v>2814</v>
      </c>
      <c r="V209" s="5" t="s">
        <v>2814</v>
      </c>
      <c r="W209" s="5" t="s">
        <v>1945</v>
      </c>
      <c r="X209" s="5" t="s">
        <v>1945</v>
      </c>
      <c r="Y209" s="4">
        <v>431</v>
      </c>
      <c r="Z209" s="4">
        <v>374</v>
      </c>
      <c r="AA209" s="4">
        <v>531</v>
      </c>
      <c r="AB209" s="4">
        <v>3</v>
      </c>
      <c r="AC209" s="4">
        <v>4</v>
      </c>
      <c r="AD209" s="4">
        <v>17</v>
      </c>
      <c r="AE209" s="4">
        <v>21</v>
      </c>
      <c r="AF209" s="4">
        <v>6</v>
      </c>
      <c r="AG209" s="4">
        <v>7</v>
      </c>
      <c r="AH209" s="4">
        <v>5</v>
      </c>
      <c r="AI209" s="4">
        <v>6</v>
      </c>
      <c r="AJ209" s="4">
        <v>9</v>
      </c>
      <c r="AK209" s="4">
        <v>11</v>
      </c>
      <c r="AL209" s="4">
        <v>2</v>
      </c>
      <c r="AM209" s="4">
        <v>3</v>
      </c>
      <c r="AN209" s="4">
        <v>0</v>
      </c>
      <c r="AO209" s="4">
        <v>0</v>
      </c>
      <c r="AP209" s="3" t="s">
        <v>58</v>
      </c>
      <c r="AQ209" s="3" t="s">
        <v>58</v>
      </c>
      <c r="AS209" s="6" t="str">
        <f>HYPERLINK("https://creighton-primo.hosted.exlibrisgroup.com/primo-explore/search?tab=default_tab&amp;search_scope=EVERYTHING&amp;vid=01CRU&amp;lang=en_US&amp;offset=0&amp;query=any,contains,991005119849702656","Catalog Record")</f>
        <v>Catalog Record</v>
      </c>
      <c r="AT209" s="6" t="str">
        <f>HYPERLINK("http://www.worldcat.org/oclc/7494037","WorldCat Record")</f>
        <v>WorldCat Record</v>
      </c>
      <c r="AU209" s="3" t="s">
        <v>2815</v>
      </c>
      <c r="AV209" s="3" t="s">
        <v>2816</v>
      </c>
      <c r="AW209" s="3" t="s">
        <v>2817</v>
      </c>
      <c r="AX209" s="3" t="s">
        <v>2817</v>
      </c>
      <c r="AY209" s="3" t="s">
        <v>2818</v>
      </c>
      <c r="AZ209" s="3" t="s">
        <v>74</v>
      </c>
      <c r="BB209" s="3" t="s">
        <v>2819</v>
      </c>
      <c r="BC209" s="3" t="s">
        <v>2820</v>
      </c>
      <c r="BD209" s="3" t="s">
        <v>2821</v>
      </c>
    </row>
    <row r="210" spans="1:56" ht="57.75" customHeight="1" x14ac:dyDescent="0.25">
      <c r="A210" s="7" t="s">
        <v>58</v>
      </c>
      <c r="B210" s="2" t="s">
        <v>2822</v>
      </c>
      <c r="C210" s="2" t="s">
        <v>2823</v>
      </c>
      <c r="D210" s="2" t="s">
        <v>2824</v>
      </c>
      <c r="F210" s="3" t="s">
        <v>58</v>
      </c>
      <c r="G210" s="3" t="s">
        <v>59</v>
      </c>
      <c r="H210" s="3" t="s">
        <v>58</v>
      </c>
      <c r="I210" s="3" t="s">
        <v>58</v>
      </c>
      <c r="J210" s="3" t="s">
        <v>60</v>
      </c>
      <c r="K210" s="2" t="s">
        <v>2825</v>
      </c>
      <c r="L210" s="2" t="s">
        <v>2826</v>
      </c>
      <c r="M210" s="3" t="s">
        <v>496</v>
      </c>
      <c r="N210" s="2" t="s">
        <v>2827</v>
      </c>
      <c r="O210" s="3" t="s">
        <v>64</v>
      </c>
      <c r="P210" s="3" t="s">
        <v>65</v>
      </c>
      <c r="R210" s="3" t="s">
        <v>1093</v>
      </c>
      <c r="S210" s="4">
        <v>5</v>
      </c>
      <c r="T210" s="4">
        <v>5</v>
      </c>
      <c r="U210" s="5" t="s">
        <v>2759</v>
      </c>
      <c r="V210" s="5" t="s">
        <v>2759</v>
      </c>
      <c r="W210" s="5" t="s">
        <v>2802</v>
      </c>
      <c r="X210" s="5" t="s">
        <v>2802</v>
      </c>
      <c r="Y210" s="4">
        <v>524</v>
      </c>
      <c r="Z210" s="4">
        <v>468</v>
      </c>
      <c r="AA210" s="4">
        <v>944</v>
      </c>
      <c r="AB210" s="4">
        <v>2</v>
      </c>
      <c r="AC210" s="4">
        <v>3</v>
      </c>
      <c r="AD210" s="4">
        <v>9</v>
      </c>
      <c r="AE210" s="4">
        <v>28</v>
      </c>
      <c r="AF210" s="4">
        <v>5</v>
      </c>
      <c r="AG210" s="4">
        <v>13</v>
      </c>
      <c r="AH210" s="4">
        <v>3</v>
      </c>
      <c r="AI210" s="4">
        <v>7</v>
      </c>
      <c r="AJ210" s="4">
        <v>4</v>
      </c>
      <c r="AK210" s="4">
        <v>15</v>
      </c>
      <c r="AL210" s="4">
        <v>0</v>
      </c>
      <c r="AM210" s="4">
        <v>1</v>
      </c>
      <c r="AN210" s="4">
        <v>0</v>
      </c>
      <c r="AO210" s="4">
        <v>0</v>
      </c>
      <c r="AP210" s="3" t="s">
        <v>58</v>
      </c>
      <c r="AQ210" s="3" t="s">
        <v>69</v>
      </c>
      <c r="AR210" s="6" t="str">
        <f>HYPERLINK("http://catalog.hathitrust.org/Record/009920826","HathiTrust Record")</f>
        <v>HathiTrust Record</v>
      </c>
      <c r="AS210" s="6" t="str">
        <f>HYPERLINK("https://creighton-primo.hosted.exlibrisgroup.com/primo-explore/search?tab=default_tab&amp;search_scope=EVERYTHING&amp;vid=01CRU&amp;lang=en_US&amp;offset=0&amp;query=any,contains,991004583379702656","Catalog Record")</f>
        <v>Catalog Record</v>
      </c>
      <c r="AT210" s="6" t="str">
        <f>HYPERLINK("http://www.worldcat.org/oclc/4076227","WorldCat Record")</f>
        <v>WorldCat Record</v>
      </c>
      <c r="AU210" s="3" t="s">
        <v>2828</v>
      </c>
      <c r="AV210" s="3" t="s">
        <v>2829</v>
      </c>
      <c r="AW210" s="3" t="s">
        <v>2830</v>
      </c>
      <c r="AX210" s="3" t="s">
        <v>2830</v>
      </c>
      <c r="AY210" s="3" t="s">
        <v>2831</v>
      </c>
      <c r="AZ210" s="3" t="s">
        <v>74</v>
      </c>
      <c r="BB210" s="3" t="s">
        <v>2832</v>
      </c>
      <c r="BC210" s="3" t="s">
        <v>2833</v>
      </c>
      <c r="BD210" s="3" t="s">
        <v>2834</v>
      </c>
    </row>
    <row r="211" spans="1:56" ht="57.75" customHeight="1" x14ac:dyDescent="0.25">
      <c r="A211" s="7" t="s">
        <v>58</v>
      </c>
      <c r="B211" s="2" t="s">
        <v>2835</v>
      </c>
      <c r="C211" s="2" t="s">
        <v>2836</v>
      </c>
      <c r="D211" s="2" t="s">
        <v>2837</v>
      </c>
      <c r="F211" s="3" t="s">
        <v>58</v>
      </c>
      <c r="G211" s="3" t="s">
        <v>59</v>
      </c>
      <c r="H211" s="3" t="s">
        <v>58</v>
      </c>
      <c r="I211" s="3" t="s">
        <v>58</v>
      </c>
      <c r="J211" s="3" t="s">
        <v>60</v>
      </c>
      <c r="K211" s="2" t="s">
        <v>2838</v>
      </c>
      <c r="L211" s="2" t="s">
        <v>2839</v>
      </c>
      <c r="M211" s="3" t="s">
        <v>778</v>
      </c>
      <c r="O211" s="3" t="s">
        <v>64</v>
      </c>
      <c r="P211" s="3" t="s">
        <v>65</v>
      </c>
      <c r="R211" s="3" t="s">
        <v>1093</v>
      </c>
      <c r="S211" s="4">
        <v>1</v>
      </c>
      <c r="T211" s="4">
        <v>1</v>
      </c>
      <c r="U211" s="5" t="s">
        <v>2840</v>
      </c>
      <c r="V211" s="5" t="s">
        <v>2840</v>
      </c>
      <c r="W211" s="5" t="s">
        <v>1858</v>
      </c>
      <c r="X211" s="5" t="s">
        <v>1858</v>
      </c>
      <c r="Y211" s="4">
        <v>620</v>
      </c>
      <c r="Z211" s="4">
        <v>586</v>
      </c>
      <c r="AA211" s="4">
        <v>598</v>
      </c>
      <c r="AB211" s="4">
        <v>2</v>
      </c>
      <c r="AC211" s="4">
        <v>2</v>
      </c>
      <c r="AD211" s="4">
        <v>6</v>
      </c>
      <c r="AE211" s="4">
        <v>6</v>
      </c>
      <c r="AF211" s="4">
        <v>4</v>
      </c>
      <c r="AG211" s="4">
        <v>4</v>
      </c>
      <c r="AH211" s="4">
        <v>1</v>
      </c>
      <c r="AI211" s="4">
        <v>1</v>
      </c>
      <c r="AJ211" s="4">
        <v>2</v>
      </c>
      <c r="AK211" s="4">
        <v>2</v>
      </c>
      <c r="AL211" s="4">
        <v>1</v>
      </c>
      <c r="AM211" s="4">
        <v>1</v>
      </c>
      <c r="AN211" s="4">
        <v>0</v>
      </c>
      <c r="AO211" s="4">
        <v>0</v>
      </c>
      <c r="AP211" s="3" t="s">
        <v>58</v>
      </c>
      <c r="AQ211" s="3" t="s">
        <v>58</v>
      </c>
      <c r="AS211" s="6" t="str">
        <f>HYPERLINK("https://creighton-primo.hosted.exlibrisgroup.com/primo-explore/search?tab=default_tab&amp;search_scope=EVERYTHING&amp;vid=01CRU&amp;lang=en_US&amp;offset=0&amp;query=any,contains,991003138369702656","Catalog Record")</f>
        <v>Catalog Record</v>
      </c>
      <c r="AT211" s="6" t="str">
        <f>HYPERLINK("http://www.worldcat.org/oclc/679870","WorldCat Record")</f>
        <v>WorldCat Record</v>
      </c>
      <c r="AU211" s="3" t="s">
        <v>2841</v>
      </c>
      <c r="AV211" s="3" t="s">
        <v>2842</v>
      </c>
      <c r="AW211" s="3" t="s">
        <v>2843</v>
      </c>
      <c r="AX211" s="3" t="s">
        <v>2843</v>
      </c>
      <c r="AY211" s="3" t="s">
        <v>2844</v>
      </c>
      <c r="AZ211" s="3" t="s">
        <v>74</v>
      </c>
      <c r="BC211" s="3" t="s">
        <v>2845</v>
      </c>
      <c r="BD211" s="3" t="s">
        <v>2846</v>
      </c>
    </row>
    <row r="212" spans="1:56" ht="57.75" customHeight="1" x14ac:dyDescent="0.25">
      <c r="A212" s="7" t="s">
        <v>58</v>
      </c>
      <c r="B212" s="2" t="s">
        <v>2847</v>
      </c>
      <c r="C212" s="2" t="s">
        <v>2848</v>
      </c>
      <c r="D212" s="2" t="s">
        <v>2849</v>
      </c>
      <c r="F212" s="3" t="s">
        <v>58</v>
      </c>
      <c r="G212" s="3" t="s">
        <v>59</v>
      </c>
      <c r="H212" s="3" t="s">
        <v>58</v>
      </c>
      <c r="I212" s="3" t="s">
        <v>58</v>
      </c>
      <c r="J212" s="3" t="s">
        <v>60</v>
      </c>
      <c r="K212" s="2" t="s">
        <v>2850</v>
      </c>
      <c r="L212" s="2" t="s">
        <v>2851</v>
      </c>
      <c r="M212" s="3" t="s">
        <v>111</v>
      </c>
      <c r="O212" s="3" t="s">
        <v>64</v>
      </c>
      <c r="P212" s="3" t="s">
        <v>1841</v>
      </c>
      <c r="R212" s="3" t="s">
        <v>1093</v>
      </c>
      <c r="S212" s="4">
        <v>1</v>
      </c>
      <c r="T212" s="4">
        <v>1</v>
      </c>
      <c r="U212" s="5" t="s">
        <v>2619</v>
      </c>
      <c r="V212" s="5" t="s">
        <v>2619</v>
      </c>
      <c r="W212" s="5" t="s">
        <v>2619</v>
      </c>
      <c r="X212" s="5" t="s">
        <v>2619</v>
      </c>
      <c r="Y212" s="4">
        <v>202</v>
      </c>
      <c r="Z212" s="4">
        <v>166</v>
      </c>
      <c r="AA212" s="4">
        <v>174</v>
      </c>
      <c r="AB212" s="4">
        <v>2</v>
      </c>
      <c r="AC212" s="4">
        <v>2</v>
      </c>
      <c r="AD212" s="4">
        <v>2</v>
      </c>
      <c r="AE212" s="4">
        <v>2</v>
      </c>
      <c r="AF212" s="4">
        <v>0</v>
      </c>
      <c r="AG212" s="4">
        <v>0</v>
      </c>
      <c r="AH212" s="4">
        <v>0</v>
      </c>
      <c r="AI212" s="4">
        <v>0</v>
      </c>
      <c r="AJ212" s="4">
        <v>2</v>
      </c>
      <c r="AK212" s="4">
        <v>2</v>
      </c>
      <c r="AL212" s="4">
        <v>0</v>
      </c>
      <c r="AM212" s="4">
        <v>0</v>
      </c>
      <c r="AN212" s="4">
        <v>0</v>
      </c>
      <c r="AO212" s="4">
        <v>0</v>
      </c>
      <c r="AP212" s="3" t="s">
        <v>69</v>
      </c>
      <c r="AQ212" s="3" t="s">
        <v>58</v>
      </c>
      <c r="AR212" s="6" t="str">
        <f>HYPERLINK("http://catalog.hathitrust.org/Record/001472465","HathiTrust Record")</f>
        <v>HathiTrust Record</v>
      </c>
      <c r="AS212" s="6" t="str">
        <f>HYPERLINK("https://creighton-primo.hosted.exlibrisgroup.com/primo-explore/search?tab=default_tab&amp;search_scope=EVERYTHING&amp;vid=01CRU&amp;lang=en_US&amp;offset=0&amp;query=any,contains,991005008129702656","Catalog Record")</f>
        <v>Catalog Record</v>
      </c>
      <c r="AT212" s="6" t="str">
        <f>HYPERLINK("http://www.worldcat.org/oclc/2609021","WorldCat Record")</f>
        <v>WorldCat Record</v>
      </c>
      <c r="AU212" s="3" t="s">
        <v>2852</v>
      </c>
      <c r="AV212" s="3" t="s">
        <v>2853</v>
      </c>
      <c r="AW212" s="3" t="s">
        <v>2854</v>
      </c>
      <c r="AX212" s="3" t="s">
        <v>2854</v>
      </c>
      <c r="AY212" s="3" t="s">
        <v>2855</v>
      </c>
      <c r="AZ212" s="3" t="s">
        <v>74</v>
      </c>
      <c r="BC212" s="3" t="s">
        <v>2856</v>
      </c>
      <c r="BD212" s="3" t="s">
        <v>2857</v>
      </c>
    </row>
    <row r="213" spans="1:56" ht="57.75" customHeight="1" x14ac:dyDescent="0.25">
      <c r="A213" s="7" t="s">
        <v>58</v>
      </c>
      <c r="B213" s="2" t="s">
        <v>2858</v>
      </c>
      <c r="C213" s="2" t="s">
        <v>2859</v>
      </c>
      <c r="D213" s="2" t="s">
        <v>2860</v>
      </c>
      <c r="F213" s="3" t="s">
        <v>58</v>
      </c>
      <c r="G213" s="3" t="s">
        <v>59</v>
      </c>
      <c r="H213" s="3" t="s">
        <v>58</v>
      </c>
      <c r="I213" s="3" t="s">
        <v>58</v>
      </c>
      <c r="J213" s="3" t="s">
        <v>60</v>
      </c>
      <c r="K213" s="2" t="s">
        <v>2861</v>
      </c>
      <c r="L213" s="2" t="s">
        <v>2862</v>
      </c>
      <c r="M213" s="3" t="s">
        <v>138</v>
      </c>
      <c r="O213" s="3" t="s">
        <v>64</v>
      </c>
      <c r="P213" s="3" t="s">
        <v>65</v>
      </c>
      <c r="R213" s="3" t="s">
        <v>1093</v>
      </c>
      <c r="S213" s="4">
        <v>2</v>
      </c>
      <c r="T213" s="4">
        <v>2</v>
      </c>
      <c r="U213" s="5" t="s">
        <v>2863</v>
      </c>
      <c r="V213" s="5" t="s">
        <v>2863</v>
      </c>
      <c r="W213" s="5" t="s">
        <v>2864</v>
      </c>
      <c r="X213" s="5" t="s">
        <v>2864</v>
      </c>
      <c r="Y213" s="4">
        <v>1208</v>
      </c>
      <c r="Z213" s="4">
        <v>1090</v>
      </c>
      <c r="AA213" s="4">
        <v>1147</v>
      </c>
      <c r="AB213" s="4">
        <v>8</v>
      </c>
      <c r="AC213" s="4">
        <v>8</v>
      </c>
      <c r="AD213" s="4">
        <v>34</v>
      </c>
      <c r="AE213" s="4">
        <v>36</v>
      </c>
      <c r="AF213" s="4">
        <v>15</v>
      </c>
      <c r="AG213" s="4">
        <v>15</v>
      </c>
      <c r="AH213" s="4">
        <v>8</v>
      </c>
      <c r="AI213" s="4">
        <v>9</v>
      </c>
      <c r="AJ213" s="4">
        <v>15</v>
      </c>
      <c r="AK213" s="4">
        <v>16</v>
      </c>
      <c r="AL213" s="4">
        <v>5</v>
      </c>
      <c r="AM213" s="4">
        <v>5</v>
      </c>
      <c r="AN213" s="4">
        <v>0</v>
      </c>
      <c r="AO213" s="4">
        <v>0</v>
      </c>
      <c r="AP213" s="3" t="s">
        <v>58</v>
      </c>
      <c r="AQ213" s="3" t="s">
        <v>69</v>
      </c>
      <c r="AR213" s="6" t="str">
        <f>HYPERLINK("http://catalog.hathitrust.org/Record/000738183","HathiTrust Record")</f>
        <v>HathiTrust Record</v>
      </c>
      <c r="AS213" s="6" t="str">
        <f>HYPERLINK("https://creighton-primo.hosted.exlibrisgroup.com/primo-explore/search?tab=default_tab&amp;search_scope=EVERYTHING&amp;vid=01CRU&amp;lang=en_US&amp;offset=0&amp;query=any,contains,991004902609702656","Catalog Record")</f>
        <v>Catalog Record</v>
      </c>
      <c r="AT213" s="6" t="str">
        <f>HYPERLINK("http://www.worldcat.org/oclc/5941721","WorldCat Record")</f>
        <v>WorldCat Record</v>
      </c>
      <c r="AU213" s="3" t="s">
        <v>2865</v>
      </c>
      <c r="AV213" s="3" t="s">
        <v>2866</v>
      </c>
      <c r="AW213" s="3" t="s">
        <v>2867</v>
      </c>
      <c r="AX213" s="3" t="s">
        <v>2867</v>
      </c>
      <c r="AY213" s="3" t="s">
        <v>2868</v>
      </c>
      <c r="AZ213" s="3" t="s">
        <v>74</v>
      </c>
      <c r="BB213" s="3" t="s">
        <v>2869</v>
      </c>
      <c r="BC213" s="3" t="s">
        <v>2870</v>
      </c>
      <c r="BD213" s="3" t="s">
        <v>2871</v>
      </c>
    </row>
    <row r="214" spans="1:56" ht="57.75" customHeight="1" x14ac:dyDescent="0.25">
      <c r="A214" s="7" t="s">
        <v>58</v>
      </c>
      <c r="B214" s="2" t="s">
        <v>2872</v>
      </c>
      <c r="C214" s="2" t="s">
        <v>2873</v>
      </c>
      <c r="D214" s="2" t="s">
        <v>2874</v>
      </c>
      <c r="E214" s="3" t="s">
        <v>789</v>
      </c>
      <c r="F214" s="3" t="s">
        <v>69</v>
      </c>
      <c r="G214" s="3" t="s">
        <v>59</v>
      </c>
      <c r="H214" s="3" t="s">
        <v>58</v>
      </c>
      <c r="I214" s="3" t="s">
        <v>58</v>
      </c>
      <c r="J214" s="3" t="s">
        <v>60</v>
      </c>
      <c r="K214" s="2" t="s">
        <v>2875</v>
      </c>
      <c r="L214" s="2" t="s">
        <v>2876</v>
      </c>
      <c r="M214" s="3" t="s">
        <v>621</v>
      </c>
      <c r="O214" s="3" t="s">
        <v>64</v>
      </c>
      <c r="P214" s="3" t="s">
        <v>65</v>
      </c>
      <c r="R214" s="3" t="s">
        <v>1093</v>
      </c>
      <c r="S214" s="4">
        <v>2</v>
      </c>
      <c r="T214" s="4">
        <v>4</v>
      </c>
      <c r="U214" s="5" t="s">
        <v>2877</v>
      </c>
      <c r="V214" s="5" t="s">
        <v>2877</v>
      </c>
      <c r="W214" s="5" t="s">
        <v>68</v>
      </c>
      <c r="X214" s="5" t="s">
        <v>68</v>
      </c>
      <c r="Y214" s="4">
        <v>1786</v>
      </c>
      <c r="Z214" s="4">
        <v>1690</v>
      </c>
      <c r="AA214" s="4">
        <v>1823</v>
      </c>
      <c r="AB214" s="4">
        <v>16</v>
      </c>
      <c r="AC214" s="4">
        <v>17</v>
      </c>
      <c r="AD214" s="4">
        <v>37</v>
      </c>
      <c r="AE214" s="4">
        <v>39</v>
      </c>
      <c r="AF214" s="4">
        <v>14</v>
      </c>
      <c r="AG214" s="4">
        <v>14</v>
      </c>
      <c r="AH214" s="4">
        <v>6</v>
      </c>
      <c r="AI214" s="4">
        <v>7</v>
      </c>
      <c r="AJ214" s="4">
        <v>20</v>
      </c>
      <c r="AK214" s="4">
        <v>21</v>
      </c>
      <c r="AL214" s="4">
        <v>4</v>
      </c>
      <c r="AM214" s="4">
        <v>5</v>
      </c>
      <c r="AN214" s="4">
        <v>0</v>
      </c>
      <c r="AO214" s="4">
        <v>0</v>
      </c>
      <c r="AP214" s="3" t="s">
        <v>58</v>
      </c>
      <c r="AQ214" s="3" t="s">
        <v>69</v>
      </c>
      <c r="AR214" s="6" t="str">
        <f>HYPERLINK("http://catalog.hathitrust.org/Record/001470528","HathiTrust Record")</f>
        <v>HathiTrust Record</v>
      </c>
      <c r="AS214" s="6" t="str">
        <f>HYPERLINK("https://creighton-primo.hosted.exlibrisgroup.com/primo-explore/search?tab=default_tab&amp;search_scope=EVERYTHING&amp;vid=01CRU&amp;lang=en_US&amp;offset=0&amp;query=any,contains,991002988389702656","Catalog Record")</f>
        <v>Catalog Record</v>
      </c>
      <c r="AT214" s="6" t="str">
        <f>HYPERLINK("http://www.worldcat.org/oclc/558866","WorldCat Record")</f>
        <v>WorldCat Record</v>
      </c>
      <c r="AU214" s="3" t="s">
        <v>2878</v>
      </c>
      <c r="AV214" s="3" t="s">
        <v>2879</v>
      </c>
      <c r="AW214" s="3" t="s">
        <v>2880</v>
      </c>
      <c r="AX214" s="3" t="s">
        <v>2880</v>
      </c>
      <c r="AY214" s="3" t="s">
        <v>2881</v>
      </c>
      <c r="AZ214" s="3" t="s">
        <v>74</v>
      </c>
      <c r="BB214" s="3" t="s">
        <v>2882</v>
      </c>
      <c r="BC214" s="3" t="s">
        <v>2883</v>
      </c>
      <c r="BD214" s="3" t="s">
        <v>2884</v>
      </c>
    </row>
    <row r="215" spans="1:56" ht="57.75" customHeight="1" x14ac:dyDescent="0.25">
      <c r="A215" s="7" t="s">
        <v>58</v>
      </c>
      <c r="B215" s="2" t="s">
        <v>2872</v>
      </c>
      <c r="C215" s="2" t="s">
        <v>2873</v>
      </c>
      <c r="D215" s="2" t="s">
        <v>2874</v>
      </c>
      <c r="E215" s="3" t="s">
        <v>801</v>
      </c>
      <c r="F215" s="3" t="s">
        <v>69</v>
      </c>
      <c r="G215" s="3" t="s">
        <v>59</v>
      </c>
      <c r="H215" s="3" t="s">
        <v>58</v>
      </c>
      <c r="I215" s="3" t="s">
        <v>58</v>
      </c>
      <c r="J215" s="3" t="s">
        <v>60</v>
      </c>
      <c r="K215" s="2" t="s">
        <v>2875</v>
      </c>
      <c r="L215" s="2" t="s">
        <v>2876</v>
      </c>
      <c r="M215" s="3" t="s">
        <v>621</v>
      </c>
      <c r="O215" s="3" t="s">
        <v>64</v>
      </c>
      <c r="P215" s="3" t="s">
        <v>65</v>
      </c>
      <c r="R215" s="3" t="s">
        <v>1093</v>
      </c>
      <c r="S215" s="4">
        <v>2</v>
      </c>
      <c r="T215" s="4">
        <v>4</v>
      </c>
      <c r="U215" s="5" t="s">
        <v>2877</v>
      </c>
      <c r="V215" s="5" t="s">
        <v>2877</v>
      </c>
      <c r="W215" s="5" t="s">
        <v>1191</v>
      </c>
      <c r="X215" s="5" t="s">
        <v>68</v>
      </c>
      <c r="Y215" s="4">
        <v>1786</v>
      </c>
      <c r="Z215" s="4">
        <v>1690</v>
      </c>
      <c r="AA215" s="4">
        <v>1823</v>
      </c>
      <c r="AB215" s="4">
        <v>16</v>
      </c>
      <c r="AC215" s="4">
        <v>17</v>
      </c>
      <c r="AD215" s="4">
        <v>37</v>
      </c>
      <c r="AE215" s="4">
        <v>39</v>
      </c>
      <c r="AF215" s="4">
        <v>14</v>
      </c>
      <c r="AG215" s="4">
        <v>14</v>
      </c>
      <c r="AH215" s="4">
        <v>6</v>
      </c>
      <c r="AI215" s="4">
        <v>7</v>
      </c>
      <c r="AJ215" s="4">
        <v>20</v>
      </c>
      <c r="AK215" s="4">
        <v>21</v>
      </c>
      <c r="AL215" s="4">
        <v>4</v>
      </c>
      <c r="AM215" s="4">
        <v>5</v>
      </c>
      <c r="AN215" s="4">
        <v>0</v>
      </c>
      <c r="AO215" s="4">
        <v>0</v>
      </c>
      <c r="AP215" s="3" t="s">
        <v>58</v>
      </c>
      <c r="AQ215" s="3" t="s">
        <v>69</v>
      </c>
      <c r="AR215" s="6" t="str">
        <f>HYPERLINK("http://catalog.hathitrust.org/Record/001470528","HathiTrust Record")</f>
        <v>HathiTrust Record</v>
      </c>
      <c r="AS215" s="6" t="str">
        <f>HYPERLINK("https://creighton-primo.hosted.exlibrisgroup.com/primo-explore/search?tab=default_tab&amp;search_scope=EVERYTHING&amp;vid=01CRU&amp;lang=en_US&amp;offset=0&amp;query=any,contains,991002988389702656","Catalog Record")</f>
        <v>Catalog Record</v>
      </c>
      <c r="AT215" s="6" t="str">
        <f>HYPERLINK("http://www.worldcat.org/oclc/558866","WorldCat Record")</f>
        <v>WorldCat Record</v>
      </c>
      <c r="AU215" s="3" t="s">
        <v>2878</v>
      </c>
      <c r="AV215" s="3" t="s">
        <v>2879</v>
      </c>
      <c r="AW215" s="3" t="s">
        <v>2880</v>
      </c>
      <c r="AX215" s="3" t="s">
        <v>2880</v>
      </c>
      <c r="AY215" s="3" t="s">
        <v>2881</v>
      </c>
      <c r="AZ215" s="3" t="s">
        <v>74</v>
      </c>
      <c r="BB215" s="3" t="s">
        <v>2882</v>
      </c>
      <c r="BC215" s="3" t="s">
        <v>2885</v>
      </c>
      <c r="BD215" s="3" t="s">
        <v>2886</v>
      </c>
    </row>
    <row r="216" spans="1:56" ht="57.75" customHeight="1" x14ac:dyDescent="0.25">
      <c r="A216" s="7" t="s">
        <v>58</v>
      </c>
      <c r="B216" s="2" t="s">
        <v>2887</v>
      </c>
      <c r="C216" s="2" t="s">
        <v>2888</v>
      </c>
      <c r="D216" s="2" t="s">
        <v>2889</v>
      </c>
      <c r="F216" s="3" t="s">
        <v>58</v>
      </c>
      <c r="G216" s="3" t="s">
        <v>59</v>
      </c>
      <c r="H216" s="3" t="s">
        <v>58</v>
      </c>
      <c r="I216" s="3" t="s">
        <v>58</v>
      </c>
      <c r="J216" s="3" t="s">
        <v>60</v>
      </c>
      <c r="K216" s="2" t="s">
        <v>2890</v>
      </c>
      <c r="L216" s="2" t="s">
        <v>2891</v>
      </c>
      <c r="M216" s="3" t="s">
        <v>138</v>
      </c>
      <c r="N216" s="2" t="s">
        <v>606</v>
      </c>
      <c r="O216" s="3" t="s">
        <v>64</v>
      </c>
      <c r="P216" s="3" t="s">
        <v>65</v>
      </c>
      <c r="R216" s="3" t="s">
        <v>1093</v>
      </c>
      <c r="S216" s="4">
        <v>2</v>
      </c>
      <c r="T216" s="4">
        <v>2</v>
      </c>
      <c r="U216" s="5" t="s">
        <v>2892</v>
      </c>
      <c r="V216" s="5" t="s">
        <v>2892</v>
      </c>
      <c r="W216" s="5" t="s">
        <v>2893</v>
      </c>
      <c r="X216" s="5" t="s">
        <v>2893</v>
      </c>
      <c r="Y216" s="4">
        <v>624</v>
      </c>
      <c r="Z216" s="4">
        <v>600</v>
      </c>
      <c r="AA216" s="4">
        <v>608</v>
      </c>
      <c r="AB216" s="4">
        <v>3</v>
      </c>
      <c r="AC216" s="4">
        <v>3</v>
      </c>
      <c r="AD216" s="4">
        <v>10</v>
      </c>
      <c r="AE216" s="4">
        <v>10</v>
      </c>
      <c r="AF216" s="4">
        <v>4</v>
      </c>
      <c r="AG216" s="4">
        <v>4</v>
      </c>
      <c r="AH216" s="4">
        <v>1</v>
      </c>
      <c r="AI216" s="4">
        <v>1</v>
      </c>
      <c r="AJ216" s="4">
        <v>6</v>
      </c>
      <c r="AK216" s="4">
        <v>6</v>
      </c>
      <c r="AL216" s="4">
        <v>1</v>
      </c>
      <c r="AM216" s="4">
        <v>1</v>
      </c>
      <c r="AN216" s="4">
        <v>0</v>
      </c>
      <c r="AO216" s="4">
        <v>0</v>
      </c>
      <c r="AP216" s="3" t="s">
        <v>58</v>
      </c>
      <c r="AQ216" s="3" t="s">
        <v>69</v>
      </c>
      <c r="AR216" s="6" t="str">
        <f>HYPERLINK("http://catalog.hathitrust.org/Record/003601875","HathiTrust Record")</f>
        <v>HathiTrust Record</v>
      </c>
      <c r="AS216" s="6" t="str">
        <f>HYPERLINK("https://creighton-primo.hosted.exlibrisgroup.com/primo-explore/search?tab=default_tab&amp;search_scope=EVERYTHING&amp;vid=01CRU&amp;lang=en_US&amp;offset=0&amp;query=any,contains,991005074019702656","Catalog Record")</f>
        <v>Catalog Record</v>
      </c>
      <c r="AT216" s="6" t="str">
        <f>HYPERLINK("http://www.worldcat.org/oclc/7079995","WorldCat Record")</f>
        <v>WorldCat Record</v>
      </c>
      <c r="AU216" s="3" t="s">
        <v>2894</v>
      </c>
      <c r="AV216" s="3" t="s">
        <v>2895</v>
      </c>
      <c r="AW216" s="3" t="s">
        <v>2896</v>
      </c>
      <c r="AX216" s="3" t="s">
        <v>2896</v>
      </c>
      <c r="AY216" s="3" t="s">
        <v>2897</v>
      </c>
      <c r="AZ216" s="3" t="s">
        <v>74</v>
      </c>
      <c r="BB216" s="3" t="s">
        <v>2898</v>
      </c>
      <c r="BC216" s="3" t="s">
        <v>2899</v>
      </c>
      <c r="BD216" s="3" t="s">
        <v>2900</v>
      </c>
    </row>
    <row r="217" spans="1:56" ht="57.75" customHeight="1" x14ac:dyDescent="0.25">
      <c r="A217" s="7" t="s">
        <v>58</v>
      </c>
      <c r="B217" s="2" t="s">
        <v>2901</v>
      </c>
      <c r="C217" s="2" t="s">
        <v>2902</v>
      </c>
      <c r="D217" s="2" t="s">
        <v>2903</v>
      </c>
      <c r="F217" s="3" t="s">
        <v>58</v>
      </c>
      <c r="G217" s="3" t="s">
        <v>59</v>
      </c>
      <c r="H217" s="3" t="s">
        <v>58</v>
      </c>
      <c r="I217" s="3" t="s">
        <v>58</v>
      </c>
      <c r="J217" s="3" t="s">
        <v>60</v>
      </c>
      <c r="K217" s="2" t="s">
        <v>2904</v>
      </c>
      <c r="L217" s="2" t="s">
        <v>2905</v>
      </c>
      <c r="M217" s="3" t="s">
        <v>370</v>
      </c>
      <c r="O217" s="3" t="s">
        <v>64</v>
      </c>
      <c r="P217" s="3" t="s">
        <v>65</v>
      </c>
      <c r="R217" s="3" t="s">
        <v>1093</v>
      </c>
      <c r="S217" s="4">
        <v>3</v>
      </c>
      <c r="T217" s="4">
        <v>3</v>
      </c>
      <c r="U217" s="5" t="s">
        <v>2906</v>
      </c>
      <c r="V217" s="5" t="s">
        <v>2906</v>
      </c>
      <c r="W217" s="5" t="s">
        <v>1191</v>
      </c>
      <c r="X217" s="5" t="s">
        <v>1191</v>
      </c>
      <c r="Y217" s="4">
        <v>1183</v>
      </c>
      <c r="Z217" s="4">
        <v>1149</v>
      </c>
      <c r="AA217" s="4">
        <v>1157</v>
      </c>
      <c r="AB217" s="4">
        <v>10</v>
      </c>
      <c r="AC217" s="4">
        <v>10</v>
      </c>
      <c r="AD217" s="4">
        <v>24</v>
      </c>
      <c r="AE217" s="4">
        <v>24</v>
      </c>
      <c r="AF217" s="4">
        <v>11</v>
      </c>
      <c r="AG217" s="4">
        <v>11</v>
      </c>
      <c r="AH217" s="4">
        <v>4</v>
      </c>
      <c r="AI217" s="4">
        <v>4</v>
      </c>
      <c r="AJ217" s="4">
        <v>9</v>
      </c>
      <c r="AK217" s="4">
        <v>9</v>
      </c>
      <c r="AL217" s="4">
        <v>6</v>
      </c>
      <c r="AM217" s="4">
        <v>6</v>
      </c>
      <c r="AN217" s="4">
        <v>0</v>
      </c>
      <c r="AO217" s="4">
        <v>0</v>
      </c>
      <c r="AP217" s="3" t="s">
        <v>58</v>
      </c>
      <c r="AQ217" s="3" t="s">
        <v>69</v>
      </c>
      <c r="AR217" s="6" t="str">
        <f>HYPERLINK("http://catalog.hathitrust.org/Record/001470535","HathiTrust Record")</f>
        <v>HathiTrust Record</v>
      </c>
      <c r="AS217" s="6" t="str">
        <f>HYPERLINK("https://creighton-primo.hosted.exlibrisgroup.com/primo-explore/search?tab=default_tab&amp;search_scope=EVERYTHING&amp;vid=01CRU&amp;lang=en_US&amp;offset=0&amp;query=any,contains,991000218379702656","Catalog Record")</f>
        <v>Catalog Record</v>
      </c>
      <c r="AT217" s="6" t="str">
        <f>HYPERLINK("http://www.worldcat.org/oclc/67311","WorldCat Record")</f>
        <v>WorldCat Record</v>
      </c>
      <c r="AU217" s="3" t="s">
        <v>2907</v>
      </c>
      <c r="AV217" s="3" t="s">
        <v>2908</v>
      </c>
      <c r="AW217" s="3" t="s">
        <v>2909</v>
      </c>
      <c r="AX217" s="3" t="s">
        <v>2909</v>
      </c>
      <c r="AY217" s="3" t="s">
        <v>2910</v>
      </c>
      <c r="AZ217" s="3" t="s">
        <v>74</v>
      </c>
      <c r="BB217" s="3" t="s">
        <v>2911</v>
      </c>
      <c r="BC217" s="3" t="s">
        <v>2912</v>
      </c>
      <c r="BD217" s="3" t="s">
        <v>2913</v>
      </c>
    </row>
    <row r="218" spans="1:56" ht="57.75" customHeight="1" x14ac:dyDescent="0.25">
      <c r="A218" s="7" t="s">
        <v>58</v>
      </c>
      <c r="B218" s="2" t="s">
        <v>2914</v>
      </c>
      <c r="C218" s="2" t="s">
        <v>2915</v>
      </c>
      <c r="D218" s="2" t="s">
        <v>2916</v>
      </c>
      <c r="F218" s="3" t="s">
        <v>58</v>
      </c>
      <c r="G218" s="3" t="s">
        <v>59</v>
      </c>
      <c r="H218" s="3" t="s">
        <v>58</v>
      </c>
      <c r="I218" s="3" t="s">
        <v>58</v>
      </c>
      <c r="J218" s="3" t="s">
        <v>60</v>
      </c>
      <c r="K218" s="2" t="s">
        <v>2861</v>
      </c>
      <c r="L218" s="2" t="s">
        <v>2917</v>
      </c>
      <c r="M218" s="3" t="s">
        <v>293</v>
      </c>
      <c r="O218" s="3" t="s">
        <v>64</v>
      </c>
      <c r="P218" s="3" t="s">
        <v>65</v>
      </c>
      <c r="R218" s="3" t="s">
        <v>1093</v>
      </c>
      <c r="S218" s="4">
        <v>8</v>
      </c>
      <c r="T218" s="4">
        <v>8</v>
      </c>
      <c r="U218" s="5" t="s">
        <v>2918</v>
      </c>
      <c r="V218" s="5" t="s">
        <v>2918</v>
      </c>
      <c r="W218" s="5" t="s">
        <v>1191</v>
      </c>
      <c r="X218" s="5" t="s">
        <v>1191</v>
      </c>
      <c r="Y218" s="4">
        <v>855</v>
      </c>
      <c r="Z218" s="4">
        <v>820</v>
      </c>
      <c r="AA218" s="4">
        <v>843</v>
      </c>
      <c r="AB218" s="4">
        <v>8</v>
      </c>
      <c r="AC218" s="4">
        <v>8</v>
      </c>
      <c r="AD218" s="4">
        <v>21</v>
      </c>
      <c r="AE218" s="4">
        <v>21</v>
      </c>
      <c r="AF218" s="4">
        <v>9</v>
      </c>
      <c r="AG218" s="4">
        <v>9</v>
      </c>
      <c r="AH218" s="4">
        <v>4</v>
      </c>
      <c r="AI218" s="4">
        <v>4</v>
      </c>
      <c r="AJ218" s="4">
        <v>10</v>
      </c>
      <c r="AK218" s="4">
        <v>10</v>
      </c>
      <c r="AL218" s="4">
        <v>3</v>
      </c>
      <c r="AM218" s="4">
        <v>3</v>
      </c>
      <c r="AN218" s="4">
        <v>0</v>
      </c>
      <c r="AO218" s="4">
        <v>0</v>
      </c>
      <c r="AP218" s="3" t="s">
        <v>58</v>
      </c>
      <c r="AQ218" s="3" t="s">
        <v>69</v>
      </c>
      <c r="AR218" s="6" t="str">
        <f>HYPERLINK("http://catalog.hathitrust.org/Record/001470544","HathiTrust Record")</f>
        <v>HathiTrust Record</v>
      </c>
      <c r="AS218" s="6" t="str">
        <f>HYPERLINK("https://creighton-primo.hosted.exlibrisgroup.com/primo-explore/search?tab=default_tab&amp;search_scope=EVERYTHING&amp;vid=01CRU&amp;lang=en_US&amp;offset=0&amp;query=any,contains,991000543259702656","Catalog Record")</f>
        <v>Catalog Record</v>
      </c>
      <c r="AT218" s="6" t="str">
        <f>HYPERLINK("http://www.worldcat.org/oclc/90973","WorldCat Record")</f>
        <v>WorldCat Record</v>
      </c>
      <c r="AU218" s="3" t="s">
        <v>2919</v>
      </c>
      <c r="AV218" s="3" t="s">
        <v>2920</v>
      </c>
      <c r="AW218" s="3" t="s">
        <v>2921</v>
      </c>
      <c r="AX218" s="3" t="s">
        <v>2921</v>
      </c>
      <c r="AY218" s="3" t="s">
        <v>2922</v>
      </c>
      <c r="AZ218" s="3" t="s">
        <v>74</v>
      </c>
      <c r="BB218" s="3" t="s">
        <v>2923</v>
      </c>
      <c r="BC218" s="3" t="s">
        <v>2924</v>
      </c>
      <c r="BD218" s="3" t="s">
        <v>2925</v>
      </c>
    </row>
    <row r="219" spans="1:56" ht="57.75" customHeight="1" x14ac:dyDescent="0.25">
      <c r="A219" s="7" t="s">
        <v>58</v>
      </c>
      <c r="B219" s="2" t="s">
        <v>2926</v>
      </c>
      <c r="C219" s="2" t="s">
        <v>2927</v>
      </c>
      <c r="D219" s="2" t="s">
        <v>2928</v>
      </c>
      <c r="F219" s="3" t="s">
        <v>58</v>
      </c>
      <c r="G219" s="3" t="s">
        <v>59</v>
      </c>
      <c r="H219" s="3" t="s">
        <v>58</v>
      </c>
      <c r="I219" s="3" t="s">
        <v>58</v>
      </c>
      <c r="J219" s="3" t="s">
        <v>60</v>
      </c>
      <c r="K219" s="2" t="s">
        <v>2929</v>
      </c>
      <c r="L219" s="2" t="s">
        <v>2930</v>
      </c>
      <c r="M219" s="3" t="s">
        <v>277</v>
      </c>
      <c r="O219" s="3" t="s">
        <v>64</v>
      </c>
      <c r="P219" s="3" t="s">
        <v>65</v>
      </c>
      <c r="R219" s="3" t="s">
        <v>1093</v>
      </c>
      <c r="S219" s="4">
        <v>10</v>
      </c>
      <c r="T219" s="4">
        <v>10</v>
      </c>
      <c r="U219" s="5" t="s">
        <v>2931</v>
      </c>
      <c r="V219" s="5" t="s">
        <v>2931</v>
      </c>
      <c r="W219" s="5" t="s">
        <v>68</v>
      </c>
      <c r="X219" s="5" t="s">
        <v>68</v>
      </c>
      <c r="Y219" s="4">
        <v>730</v>
      </c>
      <c r="Z219" s="4">
        <v>678</v>
      </c>
      <c r="AA219" s="4">
        <v>774</v>
      </c>
      <c r="AB219" s="4">
        <v>4</v>
      </c>
      <c r="AC219" s="4">
        <v>5</v>
      </c>
      <c r="AD219" s="4">
        <v>10</v>
      </c>
      <c r="AE219" s="4">
        <v>14</v>
      </c>
      <c r="AF219" s="4">
        <v>3</v>
      </c>
      <c r="AG219" s="4">
        <v>5</v>
      </c>
      <c r="AH219" s="4">
        <v>1</v>
      </c>
      <c r="AI219" s="4">
        <v>2</v>
      </c>
      <c r="AJ219" s="4">
        <v>4</v>
      </c>
      <c r="AK219" s="4">
        <v>5</v>
      </c>
      <c r="AL219" s="4">
        <v>2</v>
      </c>
      <c r="AM219" s="4">
        <v>3</v>
      </c>
      <c r="AN219" s="4">
        <v>0</v>
      </c>
      <c r="AO219" s="4">
        <v>0</v>
      </c>
      <c r="AP219" s="3" t="s">
        <v>58</v>
      </c>
      <c r="AQ219" s="3" t="s">
        <v>69</v>
      </c>
      <c r="AR219" s="6" t="str">
        <f>HYPERLINK("http://catalog.hathitrust.org/Record/001082663","HathiTrust Record")</f>
        <v>HathiTrust Record</v>
      </c>
      <c r="AS219" s="6" t="str">
        <f>HYPERLINK("https://creighton-primo.hosted.exlibrisgroup.com/primo-explore/search?tab=default_tab&amp;search_scope=EVERYTHING&amp;vid=01CRU&amp;lang=en_US&amp;offset=0&amp;query=any,contains,991001015049702656","Catalog Record")</f>
        <v>Catalog Record</v>
      </c>
      <c r="AT219" s="6" t="str">
        <f>HYPERLINK("http://www.worldcat.org/oclc/15316884","WorldCat Record")</f>
        <v>WorldCat Record</v>
      </c>
      <c r="AU219" s="3" t="s">
        <v>2932</v>
      </c>
      <c r="AV219" s="3" t="s">
        <v>2933</v>
      </c>
      <c r="AW219" s="3" t="s">
        <v>2934</v>
      </c>
      <c r="AX219" s="3" t="s">
        <v>2934</v>
      </c>
      <c r="AY219" s="3" t="s">
        <v>2935</v>
      </c>
      <c r="AZ219" s="3" t="s">
        <v>74</v>
      </c>
      <c r="BB219" s="3" t="s">
        <v>2936</v>
      </c>
      <c r="BC219" s="3" t="s">
        <v>2937</v>
      </c>
      <c r="BD219" s="3" t="s">
        <v>2938</v>
      </c>
    </row>
    <row r="220" spans="1:56" ht="57.75" customHeight="1" x14ac:dyDescent="0.25">
      <c r="A220" s="7" t="s">
        <v>58</v>
      </c>
      <c r="B220" s="2" t="s">
        <v>2939</v>
      </c>
      <c r="C220" s="2" t="s">
        <v>2940</v>
      </c>
      <c r="D220" s="2" t="s">
        <v>2941</v>
      </c>
      <c r="F220" s="3" t="s">
        <v>58</v>
      </c>
      <c r="G220" s="3" t="s">
        <v>59</v>
      </c>
      <c r="H220" s="3" t="s">
        <v>58</v>
      </c>
      <c r="I220" s="3" t="s">
        <v>58</v>
      </c>
      <c r="J220" s="3" t="s">
        <v>60</v>
      </c>
      <c r="L220" s="2" t="s">
        <v>2942</v>
      </c>
      <c r="M220" s="3" t="s">
        <v>636</v>
      </c>
      <c r="O220" s="3" t="s">
        <v>64</v>
      </c>
      <c r="P220" s="3" t="s">
        <v>65</v>
      </c>
      <c r="R220" s="3" t="s">
        <v>1093</v>
      </c>
      <c r="S220" s="4">
        <v>1</v>
      </c>
      <c r="T220" s="4">
        <v>1</v>
      </c>
      <c r="U220" s="5" t="s">
        <v>2943</v>
      </c>
      <c r="V220" s="5" t="s">
        <v>2943</v>
      </c>
      <c r="W220" s="5" t="s">
        <v>2943</v>
      </c>
      <c r="X220" s="5" t="s">
        <v>2943</v>
      </c>
      <c r="Y220" s="4">
        <v>579</v>
      </c>
      <c r="Z220" s="4">
        <v>515</v>
      </c>
      <c r="AA220" s="4">
        <v>528</v>
      </c>
      <c r="AB220" s="4">
        <v>4</v>
      </c>
      <c r="AC220" s="4">
        <v>4</v>
      </c>
      <c r="AD220" s="4">
        <v>13</v>
      </c>
      <c r="AE220" s="4">
        <v>13</v>
      </c>
      <c r="AF220" s="4">
        <v>6</v>
      </c>
      <c r="AG220" s="4">
        <v>6</v>
      </c>
      <c r="AH220" s="4">
        <v>2</v>
      </c>
      <c r="AI220" s="4">
        <v>2</v>
      </c>
      <c r="AJ220" s="4">
        <v>4</v>
      </c>
      <c r="AK220" s="4">
        <v>4</v>
      </c>
      <c r="AL220" s="4">
        <v>3</v>
      </c>
      <c r="AM220" s="4">
        <v>3</v>
      </c>
      <c r="AN220" s="4">
        <v>0</v>
      </c>
      <c r="AO220" s="4">
        <v>0</v>
      </c>
      <c r="AP220" s="3" t="s">
        <v>58</v>
      </c>
      <c r="AQ220" s="3" t="s">
        <v>69</v>
      </c>
      <c r="AR220" s="6" t="str">
        <f>HYPERLINK("http://catalog.hathitrust.org/Record/004204253","HathiTrust Record")</f>
        <v>HathiTrust Record</v>
      </c>
      <c r="AS220" s="6" t="str">
        <f>HYPERLINK("https://creighton-primo.hosted.exlibrisgroup.com/primo-explore/search?tab=default_tab&amp;search_scope=EVERYTHING&amp;vid=01CRU&amp;lang=en_US&amp;offset=0&amp;query=any,contains,991004525469702656","Catalog Record")</f>
        <v>Catalog Record</v>
      </c>
      <c r="AT220" s="6" t="str">
        <f>HYPERLINK("http://www.worldcat.org/oclc/46385863","WorldCat Record")</f>
        <v>WorldCat Record</v>
      </c>
      <c r="AU220" s="3" t="s">
        <v>2944</v>
      </c>
      <c r="AV220" s="3" t="s">
        <v>2945</v>
      </c>
      <c r="AW220" s="3" t="s">
        <v>2946</v>
      </c>
      <c r="AX220" s="3" t="s">
        <v>2946</v>
      </c>
      <c r="AY220" s="3" t="s">
        <v>2947</v>
      </c>
      <c r="AZ220" s="3" t="s">
        <v>74</v>
      </c>
      <c r="BB220" s="3" t="s">
        <v>2948</v>
      </c>
      <c r="BC220" s="3" t="s">
        <v>2949</v>
      </c>
      <c r="BD220" s="3" t="s">
        <v>2950</v>
      </c>
    </row>
    <row r="221" spans="1:56" ht="57.75" customHeight="1" x14ac:dyDescent="0.25">
      <c r="A221" s="7" t="s">
        <v>58</v>
      </c>
      <c r="B221" s="2" t="s">
        <v>2951</v>
      </c>
      <c r="C221" s="2" t="s">
        <v>2952</v>
      </c>
      <c r="D221" s="2" t="s">
        <v>2953</v>
      </c>
      <c r="F221" s="3" t="s">
        <v>58</v>
      </c>
      <c r="G221" s="3" t="s">
        <v>59</v>
      </c>
      <c r="H221" s="3" t="s">
        <v>58</v>
      </c>
      <c r="I221" s="3" t="s">
        <v>58</v>
      </c>
      <c r="J221" s="3" t="s">
        <v>60</v>
      </c>
      <c r="K221" s="2" t="s">
        <v>2954</v>
      </c>
      <c r="L221" s="2" t="s">
        <v>2955</v>
      </c>
      <c r="M221" s="3" t="s">
        <v>1886</v>
      </c>
      <c r="N221" s="2" t="s">
        <v>606</v>
      </c>
      <c r="O221" s="3" t="s">
        <v>64</v>
      </c>
      <c r="P221" s="3" t="s">
        <v>65</v>
      </c>
      <c r="R221" s="3" t="s">
        <v>1093</v>
      </c>
      <c r="S221" s="4">
        <v>2</v>
      </c>
      <c r="T221" s="4">
        <v>2</v>
      </c>
      <c r="U221" s="5" t="s">
        <v>2956</v>
      </c>
      <c r="V221" s="5" t="s">
        <v>2956</v>
      </c>
      <c r="W221" s="5" t="s">
        <v>68</v>
      </c>
      <c r="X221" s="5" t="s">
        <v>68</v>
      </c>
      <c r="Y221" s="4">
        <v>646</v>
      </c>
      <c r="Z221" s="4">
        <v>573</v>
      </c>
      <c r="AA221" s="4">
        <v>573</v>
      </c>
      <c r="AB221" s="4">
        <v>5</v>
      </c>
      <c r="AC221" s="4">
        <v>5</v>
      </c>
      <c r="AD221" s="4">
        <v>17</v>
      </c>
      <c r="AE221" s="4">
        <v>17</v>
      </c>
      <c r="AF221" s="4">
        <v>6</v>
      </c>
      <c r="AG221" s="4">
        <v>6</v>
      </c>
      <c r="AH221" s="4">
        <v>3</v>
      </c>
      <c r="AI221" s="4">
        <v>3</v>
      </c>
      <c r="AJ221" s="4">
        <v>7</v>
      </c>
      <c r="AK221" s="4">
        <v>7</v>
      </c>
      <c r="AL221" s="4">
        <v>4</v>
      </c>
      <c r="AM221" s="4">
        <v>4</v>
      </c>
      <c r="AN221" s="4">
        <v>0</v>
      </c>
      <c r="AO221" s="4">
        <v>0</v>
      </c>
      <c r="AP221" s="3" t="s">
        <v>58</v>
      </c>
      <c r="AQ221" s="3" t="s">
        <v>58</v>
      </c>
      <c r="AS221" s="6" t="str">
        <f>HYPERLINK("https://creighton-primo.hosted.exlibrisgroup.com/primo-explore/search?tab=default_tab&amp;search_scope=EVERYTHING&amp;vid=01CRU&amp;lang=en_US&amp;offset=0&amp;query=any,contains,991000846109702656","Catalog Record")</f>
        <v>Catalog Record</v>
      </c>
      <c r="AT221" s="6" t="str">
        <f>HYPERLINK("http://www.worldcat.org/oclc/13560638","WorldCat Record")</f>
        <v>WorldCat Record</v>
      </c>
      <c r="AU221" s="3" t="s">
        <v>2957</v>
      </c>
      <c r="AV221" s="3" t="s">
        <v>2958</v>
      </c>
      <c r="AW221" s="3" t="s">
        <v>2959</v>
      </c>
      <c r="AX221" s="3" t="s">
        <v>2959</v>
      </c>
      <c r="AY221" s="3" t="s">
        <v>2960</v>
      </c>
      <c r="AZ221" s="3" t="s">
        <v>74</v>
      </c>
      <c r="BB221" s="3" t="s">
        <v>2961</v>
      </c>
      <c r="BC221" s="3" t="s">
        <v>2962</v>
      </c>
      <c r="BD221" s="3" t="s">
        <v>2963</v>
      </c>
    </row>
    <row r="222" spans="1:56" ht="57.75" customHeight="1" x14ac:dyDescent="0.25">
      <c r="A222" s="7" t="s">
        <v>58</v>
      </c>
      <c r="B222" s="2" t="s">
        <v>2964</v>
      </c>
      <c r="C222" s="2" t="s">
        <v>2965</v>
      </c>
      <c r="D222" s="2" t="s">
        <v>2966</v>
      </c>
      <c r="F222" s="3" t="s">
        <v>58</v>
      </c>
      <c r="G222" s="3" t="s">
        <v>59</v>
      </c>
      <c r="H222" s="3" t="s">
        <v>58</v>
      </c>
      <c r="I222" s="3" t="s">
        <v>58</v>
      </c>
      <c r="J222" s="3" t="s">
        <v>60</v>
      </c>
      <c r="K222" s="2" t="s">
        <v>2967</v>
      </c>
      <c r="L222" s="2" t="s">
        <v>2968</v>
      </c>
      <c r="M222" s="3" t="s">
        <v>277</v>
      </c>
      <c r="O222" s="3" t="s">
        <v>64</v>
      </c>
      <c r="P222" s="3" t="s">
        <v>65</v>
      </c>
      <c r="R222" s="3" t="s">
        <v>1093</v>
      </c>
      <c r="S222" s="4">
        <v>13</v>
      </c>
      <c r="T222" s="4">
        <v>13</v>
      </c>
      <c r="U222" s="5" t="s">
        <v>2969</v>
      </c>
      <c r="V222" s="5" t="s">
        <v>2969</v>
      </c>
      <c r="W222" s="5" t="s">
        <v>2697</v>
      </c>
      <c r="X222" s="5" t="s">
        <v>2697</v>
      </c>
      <c r="Y222" s="4">
        <v>605</v>
      </c>
      <c r="Z222" s="4">
        <v>398</v>
      </c>
      <c r="AA222" s="4">
        <v>400</v>
      </c>
      <c r="AB222" s="4">
        <v>2</v>
      </c>
      <c r="AC222" s="4">
        <v>2</v>
      </c>
      <c r="AD222" s="4">
        <v>5</v>
      </c>
      <c r="AE222" s="4">
        <v>5</v>
      </c>
      <c r="AF222" s="4">
        <v>1</v>
      </c>
      <c r="AG222" s="4">
        <v>1</v>
      </c>
      <c r="AH222" s="4">
        <v>3</v>
      </c>
      <c r="AI222" s="4">
        <v>3</v>
      </c>
      <c r="AJ222" s="4">
        <v>1</v>
      </c>
      <c r="AK222" s="4">
        <v>1</v>
      </c>
      <c r="AL222" s="4">
        <v>1</v>
      </c>
      <c r="AM222" s="4">
        <v>1</v>
      </c>
      <c r="AN222" s="4">
        <v>0</v>
      </c>
      <c r="AO222" s="4">
        <v>0</v>
      </c>
      <c r="AP222" s="3" t="s">
        <v>58</v>
      </c>
      <c r="AQ222" s="3" t="s">
        <v>58</v>
      </c>
      <c r="AS222" s="6" t="str">
        <f>HYPERLINK("https://creighton-primo.hosted.exlibrisgroup.com/primo-explore/search?tab=default_tab&amp;search_scope=EVERYTHING&amp;vid=01CRU&amp;lang=en_US&amp;offset=0&amp;query=any,contains,991001273739702656","Catalog Record")</f>
        <v>Catalog Record</v>
      </c>
      <c r="AT222" s="6" t="str">
        <f>HYPERLINK("http://www.worldcat.org/oclc/17858878","WorldCat Record")</f>
        <v>WorldCat Record</v>
      </c>
      <c r="AU222" s="3" t="s">
        <v>2970</v>
      </c>
      <c r="AV222" s="3" t="s">
        <v>2971</v>
      </c>
      <c r="AW222" s="3" t="s">
        <v>2972</v>
      </c>
      <c r="AX222" s="3" t="s">
        <v>2972</v>
      </c>
      <c r="AY222" s="3" t="s">
        <v>2973</v>
      </c>
      <c r="AZ222" s="3" t="s">
        <v>74</v>
      </c>
      <c r="BB222" s="3" t="s">
        <v>2974</v>
      </c>
      <c r="BC222" s="3" t="s">
        <v>2975</v>
      </c>
      <c r="BD222" s="3" t="s">
        <v>2976</v>
      </c>
    </row>
    <row r="223" spans="1:56" ht="57.75" customHeight="1" x14ac:dyDescent="0.25">
      <c r="A223" s="7" t="s">
        <v>58</v>
      </c>
      <c r="B223" s="2" t="s">
        <v>2977</v>
      </c>
      <c r="C223" s="2" t="s">
        <v>2978</v>
      </c>
      <c r="D223" s="2" t="s">
        <v>2979</v>
      </c>
      <c r="F223" s="3" t="s">
        <v>58</v>
      </c>
      <c r="G223" s="3" t="s">
        <v>59</v>
      </c>
      <c r="H223" s="3" t="s">
        <v>58</v>
      </c>
      <c r="I223" s="3" t="s">
        <v>58</v>
      </c>
      <c r="J223" s="3" t="s">
        <v>60</v>
      </c>
      <c r="K223" s="2" t="s">
        <v>2967</v>
      </c>
      <c r="L223" s="2" t="s">
        <v>2980</v>
      </c>
      <c r="M223" s="3" t="s">
        <v>847</v>
      </c>
      <c r="O223" s="3" t="s">
        <v>64</v>
      </c>
      <c r="P223" s="3" t="s">
        <v>65</v>
      </c>
      <c r="Q223" s="2" t="s">
        <v>993</v>
      </c>
      <c r="R223" s="3" t="s">
        <v>1093</v>
      </c>
      <c r="S223" s="4">
        <v>10</v>
      </c>
      <c r="T223" s="4">
        <v>10</v>
      </c>
      <c r="U223" s="5" t="s">
        <v>1406</v>
      </c>
      <c r="V223" s="5" t="s">
        <v>1406</v>
      </c>
      <c r="W223" s="5" t="s">
        <v>2697</v>
      </c>
      <c r="X223" s="5" t="s">
        <v>2697</v>
      </c>
      <c r="Y223" s="4">
        <v>661</v>
      </c>
      <c r="Z223" s="4">
        <v>601</v>
      </c>
      <c r="AA223" s="4">
        <v>657</v>
      </c>
      <c r="AB223" s="4">
        <v>3</v>
      </c>
      <c r="AC223" s="4">
        <v>5</v>
      </c>
      <c r="AD223" s="4">
        <v>13</v>
      </c>
      <c r="AE223" s="4">
        <v>15</v>
      </c>
      <c r="AF223" s="4">
        <v>6</v>
      </c>
      <c r="AG223" s="4">
        <v>6</v>
      </c>
      <c r="AH223" s="4">
        <v>4</v>
      </c>
      <c r="AI223" s="4">
        <v>4</v>
      </c>
      <c r="AJ223" s="4">
        <v>3</v>
      </c>
      <c r="AK223" s="4">
        <v>3</v>
      </c>
      <c r="AL223" s="4">
        <v>2</v>
      </c>
      <c r="AM223" s="4">
        <v>4</v>
      </c>
      <c r="AN223" s="4">
        <v>0</v>
      </c>
      <c r="AO223" s="4">
        <v>0</v>
      </c>
      <c r="AP223" s="3" t="s">
        <v>58</v>
      </c>
      <c r="AQ223" s="3" t="s">
        <v>69</v>
      </c>
      <c r="AR223" s="6" t="str">
        <f>HYPERLINK("http://catalog.hathitrust.org/Record/000230621","HathiTrust Record")</f>
        <v>HathiTrust Record</v>
      </c>
      <c r="AS223" s="6" t="str">
        <f>HYPERLINK("https://creighton-primo.hosted.exlibrisgroup.com/primo-explore/search?tab=default_tab&amp;search_scope=EVERYTHING&amp;vid=01CRU&amp;lang=en_US&amp;offset=0&amp;query=any,contains,991005220189702656","Catalog Record")</f>
        <v>Catalog Record</v>
      </c>
      <c r="AT223" s="6" t="str">
        <f>HYPERLINK("http://www.worldcat.org/oclc/8221337","WorldCat Record")</f>
        <v>WorldCat Record</v>
      </c>
      <c r="AU223" s="3" t="s">
        <v>2981</v>
      </c>
      <c r="AV223" s="3" t="s">
        <v>2982</v>
      </c>
      <c r="AW223" s="3" t="s">
        <v>2983</v>
      </c>
      <c r="AX223" s="3" t="s">
        <v>2983</v>
      </c>
      <c r="AY223" s="3" t="s">
        <v>2984</v>
      </c>
      <c r="AZ223" s="3" t="s">
        <v>74</v>
      </c>
      <c r="BB223" s="3" t="s">
        <v>2985</v>
      </c>
      <c r="BC223" s="3" t="s">
        <v>2986</v>
      </c>
      <c r="BD223" s="3" t="s">
        <v>2987</v>
      </c>
    </row>
    <row r="224" spans="1:56" ht="57.75" customHeight="1" x14ac:dyDescent="0.25">
      <c r="A224" s="7" t="s">
        <v>58</v>
      </c>
      <c r="B224" s="2" t="s">
        <v>2988</v>
      </c>
      <c r="C224" s="2" t="s">
        <v>2989</v>
      </c>
      <c r="D224" s="2" t="s">
        <v>2990</v>
      </c>
      <c r="F224" s="3" t="s">
        <v>58</v>
      </c>
      <c r="G224" s="3" t="s">
        <v>59</v>
      </c>
      <c r="H224" s="3" t="s">
        <v>58</v>
      </c>
      <c r="I224" s="3" t="s">
        <v>58</v>
      </c>
      <c r="J224" s="3" t="s">
        <v>60</v>
      </c>
      <c r="K224" s="2" t="s">
        <v>2991</v>
      </c>
      <c r="L224" s="2" t="s">
        <v>2992</v>
      </c>
      <c r="M224" s="3" t="s">
        <v>2644</v>
      </c>
      <c r="O224" s="3" t="s">
        <v>64</v>
      </c>
      <c r="P224" s="3" t="s">
        <v>453</v>
      </c>
      <c r="Q224" s="2" t="s">
        <v>2993</v>
      </c>
      <c r="R224" s="3" t="s">
        <v>1093</v>
      </c>
      <c r="S224" s="4">
        <v>8</v>
      </c>
      <c r="T224" s="4">
        <v>8</v>
      </c>
      <c r="U224" s="5" t="s">
        <v>2994</v>
      </c>
      <c r="V224" s="5" t="s">
        <v>2994</v>
      </c>
      <c r="W224" s="5" t="s">
        <v>1858</v>
      </c>
      <c r="X224" s="5" t="s">
        <v>1858</v>
      </c>
      <c r="Y224" s="4">
        <v>163</v>
      </c>
      <c r="Z224" s="4">
        <v>154</v>
      </c>
      <c r="AA224" s="4">
        <v>175</v>
      </c>
      <c r="AB224" s="4">
        <v>2</v>
      </c>
      <c r="AC224" s="4">
        <v>2</v>
      </c>
      <c r="AD224" s="4">
        <v>3</v>
      </c>
      <c r="AE224" s="4">
        <v>3</v>
      </c>
      <c r="AF224" s="4">
        <v>0</v>
      </c>
      <c r="AG224" s="4">
        <v>0</v>
      </c>
      <c r="AH224" s="4">
        <v>1</v>
      </c>
      <c r="AI224" s="4">
        <v>1</v>
      </c>
      <c r="AJ224" s="4">
        <v>1</v>
      </c>
      <c r="AK224" s="4">
        <v>1</v>
      </c>
      <c r="AL224" s="4">
        <v>1</v>
      </c>
      <c r="AM224" s="4">
        <v>1</v>
      </c>
      <c r="AN224" s="4">
        <v>0</v>
      </c>
      <c r="AO224" s="4">
        <v>0</v>
      </c>
      <c r="AP224" s="3" t="s">
        <v>58</v>
      </c>
      <c r="AQ224" s="3" t="s">
        <v>69</v>
      </c>
      <c r="AR224" s="6" t="str">
        <f>HYPERLINK("http://catalog.hathitrust.org/Record/001472632","HathiTrust Record")</f>
        <v>HathiTrust Record</v>
      </c>
      <c r="AS224" s="6" t="str">
        <f>HYPERLINK("https://creighton-primo.hosted.exlibrisgroup.com/primo-explore/search?tab=default_tab&amp;search_scope=EVERYTHING&amp;vid=01CRU&amp;lang=en_US&amp;offset=0&amp;query=any,contains,991003986139702656","Catalog Record")</f>
        <v>Catalog Record</v>
      </c>
      <c r="AT224" s="6" t="str">
        <f>HYPERLINK("http://www.worldcat.org/oclc/2031832","WorldCat Record")</f>
        <v>WorldCat Record</v>
      </c>
      <c r="AU224" s="3" t="s">
        <v>2995</v>
      </c>
      <c r="AV224" s="3" t="s">
        <v>2996</v>
      </c>
      <c r="AW224" s="3" t="s">
        <v>2997</v>
      </c>
      <c r="AX224" s="3" t="s">
        <v>2997</v>
      </c>
      <c r="AY224" s="3" t="s">
        <v>2998</v>
      </c>
      <c r="AZ224" s="3" t="s">
        <v>74</v>
      </c>
      <c r="BC224" s="3" t="s">
        <v>2999</v>
      </c>
      <c r="BD224" s="3" t="s">
        <v>3000</v>
      </c>
    </row>
    <row r="225" spans="1:56" ht="57.75" customHeight="1" x14ac:dyDescent="0.25">
      <c r="A225" s="7" t="s">
        <v>58</v>
      </c>
      <c r="B225" s="2" t="s">
        <v>3001</v>
      </c>
      <c r="C225" s="2" t="s">
        <v>3002</v>
      </c>
      <c r="D225" s="2" t="s">
        <v>3003</v>
      </c>
      <c r="F225" s="3" t="s">
        <v>58</v>
      </c>
      <c r="G225" s="3" t="s">
        <v>59</v>
      </c>
      <c r="H225" s="3" t="s">
        <v>58</v>
      </c>
      <c r="I225" s="3" t="s">
        <v>58</v>
      </c>
      <c r="J225" s="3" t="s">
        <v>60</v>
      </c>
      <c r="K225" s="2" t="s">
        <v>3004</v>
      </c>
      <c r="L225" s="2" t="s">
        <v>3005</v>
      </c>
      <c r="M225" s="3" t="s">
        <v>875</v>
      </c>
      <c r="N225" s="2" t="s">
        <v>606</v>
      </c>
      <c r="O225" s="3" t="s">
        <v>64</v>
      </c>
      <c r="P225" s="3" t="s">
        <v>3006</v>
      </c>
      <c r="R225" s="3" t="s">
        <v>1093</v>
      </c>
      <c r="S225" s="4">
        <v>1</v>
      </c>
      <c r="T225" s="4">
        <v>1</v>
      </c>
      <c r="U225" s="5" t="s">
        <v>3007</v>
      </c>
      <c r="V225" s="5" t="s">
        <v>3007</v>
      </c>
      <c r="W225" s="5" t="s">
        <v>3007</v>
      </c>
      <c r="X225" s="5" t="s">
        <v>3007</v>
      </c>
      <c r="Y225" s="4">
        <v>227</v>
      </c>
      <c r="Z225" s="4">
        <v>211</v>
      </c>
      <c r="AA225" s="4">
        <v>213</v>
      </c>
      <c r="AB225" s="4">
        <v>43</v>
      </c>
      <c r="AC225" s="4">
        <v>43</v>
      </c>
      <c r="AD225" s="4">
        <v>19</v>
      </c>
      <c r="AE225" s="4">
        <v>19</v>
      </c>
      <c r="AF225" s="4">
        <v>0</v>
      </c>
      <c r="AG225" s="4">
        <v>0</v>
      </c>
      <c r="AH225" s="4">
        <v>2</v>
      </c>
      <c r="AI225" s="4">
        <v>2</v>
      </c>
      <c r="AJ225" s="4">
        <v>2</v>
      </c>
      <c r="AK225" s="4">
        <v>2</v>
      </c>
      <c r="AL225" s="4">
        <v>16</v>
      </c>
      <c r="AM225" s="4">
        <v>16</v>
      </c>
      <c r="AN225" s="4">
        <v>0</v>
      </c>
      <c r="AO225" s="4">
        <v>0</v>
      </c>
      <c r="AP225" s="3" t="s">
        <v>58</v>
      </c>
      <c r="AQ225" s="3" t="s">
        <v>69</v>
      </c>
      <c r="AR225" s="6" t="str">
        <f>HYPERLINK("http://catalog.hathitrust.org/Record/002602749","HathiTrust Record")</f>
        <v>HathiTrust Record</v>
      </c>
      <c r="AS225" s="6" t="str">
        <f>HYPERLINK("https://creighton-primo.hosted.exlibrisgroup.com/primo-explore/search?tab=default_tab&amp;search_scope=EVERYTHING&amp;vid=01CRU&amp;lang=en_US&amp;offset=0&amp;query=any,contains,991004687629702656","Catalog Record")</f>
        <v>Catalog Record</v>
      </c>
      <c r="AT225" s="6" t="str">
        <f>HYPERLINK("http://www.worldcat.org/oclc/26397019","WorldCat Record")</f>
        <v>WorldCat Record</v>
      </c>
      <c r="AU225" s="3" t="s">
        <v>3008</v>
      </c>
      <c r="AV225" s="3" t="s">
        <v>3009</v>
      </c>
      <c r="AW225" s="3" t="s">
        <v>3010</v>
      </c>
      <c r="AX225" s="3" t="s">
        <v>3010</v>
      </c>
      <c r="AY225" s="3" t="s">
        <v>3011</v>
      </c>
      <c r="AZ225" s="3" t="s">
        <v>74</v>
      </c>
      <c r="BB225" s="3" t="s">
        <v>3012</v>
      </c>
      <c r="BC225" s="3" t="s">
        <v>3013</v>
      </c>
      <c r="BD225" s="3" t="s">
        <v>3014</v>
      </c>
    </row>
    <row r="226" spans="1:56" ht="57.75" customHeight="1" x14ac:dyDescent="0.25">
      <c r="A226" s="7" t="s">
        <v>58</v>
      </c>
      <c r="B226" s="2" t="s">
        <v>3015</v>
      </c>
      <c r="C226" s="2" t="s">
        <v>3016</v>
      </c>
      <c r="D226" s="2" t="s">
        <v>3017</v>
      </c>
      <c r="F226" s="3" t="s">
        <v>58</v>
      </c>
      <c r="G226" s="3" t="s">
        <v>59</v>
      </c>
      <c r="H226" s="3" t="s">
        <v>58</v>
      </c>
      <c r="I226" s="3" t="s">
        <v>58</v>
      </c>
      <c r="J226" s="3" t="s">
        <v>60</v>
      </c>
      <c r="K226" s="2" t="s">
        <v>3018</v>
      </c>
      <c r="L226" s="2" t="s">
        <v>3019</v>
      </c>
      <c r="M226" s="3" t="s">
        <v>3020</v>
      </c>
      <c r="N226" s="2" t="s">
        <v>1475</v>
      </c>
      <c r="O226" s="3" t="s">
        <v>64</v>
      </c>
      <c r="P226" s="3" t="s">
        <v>385</v>
      </c>
      <c r="R226" s="3" t="s">
        <v>1093</v>
      </c>
      <c r="S226" s="4">
        <v>8</v>
      </c>
      <c r="T226" s="4">
        <v>8</v>
      </c>
      <c r="U226" s="5" t="s">
        <v>3021</v>
      </c>
      <c r="V226" s="5" t="s">
        <v>3021</v>
      </c>
      <c r="W226" s="5" t="s">
        <v>3022</v>
      </c>
      <c r="X226" s="5" t="s">
        <v>3022</v>
      </c>
      <c r="Y226" s="4">
        <v>268</v>
      </c>
      <c r="Z226" s="4">
        <v>259</v>
      </c>
      <c r="AA226" s="4">
        <v>1352</v>
      </c>
      <c r="AB226" s="4">
        <v>2</v>
      </c>
      <c r="AC226" s="4">
        <v>13</v>
      </c>
      <c r="AD226" s="4">
        <v>4</v>
      </c>
      <c r="AE226" s="4">
        <v>16</v>
      </c>
      <c r="AF226" s="4">
        <v>2</v>
      </c>
      <c r="AG226" s="4">
        <v>4</v>
      </c>
      <c r="AH226" s="4">
        <v>0</v>
      </c>
      <c r="AI226" s="4">
        <v>5</v>
      </c>
      <c r="AJ226" s="4">
        <v>2</v>
      </c>
      <c r="AK226" s="4">
        <v>6</v>
      </c>
      <c r="AL226" s="4">
        <v>1</v>
      </c>
      <c r="AM226" s="4">
        <v>3</v>
      </c>
      <c r="AN226" s="4">
        <v>0</v>
      </c>
      <c r="AO226" s="4">
        <v>0</v>
      </c>
      <c r="AP226" s="3" t="s">
        <v>58</v>
      </c>
      <c r="AQ226" s="3" t="s">
        <v>58</v>
      </c>
      <c r="AS226" s="6" t="str">
        <f>HYPERLINK("https://creighton-primo.hosted.exlibrisgroup.com/primo-explore/search?tab=default_tab&amp;search_scope=EVERYTHING&amp;vid=01CRU&amp;lang=en_US&amp;offset=0&amp;query=any,contains,991003709449702656","Catalog Record")</f>
        <v>Catalog Record</v>
      </c>
      <c r="AT226" s="6" t="str">
        <f>HYPERLINK("http://www.worldcat.org/oclc/1348286","WorldCat Record")</f>
        <v>WorldCat Record</v>
      </c>
      <c r="AU226" s="3" t="s">
        <v>3023</v>
      </c>
      <c r="AV226" s="3" t="s">
        <v>3024</v>
      </c>
      <c r="AW226" s="3" t="s">
        <v>3025</v>
      </c>
      <c r="AX226" s="3" t="s">
        <v>3025</v>
      </c>
      <c r="AY226" s="3" t="s">
        <v>3026</v>
      </c>
      <c r="AZ226" s="3" t="s">
        <v>74</v>
      </c>
      <c r="BC226" s="3" t="s">
        <v>3027</v>
      </c>
      <c r="BD226" s="3" t="s">
        <v>3028</v>
      </c>
    </row>
    <row r="227" spans="1:56" ht="57.75" customHeight="1" x14ac:dyDescent="0.25">
      <c r="A227" s="7" t="s">
        <v>58</v>
      </c>
      <c r="B227" s="2" t="s">
        <v>3029</v>
      </c>
      <c r="C227" s="2" t="s">
        <v>3030</v>
      </c>
      <c r="D227" s="2" t="s">
        <v>3031</v>
      </c>
      <c r="F227" s="3" t="s">
        <v>58</v>
      </c>
      <c r="G227" s="3" t="s">
        <v>59</v>
      </c>
      <c r="H227" s="3" t="s">
        <v>58</v>
      </c>
      <c r="I227" s="3" t="s">
        <v>58</v>
      </c>
      <c r="J227" s="3" t="s">
        <v>60</v>
      </c>
      <c r="K227" s="2" t="s">
        <v>3032</v>
      </c>
      <c r="L227" s="2" t="s">
        <v>3033</v>
      </c>
      <c r="M227" s="3" t="s">
        <v>3034</v>
      </c>
      <c r="O227" s="3" t="s">
        <v>64</v>
      </c>
      <c r="P227" s="3" t="s">
        <v>385</v>
      </c>
      <c r="R227" s="3" t="s">
        <v>1093</v>
      </c>
      <c r="S227" s="4">
        <v>8</v>
      </c>
      <c r="T227" s="4">
        <v>8</v>
      </c>
      <c r="U227" s="5" t="s">
        <v>3035</v>
      </c>
      <c r="V227" s="5" t="s">
        <v>3035</v>
      </c>
      <c r="W227" s="5" t="s">
        <v>3036</v>
      </c>
      <c r="X227" s="5" t="s">
        <v>3036</v>
      </c>
      <c r="Y227" s="4">
        <v>351</v>
      </c>
      <c r="Z227" s="4">
        <v>333</v>
      </c>
      <c r="AA227" s="4">
        <v>834</v>
      </c>
      <c r="AB227" s="4">
        <v>3</v>
      </c>
      <c r="AC227" s="4">
        <v>8</v>
      </c>
      <c r="AD227" s="4">
        <v>5</v>
      </c>
      <c r="AE227" s="4">
        <v>11</v>
      </c>
      <c r="AF227" s="4">
        <v>2</v>
      </c>
      <c r="AG227" s="4">
        <v>5</v>
      </c>
      <c r="AH227" s="4">
        <v>1</v>
      </c>
      <c r="AI227" s="4">
        <v>3</v>
      </c>
      <c r="AJ227" s="4">
        <v>2</v>
      </c>
      <c r="AK227" s="4">
        <v>4</v>
      </c>
      <c r="AL227" s="4">
        <v>1</v>
      </c>
      <c r="AM227" s="4">
        <v>2</v>
      </c>
      <c r="AN227" s="4">
        <v>0</v>
      </c>
      <c r="AO227" s="4">
        <v>0</v>
      </c>
      <c r="AP227" s="3" t="s">
        <v>58</v>
      </c>
      <c r="AQ227" s="3" t="s">
        <v>58</v>
      </c>
      <c r="AS227" s="6" t="str">
        <f>HYPERLINK("https://creighton-primo.hosted.exlibrisgroup.com/primo-explore/search?tab=default_tab&amp;search_scope=EVERYTHING&amp;vid=01CRU&amp;lang=en_US&amp;offset=0&amp;query=any,contains,991003446349702656","Catalog Record")</f>
        <v>Catalog Record</v>
      </c>
      <c r="AT227" s="6" t="str">
        <f>HYPERLINK("http://www.worldcat.org/oclc/981828","WorldCat Record")</f>
        <v>WorldCat Record</v>
      </c>
      <c r="AU227" s="3" t="s">
        <v>3037</v>
      </c>
      <c r="AV227" s="3" t="s">
        <v>3038</v>
      </c>
      <c r="AW227" s="3" t="s">
        <v>3039</v>
      </c>
      <c r="AX227" s="3" t="s">
        <v>3039</v>
      </c>
      <c r="AY227" s="3" t="s">
        <v>3040</v>
      </c>
      <c r="AZ227" s="3" t="s">
        <v>74</v>
      </c>
      <c r="BC227" s="3" t="s">
        <v>3041</v>
      </c>
      <c r="BD227" s="3" t="s">
        <v>3042</v>
      </c>
    </row>
    <row r="228" spans="1:56" ht="57.75" customHeight="1" x14ac:dyDescent="0.25">
      <c r="A228" s="7" t="s">
        <v>58</v>
      </c>
      <c r="B228" s="2" t="s">
        <v>3043</v>
      </c>
      <c r="C228" s="2" t="s">
        <v>3044</v>
      </c>
      <c r="D228" s="2" t="s">
        <v>3045</v>
      </c>
      <c r="F228" s="3" t="s">
        <v>58</v>
      </c>
      <c r="G228" s="3" t="s">
        <v>59</v>
      </c>
      <c r="H228" s="3" t="s">
        <v>58</v>
      </c>
      <c r="I228" s="3" t="s">
        <v>58</v>
      </c>
      <c r="J228" s="3" t="s">
        <v>60</v>
      </c>
      <c r="K228" s="2" t="s">
        <v>3046</v>
      </c>
      <c r="L228" s="2" t="s">
        <v>3047</v>
      </c>
      <c r="M228" s="3" t="s">
        <v>370</v>
      </c>
      <c r="O228" s="3" t="s">
        <v>64</v>
      </c>
      <c r="P228" s="3" t="s">
        <v>65</v>
      </c>
      <c r="R228" s="3" t="s">
        <v>1093</v>
      </c>
      <c r="S228" s="4">
        <v>1</v>
      </c>
      <c r="T228" s="4">
        <v>1</v>
      </c>
      <c r="U228" s="5" t="s">
        <v>1203</v>
      </c>
      <c r="V228" s="5" t="s">
        <v>1203</v>
      </c>
      <c r="W228" s="5" t="s">
        <v>372</v>
      </c>
      <c r="X228" s="5" t="s">
        <v>372</v>
      </c>
      <c r="Y228" s="4">
        <v>283</v>
      </c>
      <c r="Z228" s="4">
        <v>272</v>
      </c>
      <c r="AA228" s="4">
        <v>383</v>
      </c>
      <c r="AB228" s="4">
        <v>2</v>
      </c>
      <c r="AC228" s="4">
        <v>3</v>
      </c>
      <c r="AD228" s="4">
        <v>5</v>
      </c>
      <c r="AE228" s="4">
        <v>7</v>
      </c>
      <c r="AF228" s="4">
        <v>2</v>
      </c>
      <c r="AG228" s="4">
        <v>3</v>
      </c>
      <c r="AH228" s="4">
        <v>1</v>
      </c>
      <c r="AI228" s="4">
        <v>1</v>
      </c>
      <c r="AJ228" s="4">
        <v>2</v>
      </c>
      <c r="AK228" s="4">
        <v>3</v>
      </c>
      <c r="AL228" s="4">
        <v>1</v>
      </c>
      <c r="AM228" s="4">
        <v>2</v>
      </c>
      <c r="AN228" s="4">
        <v>0</v>
      </c>
      <c r="AO228" s="4">
        <v>0</v>
      </c>
      <c r="AP228" s="3" t="s">
        <v>58</v>
      </c>
      <c r="AQ228" s="3" t="s">
        <v>58</v>
      </c>
      <c r="AS228" s="6" t="str">
        <f>HYPERLINK("https://creighton-primo.hosted.exlibrisgroup.com/primo-explore/search?tab=default_tab&amp;search_scope=EVERYTHING&amp;vid=01CRU&amp;lang=en_US&amp;offset=0&amp;query=any,contains,991000085039702656","Catalog Record")</f>
        <v>Catalog Record</v>
      </c>
      <c r="AT228" s="6" t="str">
        <f>HYPERLINK("http://www.worldcat.org/oclc/33430","WorldCat Record")</f>
        <v>WorldCat Record</v>
      </c>
      <c r="AU228" s="3" t="s">
        <v>3048</v>
      </c>
      <c r="AV228" s="3" t="s">
        <v>3049</v>
      </c>
      <c r="AW228" s="3" t="s">
        <v>3050</v>
      </c>
      <c r="AX228" s="3" t="s">
        <v>3050</v>
      </c>
      <c r="AY228" s="3" t="s">
        <v>3051</v>
      </c>
      <c r="AZ228" s="3" t="s">
        <v>74</v>
      </c>
      <c r="BC228" s="3" t="s">
        <v>3052</v>
      </c>
      <c r="BD228" s="3" t="s">
        <v>3053</v>
      </c>
    </row>
    <row r="229" spans="1:56" ht="57.75" customHeight="1" x14ac:dyDescent="0.25">
      <c r="A229" s="7" t="s">
        <v>58</v>
      </c>
      <c r="B229" s="2" t="s">
        <v>3054</v>
      </c>
      <c r="C229" s="2" t="s">
        <v>3055</v>
      </c>
      <c r="D229" s="2" t="s">
        <v>3056</v>
      </c>
      <c r="F229" s="3" t="s">
        <v>58</v>
      </c>
      <c r="G229" s="3" t="s">
        <v>59</v>
      </c>
      <c r="H229" s="3" t="s">
        <v>58</v>
      </c>
      <c r="I229" s="3" t="s">
        <v>58</v>
      </c>
      <c r="J229" s="3" t="s">
        <v>60</v>
      </c>
      <c r="K229" s="2" t="s">
        <v>3057</v>
      </c>
      <c r="L229" s="2" t="s">
        <v>3058</v>
      </c>
      <c r="M229" s="3" t="s">
        <v>539</v>
      </c>
      <c r="O229" s="3" t="s">
        <v>64</v>
      </c>
      <c r="P229" s="3" t="s">
        <v>65</v>
      </c>
      <c r="R229" s="3" t="s">
        <v>1093</v>
      </c>
      <c r="S229" s="4">
        <v>1</v>
      </c>
      <c r="T229" s="4">
        <v>1</v>
      </c>
      <c r="U229" s="5" t="s">
        <v>3059</v>
      </c>
      <c r="V229" s="5" t="s">
        <v>3059</v>
      </c>
      <c r="W229" s="5" t="s">
        <v>1858</v>
      </c>
      <c r="X229" s="5" t="s">
        <v>1858</v>
      </c>
      <c r="Y229" s="4">
        <v>889</v>
      </c>
      <c r="Z229" s="4">
        <v>824</v>
      </c>
      <c r="AA229" s="4">
        <v>834</v>
      </c>
      <c r="AB229" s="4">
        <v>6</v>
      </c>
      <c r="AC229" s="4">
        <v>6</v>
      </c>
      <c r="AD229" s="4">
        <v>18</v>
      </c>
      <c r="AE229" s="4">
        <v>19</v>
      </c>
      <c r="AF229" s="4">
        <v>9</v>
      </c>
      <c r="AG229" s="4">
        <v>9</v>
      </c>
      <c r="AH229" s="4">
        <v>2</v>
      </c>
      <c r="AI229" s="4">
        <v>2</v>
      </c>
      <c r="AJ229" s="4">
        <v>6</v>
      </c>
      <c r="AK229" s="4">
        <v>7</v>
      </c>
      <c r="AL229" s="4">
        <v>4</v>
      </c>
      <c r="AM229" s="4">
        <v>4</v>
      </c>
      <c r="AN229" s="4">
        <v>0</v>
      </c>
      <c r="AO229" s="4">
        <v>0</v>
      </c>
      <c r="AP229" s="3" t="s">
        <v>58</v>
      </c>
      <c r="AQ229" s="3" t="s">
        <v>69</v>
      </c>
      <c r="AR229" s="6" t="str">
        <f>HYPERLINK("http://catalog.hathitrust.org/Record/001472718","HathiTrust Record")</f>
        <v>HathiTrust Record</v>
      </c>
      <c r="AS229" s="6" t="str">
        <f>HYPERLINK("https://creighton-primo.hosted.exlibrisgroup.com/primo-explore/search?tab=default_tab&amp;search_scope=EVERYTHING&amp;vid=01CRU&amp;lang=en_US&amp;offset=0&amp;query=any,contains,991002767649702656","Catalog Record")</f>
        <v>Catalog Record</v>
      </c>
      <c r="AT229" s="6" t="str">
        <f>HYPERLINK("http://www.worldcat.org/oclc/435574","WorldCat Record")</f>
        <v>WorldCat Record</v>
      </c>
      <c r="AU229" s="3" t="s">
        <v>3060</v>
      </c>
      <c r="AV229" s="3" t="s">
        <v>3061</v>
      </c>
      <c r="AW229" s="3" t="s">
        <v>3062</v>
      </c>
      <c r="AX229" s="3" t="s">
        <v>3062</v>
      </c>
      <c r="AY229" s="3" t="s">
        <v>3063</v>
      </c>
      <c r="AZ229" s="3" t="s">
        <v>74</v>
      </c>
      <c r="BC229" s="3" t="s">
        <v>3064</v>
      </c>
      <c r="BD229" s="3" t="s">
        <v>3065</v>
      </c>
    </row>
    <row r="230" spans="1:56" ht="57.75" customHeight="1" x14ac:dyDescent="0.25">
      <c r="A230" s="7" t="s">
        <v>58</v>
      </c>
      <c r="B230" s="2" t="s">
        <v>3066</v>
      </c>
      <c r="C230" s="2" t="s">
        <v>3067</v>
      </c>
      <c r="D230" s="2" t="s">
        <v>3068</v>
      </c>
      <c r="F230" s="3" t="s">
        <v>58</v>
      </c>
      <c r="G230" s="3" t="s">
        <v>59</v>
      </c>
      <c r="H230" s="3" t="s">
        <v>58</v>
      </c>
      <c r="I230" s="3" t="s">
        <v>58</v>
      </c>
      <c r="J230" s="3" t="s">
        <v>60</v>
      </c>
      <c r="L230" s="2" t="s">
        <v>3069</v>
      </c>
      <c r="M230" s="3" t="s">
        <v>1774</v>
      </c>
      <c r="O230" s="3" t="s">
        <v>64</v>
      </c>
      <c r="P230" s="3" t="s">
        <v>412</v>
      </c>
      <c r="R230" s="3" t="s">
        <v>1093</v>
      </c>
      <c r="S230" s="4">
        <v>1</v>
      </c>
      <c r="T230" s="4">
        <v>1</v>
      </c>
      <c r="U230" s="5" t="s">
        <v>3070</v>
      </c>
      <c r="V230" s="5" t="s">
        <v>3070</v>
      </c>
      <c r="W230" s="5" t="s">
        <v>3070</v>
      </c>
      <c r="X230" s="5" t="s">
        <v>3070</v>
      </c>
      <c r="Y230" s="4">
        <v>305</v>
      </c>
      <c r="Z230" s="4">
        <v>271</v>
      </c>
      <c r="AA230" s="4">
        <v>278</v>
      </c>
      <c r="AB230" s="4">
        <v>7</v>
      </c>
      <c r="AC230" s="4">
        <v>7</v>
      </c>
      <c r="AD230" s="4">
        <v>13</v>
      </c>
      <c r="AE230" s="4">
        <v>13</v>
      </c>
      <c r="AF230" s="4">
        <v>4</v>
      </c>
      <c r="AG230" s="4">
        <v>4</v>
      </c>
      <c r="AH230" s="4">
        <v>4</v>
      </c>
      <c r="AI230" s="4">
        <v>4</v>
      </c>
      <c r="AJ230" s="4">
        <v>6</v>
      </c>
      <c r="AK230" s="4">
        <v>6</v>
      </c>
      <c r="AL230" s="4">
        <v>3</v>
      </c>
      <c r="AM230" s="4">
        <v>3</v>
      </c>
      <c r="AN230" s="4">
        <v>0</v>
      </c>
      <c r="AO230" s="4">
        <v>0</v>
      </c>
      <c r="AP230" s="3" t="s">
        <v>58</v>
      </c>
      <c r="AQ230" s="3" t="s">
        <v>58</v>
      </c>
      <c r="AS230" s="6" t="str">
        <f>HYPERLINK("https://creighton-primo.hosted.exlibrisgroup.com/primo-explore/search?tab=default_tab&amp;search_scope=EVERYTHING&amp;vid=01CRU&amp;lang=en_US&amp;offset=0&amp;query=any,contains,991005315149702656","Catalog Record")</f>
        <v>Catalog Record</v>
      </c>
      <c r="AT230" s="6" t="str">
        <f>HYPERLINK("http://www.worldcat.org/oclc/38496781","WorldCat Record")</f>
        <v>WorldCat Record</v>
      </c>
      <c r="AU230" s="3" t="s">
        <v>3071</v>
      </c>
      <c r="AV230" s="3" t="s">
        <v>3072</v>
      </c>
      <c r="AW230" s="3" t="s">
        <v>3073</v>
      </c>
      <c r="AX230" s="3" t="s">
        <v>3073</v>
      </c>
      <c r="AY230" s="3" t="s">
        <v>3074</v>
      </c>
      <c r="AZ230" s="3" t="s">
        <v>74</v>
      </c>
      <c r="BB230" s="3" t="s">
        <v>3075</v>
      </c>
      <c r="BC230" s="3" t="s">
        <v>3076</v>
      </c>
      <c r="BD230" s="3" t="s">
        <v>3077</v>
      </c>
    </row>
    <row r="231" spans="1:56" ht="57.75" customHeight="1" x14ac:dyDescent="0.25">
      <c r="A231" s="7" t="s">
        <v>58</v>
      </c>
      <c r="B231" s="2" t="s">
        <v>3078</v>
      </c>
      <c r="C231" s="2" t="s">
        <v>3079</v>
      </c>
      <c r="D231" s="2" t="s">
        <v>3080</v>
      </c>
      <c r="F231" s="3" t="s">
        <v>58</v>
      </c>
      <c r="G231" s="3" t="s">
        <v>59</v>
      </c>
      <c r="H231" s="3" t="s">
        <v>58</v>
      </c>
      <c r="I231" s="3" t="s">
        <v>58</v>
      </c>
      <c r="J231" s="3" t="s">
        <v>60</v>
      </c>
      <c r="K231" s="2" t="s">
        <v>3081</v>
      </c>
      <c r="L231" s="2" t="s">
        <v>3082</v>
      </c>
      <c r="M231" s="3" t="s">
        <v>1420</v>
      </c>
      <c r="N231" s="2" t="s">
        <v>1106</v>
      </c>
      <c r="O231" s="3" t="s">
        <v>64</v>
      </c>
      <c r="P231" s="3" t="s">
        <v>179</v>
      </c>
      <c r="Q231" s="2" t="s">
        <v>3083</v>
      </c>
      <c r="R231" s="3" t="s">
        <v>3084</v>
      </c>
      <c r="S231" s="4">
        <v>0</v>
      </c>
      <c r="T231" s="4">
        <v>0</v>
      </c>
      <c r="U231" s="5" t="s">
        <v>3085</v>
      </c>
      <c r="V231" s="5" t="s">
        <v>3085</v>
      </c>
      <c r="W231" s="5" t="s">
        <v>3086</v>
      </c>
      <c r="X231" s="5" t="s">
        <v>3086</v>
      </c>
      <c r="Y231" s="4">
        <v>461</v>
      </c>
      <c r="Z231" s="4">
        <v>364</v>
      </c>
      <c r="AA231" s="4">
        <v>559</v>
      </c>
      <c r="AB231" s="4">
        <v>3</v>
      </c>
      <c r="AC231" s="4">
        <v>3</v>
      </c>
      <c r="AD231" s="4">
        <v>20</v>
      </c>
      <c r="AE231" s="4">
        <v>28</v>
      </c>
      <c r="AF231" s="4">
        <v>8</v>
      </c>
      <c r="AG231" s="4">
        <v>13</v>
      </c>
      <c r="AH231" s="4">
        <v>7</v>
      </c>
      <c r="AI231" s="4">
        <v>8</v>
      </c>
      <c r="AJ231" s="4">
        <v>9</v>
      </c>
      <c r="AK231" s="4">
        <v>14</v>
      </c>
      <c r="AL231" s="4">
        <v>2</v>
      </c>
      <c r="AM231" s="4">
        <v>2</v>
      </c>
      <c r="AN231" s="4">
        <v>0</v>
      </c>
      <c r="AO231" s="4">
        <v>0</v>
      </c>
      <c r="AP231" s="3" t="s">
        <v>58</v>
      </c>
      <c r="AQ231" s="3" t="s">
        <v>69</v>
      </c>
      <c r="AR231" s="6" t="str">
        <f>HYPERLINK("http://catalog.hathitrust.org/Record/003148536","HathiTrust Record")</f>
        <v>HathiTrust Record</v>
      </c>
      <c r="AS231" s="6" t="str">
        <f>HYPERLINK("https://creighton-primo.hosted.exlibrisgroup.com/primo-explore/search?tab=default_tab&amp;search_scope=EVERYTHING&amp;vid=01CRU&amp;lang=en_US&amp;offset=0&amp;query=any,contains,991003207489702656","Catalog Record")</f>
        <v>Catalog Record</v>
      </c>
      <c r="AT231" s="6" t="str">
        <f>HYPERLINK("http://www.worldcat.org/oclc/35559066","WorldCat Record")</f>
        <v>WorldCat Record</v>
      </c>
      <c r="AU231" s="3" t="s">
        <v>3087</v>
      </c>
      <c r="AV231" s="3" t="s">
        <v>3088</v>
      </c>
      <c r="AW231" s="3" t="s">
        <v>3089</v>
      </c>
      <c r="AX231" s="3" t="s">
        <v>3089</v>
      </c>
      <c r="AY231" s="3" t="s">
        <v>3090</v>
      </c>
      <c r="AZ231" s="3" t="s">
        <v>74</v>
      </c>
      <c r="BB231" s="3" t="s">
        <v>3091</v>
      </c>
      <c r="BC231" s="3" t="s">
        <v>3092</v>
      </c>
      <c r="BD231" s="3" t="s">
        <v>3093</v>
      </c>
    </row>
    <row r="232" spans="1:56" ht="57.75" customHeight="1" x14ac:dyDescent="0.25">
      <c r="A232" s="7" t="s">
        <v>58</v>
      </c>
      <c r="B232" s="2" t="s">
        <v>3094</v>
      </c>
      <c r="C232" s="2" t="s">
        <v>3095</v>
      </c>
      <c r="D232" s="2" t="s">
        <v>3096</v>
      </c>
      <c r="F232" s="3" t="s">
        <v>58</v>
      </c>
      <c r="G232" s="3" t="s">
        <v>59</v>
      </c>
      <c r="H232" s="3" t="s">
        <v>58</v>
      </c>
      <c r="I232" s="3" t="s">
        <v>58</v>
      </c>
      <c r="J232" s="3" t="s">
        <v>60</v>
      </c>
      <c r="K232" s="2" t="s">
        <v>3097</v>
      </c>
      <c r="L232" s="2" t="s">
        <v>3098</v>
      </c>
      <c r="M232" s="3" t="s">
        <v>3099</v>
      </c>
      <c r="N232" s="2" t="s">
        <v>1077</v>
      </c>
      <c r="O232" s="3" t="s">
        <v>64</v>
      </c>
      <c r="P232" s="3" t="s">
        <v>65</v>
      </c>
      <c r="R232" s="3" t="s">
        <v>3084</v>
      </c>
      <c r="S232" s="4">
        <v>1</v>
      </c>
      <c r="T232" s="4">
        <v>1</v>
      </c>
      <c r="U232" s="5" t="s">
        <v>3100</v>
      </c>
      <c r="V232" s="5" t="s">
        <v>3100</v>
      </c>
      <c r="W232" s="5" t="s">
        <v>3100</v>
      </c>
      <c r="X232" s="5" t="s">
        <v>3100</v>
      </c>
      <c r="Y232" s="4">
        <v>639</v>
      </c>
      <c r="Z232" s="4">
        <v>547</v>
      </c>
      <c r="AA232" s="4">
        <v>554</v>
      </c>
      <c r="AB232" s="4">
        <v>4</v>
      </c>
      <c r="AC232" s="4">
        <v>4</v>
      </c>
      <c r="AD232" s="4">
        <v>27</v>
      </c>
      <c r="AE232" s="4">
        <v>27</v>
      </c>
      <c r="AF232" s="4">
        <v>9</v>
      </c>
      <c r="AG232" s="4">
        <v>9</v>
      </c>
      <c r="AH232" s="4">
        <v>7</v>
      </c>
      <c r="AI232" s="4">
        <v>7</v>
      </c>
      <c r="AJ232" s="4">
        <v>14</v>
      </c>
      <c r="AK232" s="4">
        <v>14</v>
      </c>
      <c r="AL232" s="4">
        <v>3</v>
      </c>
      <c r="AM232" s="4">
        <v>3</v>
      </c>
      <c r="AN232" s="4">
        <v>0</v>
      </c>
      <c r="AO232" s="4">
        <v>0</v>
      </c>
      <c r="AP232" s="3" t="s">
        <v>58</v>
      </c>
      <c r="AQ232" s="3" t="s">
        <v>69</v>
      </c>
      <c r="AR232" s="6" t="str">
        <f>HYPERLINK("http://catalog.hathitrust.org/Record/003168322","HathiTrust Record")</f>
        <v>HathiTrust Record</v>
      </c>
      <c r="AS232" s="6" t="str">
        <f>HYPERLINK("https://creighton-primo.hosted.exlibrisgroup.com/primo-explore/search?tab=default_tab&amp;search_scope=EVERYTHING&amp;vid=01CRU&amp;lang=en_US&amp;offset=0&amp;query=any,contains,991004375789702656","Catalog Record")</f>
        <v>Catalog Record</v>
      </c>
      <c r="AT232" s="6" t="str">
        <f>HYPERLINK("http://www.worldcat.org/oclc/36008629","WorldCat Record")</f>
        <v>WorldCat Record</v>
      </c>
      <c r="AU232" s="3" t="s">
        <v>3101</v>
      </c>
      <c r="AV232" s="3" t="s">
        <v>3102</v>
      </c>
      <c r="AW232" s="3" t="s">
        <v>3103</v>
      </c>
      <c r="AX232" s="3" t="s">
        <v>3103</v>
      </c>
      <c r="AY232" s="3" t="s">
        <v>3104</v>
      </c>
      <c r="AZ232" s="3" t="s">
        <v>74</v>
      </c>
      <c r="BB232" s="3" t="s">
        <v>3105</v>
      </c>
      <c r="BC232" s="3" t="s">
        <v>3106</v>
      </c>
      <c r="BD232" s="3" t="s">
        <v>3107</v>
      </c>
    </row>
    <row r="233" spans="1:56" ht="57.75" customHeight="1" x14ac:dyDescent="0.25">
      <c r="A233" s="7" t="s">
        <v>58</v>
      </c>
      <c r="B233" s="2" t="s">
        <v>3108</v>
      </c>
      <c r="C233" s="2" t="s">
        <v>3109</v>
      </c>
      <c r="D233" s="2" t="s">
        <v>3110</v>
      </c>
      <c r="F233" s="3" t="s">
        <v>58</v>
      </c>
      <c r="G233" s="3" t="s">
        <v>59</v>
      </c>
      <c r="H233" s="3" t="s">
        <v>58</v>
      </c>
      <c r="I233" s="3" t="s">
        <v>58</v>
      </c>
      <c r="J233" s="3" t="s">
        <v>60</v>
      </c>
      <c r="K233" s="2" t="s">
        <v>3111</v>
      </c>
      <c r="L233" s="2" t="s">
        <v>3112</v>
      </c>
      <c r="M233" s="3" t="s">
        <v>233</v>
      </c>
      <c r="O233" s="3" t="s">
        <v>64</v>
      </c>
      <c r="P233" s="3" t="s">
        <v>1841</v>
      </c>
      <c r="R233" s="3" t="s">
        <v>3084</v>
      </c>
      <c r="S233" s="4">
        <v>6</v>
      </c>
      <c r="T233" s="4">
        <v>6</v>
      </c>
      <c r="U233" s="5" t="s">
        <v>3113</v>
      </c>
      <c r="V233" s="5" t="s">
        <v>3113</v>
      </c>
      <c r="W233" s="5" t="s">
        <v>3114</v>
      </c>
      <c r="X233" s="5" t="s">
        <v>3114</v>
      </c>
      <c r="Y233" s="4">
        <v>821</v>
      </c>
      <c r="Z233" s="4">
        <v>602</v>
      </c>
      <c r="AA233" s="4">
        <v>739</v>
      </c>
      <c r="AB233" s="4">
        <v>5</v>
      </c>
      <c r="AC233" s="4">
        <v>6</v>
      </c>
      <c r="AD233" s="4">
        <v>35</v>
      </c>
      <c r="AE233" s="4">
        <v>43</v>
      </c>
      <c r="AF233" s="4">
        <v>15</v>
      </c>
      <c r="AG233" s="4">
        <v>19</v>
      </c>
      <c r="AH233" s="4">
        <v>7</v>
      </c>
      <c r="AI233" s="4">
        <v>9</v>
      </c>
      <c r="AJ233" s="4">
        <v>16</v>
      </c>
      <c r="AK233" s="4">
        <v>19</v>
      </c>
      <c r="AL233" s="4">
        <v>4</v>
      </c>
      <c r="AM233" s="4">
        <v>5</v>
      </c>
      <c r="AN233" s="4">
        <v>0</v>
      </c>
      <c r="AO233" s="4">
        <v>0</v>
      </c>
      <c r="AP233" s="3" t="s">
        <v>58</v>
      </c>
      <c r="AQ233" s="3" t="s">
        <v>58</v>
      </c>
      <c r="AS233" s="6" t="str">
        <f>HYPERLINK("https://creighton-primo.hosted.exlibrisgroup.com/primo-explore/search?tab=default_tab&amp;search_scope=EVERYTHING&amp;vid=01CRU&amp;lang=en_US&amp;offset=0&amp;query=any,contains,991002238269702656","Catalog Record")</f>
        <v>Catalog Record</v>
      </c>
      <c r="AT233" s="6" t="str">
        <f>HYPERLINK("http://www.worldcat.org/oclc/28854526","WorldCat Record")</f>
        <v>WorldCat Record</v>
      </c>
      <c r="AU233" s="3" t="s">
        <v>3115</v>
      </c>
      <c r="AV233" s="3" t="s">
        <v>3116</v>
      </c>
      <c r="AW233" s="3" t="s">
        <v>3117</v>
      </c>
      <c r="AX233" s="3" t="s">
        <v>3117</v>
      </c>
      <c r="AY233" s="3" t="s">
        <v>3118</v>
      </c>
      <c r="AZ233" s="3" t="s">
        <v>74</v>
      </c>
      <c r="BB233" s="3" t="s">
        <v>3119</v>
      </c>
      <c r="BC233" s="3" t="s">
        <v>3120</v>
      </c>
      <c r="BD233" s="3" t="s">
        <v>3121</v>
      </c>
    </row>
    <row r="234" spans="1:56" ht="57.75" customHeight="1" x14ac:dyDescent="0.25">
      <c r="A234" s="7" t="s">
        <v>58</v>
      </c>
      <c r="B234" s="2" t="s">
        <v>3122</v>
      </c>
      <c r="C234" s="2" t="s">
        <v>3123</v>
      </c>
      <c r="D234" s="2" t="s">
        <v>3124</v>
      </c>
      <c r="F234" s="3" t="s">
        <v>58</v>
      </c>
      <c r="G234" s="3" t="s">
        <v>59</v>
      </c>
      <c r="H234" s="3" t="s">
        <v>58</v>
      </c>
      <c r="I234" s="3" t="s">
        <v>58</v>
      </c>
      <c r="J234" s="3" t="s">
        <v>60</v>
      </c>
      <c r="K234" s="2" t="s">
        <v>3125</v>
      </c>
      <c r="L234" s="2" t="s">
        <v>3126</v>
      </c>
      <c r="M234" s="3" t="s">
        <v>1774</v>
      </c>
      <c r="O234" s="3" t="s">
        <v>64</v>
      </c>
      <c r="P234" s="3" t="s">
        <v>65</v>
      </c>
      <c r="Q234" s="2" t="s">
        <v>3127</v>
      </c>
      <c r="R234" s="3" t="s">
        <v>3084</v>
      </c>
      <c r="S234" s="4">
        <v>4</v>
      </c>
      <c r="T234" s="4">
        <v>4</v>
      </c>
      <c r="U234" s="5" t="s">
        <v>3128</v>
      </c>
      <c r="V234" s="5" t="s">
        <v>3128</v>
      </c>
      <c r="W234" s="5" t="s">
        <v>3129</v>
      </c>
      <c r="X234" s="5" t="s">
        <v>3129</v>
      </c>
      <c r="Y234" s="4">
        <v>449</v>
      </c>
      <c r="Z234" s="4">
        <v>398</v>
      </c>
      <c r="AA234" s="4">
        <v>402</v>
      </c>
      <c r="AB234" s="4">
        <v>3</v>
      </c>
      <c r="AC234" s="4">
        <v>3</v>
      </c>
      <c r="AD234" s="4">
        <v>18</v>
      </c>
      <c r="AE234" s="4">
        <v>18</v>
      </c>
      <c r="AF234" s="4">
        <v>6</v>
      </c>
      <c r="AG234" s="4">
        <v>6</v>
      </c>
      <c r="AH234" s="4">
        <v>4</v>
      </c>
      <c r="AI234" s="4">
        <v>4</v>
      </c>
      <c r="AJ234" s="4">
        <v>9</v>
      </c>
      <c r="AK234" s="4">
        <v>9</v>
      </c>
      <c r="AL234" s="4">
        <v>2</v>
      </c>
      <c r="AM234" s="4">
        <v>2</v>
      </c>
      <c r="AN234" s="4">
        <v>0</v>
      </c>
      <c r="AO234" s="4">
        <v>0</v>
      </c>
      <c r="AP234" s="3" t="s">
        <v>58</v>
      </c>
      <c r="AQ234" s="3" t="s">
        <v>58</v>
      </c>
      <c r="AS234" s="6" t="str">
        <f>HYPERLINK("https://creighton-primo.hosted.exlibrisgroup.com/primo-explore/search?tab=default_tab&amp;search_scope=EVERYTHING&amp;vid=01CRU&amp;lang=en_US&amp;offset=0&amp;query=any,contains,991002525569702656","Catalog Record")</f>
        <v>Catalog Record</v>
      </c>
      <c r="AT234" s="6" t="str">
        <f>HYPERLINK("http://www.worldcat.org/oclc/32853062","WorldCat Record")</f>
        <v>WorldCat Record</v>
      </c>
      <c r="AU234" s="3" t="s">
        <v>3130</v>
      </c>
      <c r="AV234" s="3" t="s">
        <v>3131</v>
      </c>
      <c r="AW234" s="3" t="s">
        <v>3132</v>
      </c>
      <c r="AX234" s="3" t="s">
        <v>3132</v>
      </c>
      <c r="AY234" s="3" t="s">
        <v>3133</v>
      </c>
      <c r="AZ234" s="3" t="s">
        <v>74</v>
      </c>
      <c r="BB234" s="3" t="s">
        <v>3134</v>
      </c>
      <c r="BC234" s="3" t="s">
        <v>3135</v>
      </c>
      <c r="BD234" s="3" t="s">
        <v>3136</v>
      </c>
    </row>
    <row r="235" spans="1:56" ht="57.75" customHeight="1" x14ac:dyDescent="0.25">
      <c r="A235" s="7" t="s">
        <v>58</v>
      </c>
      <c r="B235" s="2" t="s">
        <v>3137</v>
      </c>
      <c r="C235" s="2" t="s">
        <v>3138</v>
      </c>
      <c r="D235" s="2" t="s">
        <v>3139</v>
      </c>
      <c r="F235" s="3" t="s">
        <v>58</v>
      </c>
      <c r="G235" s="3" t="s">
        <v>59</v>
      </c>
      <c r="H235" s="3" t="s">
        <v>58</v>
      </c>
      <c r="I235" s="3" t="s">
        <v>58</v>
      </c>
      <c r="J235" s="3" t="s">
        <v>60</v>
      </c>
      <c r="L235" s="2" t="s">
        <v>3140</v>
      </c>
      <c r="M235" s="3" t="s">
        <v>233</v>
      </c>
      <c r="O235" s="3" t="s">
        <v>64</v>
      </c>
      <c r="P235" s="3" t="s">
        <v>65</v>
      </c>
      <c r="R235" s="3" t="s">
        <v>3084</v>
      </c>
      <c r="S235" s="4">
        <v>12</v>
      </c>
      <c r="T235" s="4">
        <v>12</v>
      </c>
      <c r="U235" s="5" t="s">
        <v>3141</v>
      </c>
      <c r="V235" s="5" t="s">
        <v>3141</v>
      </c>
      <c r="W235" s="5" t="s">
        <v>3142</v>
      </c>
      <c r="X235" s="5" t="s">
        <v>3142</v>
      </c>
      <c r="Y235" s="4">
        <v>597</v>
      </c>
      <c r="Z235" s="4">
        <v>459</v>
      </c>
      <c r="AA235" s="4">
        <v>522</v>
      </c>
      <c r="AB235" s="4">
        <v>6</v>
      </c>
      <c r="AC235" s="4">
        <v>6</v>
      </c>
      <c r="AD235" s="4">
        <v>26</v>
      </c>
      <c r="AE235" s="4">
        <v>27</v>
      </c>
      <c r="AF235" s="4">
        <v>7</v>
      </c>
      <c r="AG235" s="4">
        <v>7</v>
      </c>
      <c r="AH235" s="4">
        <v>7</v>
      </c>
      <c r="AI235" s="4">
        <v>8</v>
      </c>
      <c r="AJ235" s="4">
        <v>11</v>
      </c>
      <c r="AK235" s="4">
        <v>12</v>
      </c>
      <c r="AL235" s="4">
        <v>5</v>
      </c>
      <c r="AM235" s="4">
        <v>5</v>
      </c>
      <c r="AN235" s="4">
        <v>0</v>
      </c>
      <c r="AO235" s="4">
        <v>0</v>
      </c>
      <c r="AP235" s="3" t="s">
        <v>58</v>
      </c>
      <c r="AQ235" s="3" t="s">
        <v>69</v>
      </c>
      <c r="AR235" s="6" t="str">
        <f>HYPERLINK("http://catalog.hathitrust.org/Record/002816365","HathiTrust Record")</f>
        <v>HathiTrust Record</v>
      </c>
      <c r="AS235" s="6" t="str">
        <f>HYPERLINK("https://creighton-primo.hosted.exlibrisgroup.com/primo-explore/search?tab=default_tab&amp;search_scope=EVERYTHING&amp;vid=01CRU&amp;lang=en_US&amp;offset=0&amp;query=any,contains,991005417699702656","Catalog Record")</f>
        <v>Catalog Record</v>
      </c>
      <c r="AT235" s="6" t="str">
        <f>HYPERLINK("http://www.worldcat.org/oclc/28890180","WorldCat Record")</f>
        <v>WorldCat Record</v>
      </c>
      <c r="AU235" s="3" t="s">
        <v>3143</v>
      </c>
      <c r="AV235" s="3" t="s">
        <v>3144</v>
      </c>
      <c r="AW235" s="3" t="s">
        <v>3145</v>
      </c>
      <c r="AX235" s="3" t="s">
        <v>3145</v>
      </c>
      <c r="AY235" s="3" t="s">
        <v>3146</v>
      </c>
      <c r="AZ235" s="3" t="s">
        <v>74</v>
      </c>
      <c r="BB235" s="3" t="s">
        <v>3147</v>
      </c>
      <c r="BC235" s="3" t="s">
        <v>3148</v>
      </c>
      <c r="BD235" s="3" t="s">
        <v>3149</v>
      </c>
    </row>
    <row r="236" spans="1:56" ht="57.75" customHeight="1" x14ac:dyDescent="0.25">
      <c r="A236" s="7" t="s">
        <v>58</v>
      </c>
      <c r="B236" s="2" t="s">
        <v>3150</v>
      </c>
      <c r="C236" s="2" t="s">
        <v>3151</v>
      </c>
      <c r="D236" s="2" t="s">
        <v>3152</v>
      </c>
      <c r="F236" s="3" t="s">
        <v>58</v>
      </c>
      <c r="G236" s="3" t="s">
        <v>59</v>
      </c>
      <c r="H236" s="3" t="s">
        <v>58</v>
      </c>
      <c r="I236" s="3" t="s">
        <v>58</v>
      </c>
      <c r="J236" s="3" t="s">
        <v>60</v>
      </c>
      <c r="L236" s="2" t="s">
        <v>3153</v>
      </c>
      <c r="M236" s="3" t="s">
        <v>83</v>
      </c>
      <c r="N236" s="2" t="s">
        <v>606</v>
      </c>
      <c r="O236" s="3" t="s">
        <v>64</v>
      </c>
      <c r="P236" s="3" t="s">
        <v>65</v>
      </c>
      <c r="R236" s="3" t="s">
        <v>3084</v>
      </c>
      <c r="S236" s="4">
        <v>7</v>
      </c>
      <c r="T236" s="4">
        <v>7</v>
      </c>
      <c r="U236" s="5" t="s">
        <v>3154</v>
      </c>
      <c r="V236" s="5" t="s">
        <v>3154</v>
      </c>
      <c r="W236" s="5" t="s">
        <v>3155</v>
      </c>
      <c r="X236" s="5" t="s">
        <v>3155</v>
      </c>
      <c r="Y236" s="4">
        <v>793</v>
      </c>
      <c r="Z236" s="4">
        <v>659</v>
      </c>
      <c r="AA236" s="4">
        <v>665</v>
      </c>
      <c r="AB236" s="4">
        <v>3</v>
      </c>
      <c r="AC236" s="4">
        <v>3</v>
      </c>
      <c r="AD236" s="4">
        <v>30</v>
      </c>
      <c r="AE236" s="4">
        <v>30</v>
      </c>
      <c r="AF236" s="4">
        <v>12</v>
      </c>
      <c r="AG236" s="4">
        <v>12</v>
      </c>
      <c r="AH236" s="4">
        <v>8</v>
      </c>
      <c r="AI236" s="4">
        <v>8</v>
      </c>
      <c r="AJ236" s="4">
        <v>14</v>
      </c>
      <c r="AK236" s="4">
        <v>14</v>
      </c>
      <c r="AL236" s="4">
        <v>0</v>
      </c>
      <c r="AM236" s="4">
        <v>0</v>
      </c>
      <c r="AN236" s="4">
        <v>3</v>
      </c>
      <c r="AO236" s="4">
        <v>3</v>
      </c>
      <c r="AP236" s="3" t="s">
        <v>58</v>
      </c>
      <c r="AQ236" s="3" t="s">
        <v>58</v>
      </c>
      <c r="AS236" s="6" t="str">
        <f>HYPERLINK("https://creighton-primo.hosted.exlibrisgroup.com/primo-explore/search?tab=default_tab&amp;search_scope=EVERYTHING&amp;vid=01CRU&amp;lang=en_US&amp;offset=0&amp;query=any,contains,991002078839702656","Catalog Record")</f>
        <v>Catalog Record</v>
      </c>
      <c r="AT236" s="6" t="str">
        <f>HYPERLINK("http://www.worldcat.org/oclc/26652907","WorldCat Record")</f>
        <v>WorldCat Record</v>
      </c>
      <c r="AU236" s="3" t="s">
        <v>3156</v>
      </c>
      <c r="AV236" s="3" t="s">
        <v>3157</v>
      </c>
      <c r="AW236" s="3" t="s">
        <v>3158</v>
      </c>
      <c r="AX236" s="3" t="s">
        <v>3158</v>
      </c>
      <c r="AY236" s="3" t="s">
        <v>3159</v>
      </c>
      <c r="AZ236" s="3" t="s">
        <v>74</v>
      </c>
      <c r="BB236" s="3" t="s">
        <v>3160</v>
      </c>
      <c r="BC236" s="3" t="s">
        <v>3161</v>
      </c>
      <c r="BD236" s="3" t="s">
        <v>3162</v>
      </c>
    </row>
    <row r="237" spans="1:56" ht="57.75" customHeight="1" x14ac:dyDescent="0.25">
      <c r="A237" s="7" t="s">
        <v>58</v>
      </c>
      <c r="B237" s="2" t="s">
        <v>3163</v>
      </c>
      <c r="C237" s="2" t="s">
        <v>3164</v>
      </c>
      <c r="D237" s="2" t="s">
        <v>3165</v>
      </c>
      <c r="F237" s="3" t="s">
        <v>58</v>
      </c>
      <c r="G237" s="3" t="s">
        <v>59</v>
      </c>
      <c r="H237" s="3" t="s">
        <v>58</v>
      </c>
      <c r="I237" s="3" t="s">
        <v>58</v>
      </c>
      <c r="J237" s="3" t="s">
        <v>60</v>
      </c>
      <c r="L237" s="2" t="s">
        <v>3166</v>
      </c>
      <c r="M237" s="3" t="s">
        <v>138</v>
      </c>
      <c r="O237" s="3" t="s">
        <v>64</v>
      </c>
      <c r="P237" s="3" t="s">
        <v>65</v>
      </c>
      <c r="Q237" s="2" t="s">
        <v>3167</v>
      </c>
      <c r="R237" s="3" t="s">
        <v>3084</v>
      </c>
      <c r="S237" s="4">
        <v>10</v>
      </c>
      <c r="T237" s="4">
        <v>10</v>
      </c>
      <c r="U237" s="5" t="s">
        <v>3168</v>
      </c>
      <c r="V237" s="5" t="s">
        <v>3168</v>
      </c>
      <c r="W237" s="5" t="s">
        <v>3169</v>
      </c>
      <c r="X237" s="5" t="s">
        <v>3169</v>
      </c>
      <c r="Y237" s="4">
        <v>945</v>
      </c>
      <c r="Z237" s="4">
        <v>850</v>
      </c>
      <c r="AA237" s="4">
        <v>879</v>
      </c>
      <c r="AB237" s="4">
        <v>6</v>
      </c>
      <c r="AC237" s="4">
        <v>6</v>
      </c>
      <c r="AD237" s="4">
        <v>31</v>
      </c>
      <c r="AE237" s="4">
        <v>31</v>
      </c>
      <c r="AF237" s="4">
        <v>11</v>
      </c>
      <c r="AG237" s="4">
        <v>11</v>
      </c>
      <c r="AH237" s="4">
        <v>8</v>
      </c>
      <c r="AI237" s="4">
        <v>8</v>
      </c>
      <c r="AJ237" s="4">
        <v>14</v>
      </c>
      <c r="AK237" s="4">
        <v>14</v>
      </c>
      <c r="AL237" s="4">
        <v>5</v>
      </c>
      <c r="AM237" s="4">
        <v>5</v>
      </c>
      <c r="AN237" s="4">
        <v>0</v>
      </c>
      <c r="AO237" s="4">
        <v>0</v>
      </c>
      <c r="AP237" s="3" t="s">
        <v>58</v>
      </c>
      <c r="AQ237" s="3" t="s">
        <v>69</v>
      </c>
      <c r="AR237" s="6" t="str">
        <f>HYPERLINK("http://catalog.hathitrust.org/Record/000040069","HathiTrust Record")</f>
        <v>HathiTrust Record</v>
      </c>
      <c r="AS237" s="6" t="str">
        <f>HYPERLINK("https://creighton-primo.hosted.exlibrisgroup.com/primo-explore/search?tab=default_tab&amp;search_scope=EVERYTHING&amp;vid=01CRU&amp;lang=en_US&amp;offset=0&amp;query=any,contains,991004790369702656","Catalog Record")</f>
        <v>Catalog Record</v>
      </c>
      <c r="AT237" s="6" t="str">
        <f>HYPERLINK("http://www.worldcat.org/oclc/5170930","WorldCat Record")</f>
        <v>WorldCat Record</v>
      </c>
      <c r="AU237" s="3" t="s">
        <v>3170</v>
      </c>
      <c r="AV237" s="3" t="s">
        <v>3171</v>
      </c>
      <c r="AW237" s="3" t="s">
        <v>3172</v>
      </c>
      <c r="AX237" s="3" t="s">
        <v>3172</v>
      </c>
      <c r="AY237" s="3" t="s">
        <v>3173</v>
      </c>
      <c r="AZ237" s="3" t="s">
        <v>74</v>
      </c>
      <c r="BB237" s="3" t="s">
        <v>3174</v>
      </c>
      <c r="BC237" s="3" t="s">
        <v>3175</v>
      </c>
      <c r="BD237" s="3" t="s">
        <v>3176</v>
      </c>
    </row>
    <row r="238" spans="1:56" ht="57.75" customHeight="1" x14ac:dyDescent="0.25">
      <c r="A238" s="7" t="s">
        <v>58</v>
      </c>
      <c r="B238" s="2" t="s">
        <v>3177</v>
      </c>
      <c r="C238" s="2" t="s">
        <v>3178</v>
      </c>
      <c r="D238" s="2" t="s">
        <v>3179</v>
      </c>
      <c r="F238" s="3" t="s">
        <v>58</v>
      </c>
      <c r="G238" s="3" t="s">
        <v>59</v>
      </c>
      <c r="H238" s="3" t="s">
        <v>58</v>
      </c>
      <c r="I238" s="3" t="s">
        <v>58</v>
      </c>
      <c r="J238" s="3" t="s">
        <v>60</v>
      </c>
      <c r="K238" s="2" t="s">
        <v>3180</v>
      </c>
      <c r="L238" s="2" t="s">
        <v>3181</v>
      </c>
      <c r="M238" s="3" t="s">
        <v>277</v>
      </c>
      <c r="O238" s="3" t="s">
        <v>64</v>
      </c>
      <c r="P238" s="3" t="s">
        <v>1759</v>
      </c>
      <c r="Q238" s="2" t="s">
        <v>3182</v>
      </c>
      <c r="R238" s="3" t="s">
        <v>3084</v>
      </c>
      <c r="S238" s="4">
        <v>8</v>
      </c>
      <c r="T238" s="4">
        <v>8</v>
      </c>
      <c r="U238" s="5" t="s">
        <v>3183</v>
      </c>
      <c r="V238" s="5" t="s">
        <v>3183</v>
      </c>
      <c r="W238" s="5" t="s">
        <v>3184</v>
      </c>
      <c r="X238" s="5" t="s">
        <v>3184</v>
      </c>
      <c r="Y238" s="4">
        <v>443</v>
      </c>
      <c r="Z238" s="4">
        <v>372</v>
      </c>
      <c r="AA238" s="4">
        <v>382</v>
      </c>
      <c r="AB238" s="4">
        <v>5</v>
      </c>
      <c r="AC238" s="4">
        <v>5</v>
      </c>
      <c r="AD238" s="4">
        <v>14</v>
      </c>
      <c r="AE238" s="4">
        <v>14</v>
      </c>
      <c r="AF238" s="4">
        <v>4</v>
      </c>
      <c r="AG238" s="4">
        <v>4</v>
      </c>
      <c r="AH238" s="4">
        <v>2</v>
      </c>
      <c r="AI238" s="4">
        <v>2</v>
      </c>
      <c r="AJ238" s="4">
        <v>7</v>
      </c>
      <c r="AK238" s="4">
        <v>7</v>
      </c>
      <c r="AL238" s="4">
        <v>3</v>
      </c>
      <c r="AM238" s="4">
        <v>3</v>
      </c>
      <c r="AN238" s="4">
        <v>0</v>
      </c>
      <c r="AO238" s="4">
        <v>0</v>
      </c>
      <c r="AP238" s="3" t="s">
        <v>58</v>
      </c>
      <c r="AQ238" s="3" t="s">
        <v>69</v>
      </c>
      <c r="AR238" s="6" t="str">
        <f>HYPERLINK("http://catalog.hathitrust.org/Record/000866708","HathiTrust Record")</f>
        <v>HathiTrust Record</v>
      </c>
      <c r="AS238" s="6" t="str">
        <f>HYPERLINK("https://creighton-primo.hosted.exlibrisgroup.com/primo-explore/search?tab=default_tab&amp;search_scope=EVERYTHING&amp;vid=01CRU&amp;lang=en_US&amp;offset=0&amp;query=any,contains,991001153859702656","Catalog Record")</f>
        <v>Catalog Record</v>
      </c>
      <c r="AT238" s="6" t="str">
        <f>HYPERLINK("http://www.worldcat.org/oclc/16832766","WorldCat Record")</f>
        <v>WorldCat Record</v>
      </c>
      <c r="AU238" s="3" t="s">
        <v>3185</v>
      </c>
      <c r="AV238" s="3" t="s">
        <v>3186</v>
      </c>
      <c r="AW238" s="3" t="s">
        <v>3187</v>
      </c>
      <c r="AX238" s="3" t="s">
        <v>3187</v>
      </c>
      <c r="AY238" s="3" t="s">
        <v>3188</v>
      </c>
      <c r="AZ238" s="3" t="s">
        <v>74</v>
      </c>
      <c r="BB238" s="3" t="s">
        <v>3189</v>
      </c>
      <c r="BC238" s="3" t="s">
        <v>3190</v>
      </c>
      <c r="BD238" s="3" t="s">
        <v>3191</v>
      </c>
    </row>
    <row r="239" spans="1:56" ht="57.75" customHeight="1" x14ac:dyDescent="0.25">
      <c r="A239" s="7" t="s">
        <v>58</v>
      </c>
      <c r="B239" s="2" t="s">
        <v>3192</v>
      </c>
      <c r="C239" s="2" t="s">
        <v>3193</v>
      </c>
      <c r="D239" s="2" t="s">
        <v>3194</v>
      </c>
      <c r="F239" s="3" t="s">
        <v>58</v>
      </c>
      <c r="G239" s="3" t="s">
        <v>59</v>
      </c>
      <c r="H239" s="3" t="s">
        <v>58</v>
      </c>
      <c r="I239" s="3" t="s">
        <v>58</v>
      </c>
      <c r="J239" s="3" t="s">
        <v>60</v>
      </c>
      <c r="L239" s="2" t="s">
        <v>3195</v>
      </c>
      <c r="M239" s="3" t="s">
        <v>83</v>
      </c>
      <c r="O239" s="3" t="s">
        <v>64</v>
      </c>
      <c r="P239" s="3" t="s">
        <v>179</v>
      </c>
      <c r="Q239" s="2" t="s">
        <v>3196</v>
      </c>
      <c r="R239" s="3" t="s">
        <v>3084</v>
      </c>
      <c r="S239" s="4">
        <v>15</v>
      </c>
      <c r="T239" s="4">
        <v>15</v>
      </c>
      <c r="U239" s="5" t="s">
        <v>3197</v>
      </c>
      <c r="V239" s="5" t="s">
        <v>3197</v>
      </c>
      <c r="W239" s="5" t="s">
        <v>3198</v>
      </c>
      <c r="X239" s="5" t="s">
        <v>3198</v>
      </c>
      <c r="Y239" s="4">
        <v>388</v>
      </c>
      <c r="Z239" s="4">
        <v>333</v>
      </c>
      <c r="AA239" s="4">
        <v>335</v>
      </c>
      <c r="AB239" s="4">
        <v>4</v>
      </c>
      <c r="AC239" s="4">
        <v>4</v>
      </c>
      <c r="AD239" s="4">
        <v>18</v>
      </c>
      <c r="AE239" s="4">
        <v>18</v>
      </c>
      <c r="AF239" s="4">
        <v>6</v>
      </c>
      <c r="AG239" s="4">
        <v>6</v>
      </c>
      <c r="AH239" s="4">
        <v>6</v>
      </c>
      <c r="AI239" s="4">
        <v>6</v>
      </c>
      <c r="AJ239" s="4">
        <v>8</v>
      </c>
      <c r="AK239" s="4">
        <v>8</v>
      </c>
      <c r="AL239" s="4">
        <v>3</v>
      </c>
      <c r="AM239" s="4">
        <v>3</v>
      </c>
      <c r="AN239" s="4">
        <v>0</v>
      </c>
      <c r="AO239" s="4">
        <v>0</v>
      </c>
      <c r="AP239" s="3" t="s">
        <v>58</v>
      </c>
      <c r="AQ239" s="3" t="s">
        <v>69</v>
      </c>
      <c r="AR239" s="6" t="str">
        <f>HYPERLINK("http://catalog.hathitrust.org/Record/002624558","HathiTrust Record")</f>
        <v>HathiTrust Record</v>
      </c>
      <c r="AS239" s="6" t="str">
        <f>HYPERLINK("https://creighton-primo.hosted.exlibrisgroup.com/primo-explore/search?tab=default_tab&amp;search_scope=EVERYTHING&amp;vid=01CRU&amp;lang=en_US&amp;offset=0&amp;query=any,contains,991001880299702656","Catalog Record")</f>
        <v>Catalog Record</v>
      </c>
      <c r="AT239" s="6" t="str">
        <f>HYPERLINK("http://www.worldcat.org/oclc/23731474","WorldCat Record")</f>
        <v>WorldCat Record</v>
      </c>
      <c r="AU239" s="3" t="s">
        <v>3199</v>
      </c>
      <c r="AV239" s="3" t="s">
        <v>3200</v>
      </c>
      <c r="AW239" s="3" t="s">
        <v>3201</v>
      </c>
      <c r="AX239" s="3" t="s">
        <v>3201</v>
      </c>
      <c r="AY239" s="3" t="s">
        <v>3202</v>
      </c>
      <c r="AZ239" s="3" t="s">
        <v>74</v>
      </c>
      <c r="BB239" s="3" t="s">
        <v>3203</v>
      </c>
      <c r="BC239" s="3" t="s">
        <v>3204</v>
      </c>
      <c r="BD239" s="3" t="s">
        <v>3205</v>
      </c>
    </row>
    <row r="240" spans="1:56" ht="57.75" customHeight="1" x14ac:dyDescent="0.25">
      <c r="A240" s="7" t="s">
        <v>58</v>
      </c>
      <c r="B240" s="2" t="s">
        <v>3206</v>
      </c>
      <c r="C240" s="2" t="s">
        <v>3207</v>
      </c>
      <c r="D240" s="2" t="s">
        <v>3208</v>
      </c>
      <c r="F240" s="3" t="s">
        <v>58</v>
      </c>
      <c r="G240" s="3" t="s">
        <v>59</v>
      </c>
      <c r="H240" s="3" t="s">
        <v>58</v>
      </c>
      <c r="I240" s="3" t="s">
        <v>58</v>
      </c>
      <c r="J240" s="3" t="s">
        <v>60</v>
      </c>
      <c r="K240" s="2" t="s">
        <v>3209</v>
      </c>
      <c r="L240" s="2" t="s">
        <v>3210</v>
      </c>
      <c r="M240" s="3" t="s">
        <v>1420</v>
      </c>
      <c r="O240" s="3" t="s">
        <v>64</v>
      </c>
      <c r="P240" s="3" t="s">
        <v>412</v>
      </c>
      <c r="R240" s="3" t="s">
        <v>3084</v>
      </c>
      <c r="S240" s="4">
        <v>22</v>
      </c>
      <c r="T240" s="4">
        <v>22</v>
      </c>
      <c r="U240" s="5" t="s">
        <v>3211</v>
      </c>
      <c r="V240" s="5" t="s">
        <v>3211</v>
      </c>
      <c r="W240" s="5" t="s">
        <v>3212</v>
      </c>
      <c r="X240" s="5" t="s">
        <v>3212</v>
      </c>
      <c r="Y240" s="4">
        <v>572</v>
      </c>
      <c r="Z240" s="4">
        <v>391</v>
      </c>
      <c r="AA240" s="4">
        <v>392</v>
      </c>
      <c r="AB240" s="4">
        <v>2</v>
      </c>
      <c r="AC240" s="4">
        <v>2</v>
      </c>
      <c r="AD240" s="4">
        <v>22</v>
      </c>
      <c r="AE240" s="4">
        <v>22</v>
      </c>
      <c r="AF240" s="4">
        <v>8</v>
      </c>
      <c r="AG240" s="4">
        <v>8</v>
      </c>
      <c r="AH240" s="4">
        <v>6</v>
      </c>
      <c r="AI240" s="4">
        <v>6</v>
      </c>
      <c r="AJ240" s="4">
        <v>13</v>
      </c>
      <c r="AK240" s="4">
        <v>13</v>
      </c>
      <c r="AL240" s="4">
        <v>1</v>
      </c>
      <c r="AM240" s="4">
        <v>1</v>
      </c>
      <c r="AN240" s="4">
        <v>0</v>
      </c>
      <c r="AO240" s="4">
        <v>0</v>
      </c>
      <c r="AP240" s="3" t="s">
        <v>58</v>
      </c>
      <c r="AQ240" s="3" t="s">
        <v>58</v>
      </c>
      <c r="AS240" s="6" t="str">
        <f>HYPERLINK("https://creighton-primo.hosted.exlibrisgroup.com/primo-explore/search?tab=default_tab&amp;search_scope=EVERYTHING&amp;vid=01CRU&amp;lang=en_US&amp;offset=0&amp;query=any,contains,991002825059702656","Catalog Record")</f>
        <v>Catalog Record</v>
      </c>
      <c r="AT240" s="6" t="str">
        <f>HYPERLINK("http://www.worldcat.org/oclc/37195011","WorldCat Record")</f>
        <v>WorldCat Record</v>
      </c>
      <c r="AU240" s="3" t="s">
        <v>3213</v>
      </c>
      <c r="AV240" s="3" t="s">
        <v>3214</v>
      </c>
      <c r="AW240" s="3" t="s">
        <v>3215</v>
      </c>
      <c r="AX240" s="3" t="s">
        <v>3215</v>
      </c>
      <c r="AY240" s="3" t="s">
        <v>3216</v>
      </c>
      <c r="AZ240" s="3" t="s">
        <v>74</v>
      </c>
      <c r="BB240" s="3" t="s">
        <v>3217</v>
      </c>
      <c r="BC240" s="3" t="s">
        <v>3218</v>
      </c>
      <c r="BD240" s="3" t="s">
        <v>3219</v>
      </c>
    </row>
    <row r="241" spans="1:56" ht="57.75" customHeight="1" x14ac:dyDescent="0.25">
      <c r="A241" s="7" t="s">
        <v>58</v>
      </c>
      <c r="B241" s="2" t="s">
        <v>3220</v>
      </c>
      <c r="C241" s="2" t="s">
        <v>3221</v>
      </c>
      <c r="D241" s="2" t="s">
        <v>3222</v>
      </c>
      <c r="F241" s="3" t="s">
        <v>58</v>
      </c>
      <c r="G241" s="3" t="s">
        <v>59</v>
      </c>
      <c r="H241" s="3" t="s">
        <v>58</v>
      </c>
      <c r="I241" s="3" t="s">
        <v>58</v>
      </c>
      <c r="J241" s="3" t="s">
        <v>60</v>
      </c>
      <c r="L241" s="2" t="s">
        <v>3223</v>
      </c>
      <c r="M241" s="3" t="s">
        <v>636</v>
      </c>
      <c r="O241" s="3" t="s">
        <v>64</v>
      </c>
      <c r="P241" s="3" t="s">
        <v>65</v>
      </c>
      <c r="R241" s="3" t="s">
        <v>3084</v>
      </c>
      <c r="S241" s="4">
        <v>1</v>
      </c>
      <c r="T241" s="4">
        <v>1</v>
      </c>
      <c r="U241" s="5" t="s">
        <v>2091</v>
      </c>
      <c r="V241" s="5" t="s">
        <v>2091</v>
      </c>
      <c r="W241" s="5" t="s">
        <v>2091</v>
      </c>
      <c r="X241" s="5" t="s">
        <v>2091</v>
      </c>
      <c r="Y241" s="4">
        <v>451</v>
      </c>
      <c r="Z241" s="4">
        <v>411</v>
      </c>
      <c r="AA241" s="4">
        <v>411</v>
      </c>
      <c r="AB241" s="4">
        <v>4</v>
      </c>
      <c r="AC241" s="4">
        <v>4</v>
      </c>
      <c r="AD241" s="4">
        <v>17</v>
      </c>
      <c r="AE241" s="4">
        <v>17</v>
      </c>
      <c r="AF241" s="4">
        <v>9</v>
      </c>
      <c r="AG241" s="4">
        <v>9</v>
      </c>
      <c r="AH241" s="4">
        <v>2</v>
      </c>
      <c r="AI241" s="4">
        <v>2</v>
      </c>
      <c r="AJ241" s="4">
        <v>6</v>
      </c>
      <c r="AK241" s="4">
        <v>6</v>
      </c>
      <c r="AL241" s="4">
        <v>3</v>
      </c>
      <c r="AM241" s="4">
        <v>3</v>
      </c>
      <c r="AN241" s="4">
        <v>0</v>
      </c>
      <c r="AO241" s="4">
        <v>0</v>
      </c>
      <c r="AP241" s="3" t="s">
        <v>58</v>
      </c>
      <c r="AQ241" s="3" t="s">
        <v>58</v>
      </c>
      <c r="AS241" s="6" t="str">
        <f>HYPERLINK("https://creighton-primo.hosted.exlibrisgroup.com/primo-explore/search?tab=default_tab&amp;search_scope=EVERYTHING&amp;vid=01CRU&amp;lang=en_US&amp;offset=0&amp;query=any,contains,991003480679702656","Catalog Record")</f>
        <v>Catalog Record</v>
      </c>
      <c r="AT241" s="6" t="str">
        <f>HYPERLINK("http://www.worldcat.org/oclc/45058793","WorldCat Record")</f>
        <v>WorldCat Record</v>
      </c>
      <c r="AU241" s="3" t="s">
        <v>3224</v>
      </c>
      <c r="AV241" s="3" t="s">
        <v>3225</v>
      </c>
      <c r="AW241" s="3" t="s">
        <v>3226</v>
      </c>
      <c r="AX241" s="3" t="s">
        <v>3226</v>
      </c>
      <c r="AY241" s="3" t="s">
        <v>3227</v>
      </c>
      <c r="AZ241" s="3" t="s">
        <v>74</v>
      </c>
      <c r="BB241" s="3" t="s">
        <v>3228</v>
      </c>
      <c r="BC241" s="3" t="s">
        <v>3229</v>
      </c>
      <c r="BD241" s="3" t="s">
        <v>3230</v>
      </c>
    </row>
    <row r="242" spans="1:56" ht="57.75" customHeight="1" x14ac:dyDescent="0.25">
      <c r="A242" s="7" t="s">
        <v>58</v>
      </c>
      <c r="B242" s="2" t="s">
        <v>3231</v>
      </c>
      <c r="C242" s="2" t="s">
        <v>3232</v>
      </c>
      <c r="D242" s="2" t="s">
        <v>3233</v>
      </c>
      <c r="F242" s="3" t="s">
        <v>58</v>
      </c>
      <c r="G242" s="3" t="s">
        <v>59</v>
      </c>
      <c r="H242" s="3" t="s">
        <v>58</v>
      </c>
      <c r="I242" s="3" t="s">
        <v>58</v>
      </c>
      <c r="J242" s="3" t="s">
        <v>60</v>
      </c>
      <c r="K242" s="2" t="s">
        <v>3234</v>
      </c>
      <c r="L242" s="2" t="s">
        <v>3235</v>
      </c>
      <c r="M242" s="3" t="s">
        <v>605</v>
      </c>
      <c r="O242" s="3" t="s">
        <v>64</v>
      </c>
      <c r="P242" s="3" t="s">
        <v>234</v>
      </c>
      <c r="R242" s="3" t="s">
        <v>3084</v>
      </c>
      <c r="S242" s="4">
        <v>2</v>
      </c>
      <c r="T242" s="4">
        <v>2</v>
      </c>
      <c r="U242" s="5" t="s">
        <v>3236</v>
      </c>
      <c r="V242" s="5" t="s">
        <v>3236</v>
      </c>
      <c r="W242" s="5" t="s">
        <v>3237</v>
      </c>
      <c r="X242" s="5" t="s">
        <v>3237</v>
      </c>
      <c r="Y242" s="4">
        <v>251</v>
      </c>
      <c r="Z242" s="4">
        <v>221</v>
      </c>
      <c r="AA242" s="4">
        <v>336</v>
      </c>
      <c r="AB242" s="4">
        <v>2</v>
      </c>
      <c r="AC242" s="4">
        <v>3</v>
      </c>
      <c r="AD242" s="4">
        <v>10</v>
      </c>
      <c r="AE242" s="4">
        <v>14</v>
      </c>
      <c r="AF242" s="4">
        <v>4</v>
      </c>
      <c r="AG242" s="4">
        <v>4</v>
      </c>
      <c r="AH242" s="4">
        <v>2</v>
      </c>
      <c r="AI242" s="4">
        <v>4</v>
      </c>
      <c r="AJ242" s="4">
        <v>5</v>
      </c>
      <c r="AK242" s="4">
        <v>7</v>
      </c>
      <c r="AL242" s="4">
        <v>1</v>
      </c>
      <c r="AM242" s="4">
        <v>2</v>
      </c>
      <c r="AN242" s="4">
        <v>0</v>
      </c>
      <c r="AO242" s="4">
        <v>0</v>
      </c>
      <c r="AP242" s="3" t="s">
        <v>58</v>
      </c>
      <c r="AQ242" s="3" t="s">
        <v>58</v>
      </c>
      <c r="AS242" s="6" t="str">
        <f>HYPERLINK("https://creighton-primo.hosted.exlibrisgroup.com/primo-explore/search?tab=default_tab&amp;search_scope=EVERYTHING&amp;vid=01CRU&amp;lang=en_US&amp;offset=0&amp;query=any,contains,991003596149702656","Catalog Record")</f>
        <v>Catalog Record</v>
      </c>
      <c r="AT242" s="6" t="str">
        <f>HYPERLINK("http://www.worldcat.org/oclc/46680792","WorldCat Record")</f>
        <v>WorldCat Record</v>
      </c>
      <c r="AU242" s="3" t="s">
        <v>3238</v>
      </c>
      <c r="AV242" s="3" t="s">
        <v>3239</v>
      </c>
      <c r="AW242" s="3" t="s">
        <v>3240</v>
      </c>
      <c r="AX242" s="3" t="s">
        <v>3240</v>
      </c>
      <c r="AY242" s="3" t="s">
        <v>3241</v>
      </c>
      <c r="AZ242" s="3" t="s">
        <v>74</v>
      </c>
      <c r="BB242" s="3" t="s">
        <v>3242</v>
      </c>
      <c r="BC242" s="3" t="s">
        <v>3243</v>
      </c>
      <c r="BD242" s="3" t="s">
        <v>3244</v>
      </c>
    </row>
    <row r="243" spans="1:56" ht="57.75" customHeight="1" x14ac:dyDescent="0.25">
      <c r="A243" s="7" t="s">
        <v>58</v>
      </c>
      <c r="B243" s="2" t="s">
        <v>3245</v>
      </c>
      <c r="C243" s="2" t="s">
        <v>3246</v>
      </c>
      <c r="D243" s="2" t="s">
        <v>3247</v>
      </c>
      <c r="F243" s="3" t="s">
        <v>58</v>
      </c>
      <c r="G243" s="3" t="s">
        <v>59</v>
      </c>
      <c r="H243" s="3" t="s">
        <v>58</v>
      </c>
      <c r="I243" s="3" t="s">
        <v>58</v>
      </c>
      <c r="J243" s="3" t="s">
        <v>60</v>
      </c>
      <c r="K243" s="2" t="s">
        <v>3248</v>
      </c>
      <c r="L243" s="2" t="s">
        <v>3249</v>
      </c>
      <c r="M243" s="3" t="s">
        <v>763</v>
      </c>
      <c r="O243" s="3" t="s">
        <v>64</v>
      </c>
      <c r="P243" s="3" t="s">
        <v>540</v>
      </c>
      <c r="R243" s="3" t="s">
        <v>3084</v>
      </c>
      <c r="S243" s="4">
        <v>2</v>
      </c>
      <c r="T243" s="4">
        <v>2</v>
      </c>
      <c r="U243" s="5" t="s">
        <v>3250</v>
      </c>
      <c r="V243" s="5" t="s">
        <v>3250</v>
      </c>
      <c r="W243" s="5" t="s">
        <v>3251</v>
      </c>
      <c r="X243" s="5" t="s">
        <v>3251</v>
      </c>
      <c r="Y243" s="4">
        <v>325</v>
      </c>
      <c r="Z243" s="4">
        <v>281</v>
      </c>
      <c r="AA243" s="4">
        <v>295</v>
      </c>
      <c r="AB243" s="4">
        <v>4</v>
      </c>
      <c r="AC243" s="4">
        <v>4</v>
      </c>
      <c r="AD243" s="4">
        <v>16</v>
      </c>
      <c r="AE243" s="4">
        <v>16</v>
      </c>
      <c r="AF243" s="4">
        <v>2</v>
      </c>
      <c r="AG243" s="4">
        <v>2</v>
      </c>
      <c r="AH243" s="4">
        <v>4</v>
      </c>
      <c r="AI243" s="4">
        <v>4</v>
      </c>
      <c r="AJ243" s="4">
        <v>8</v>
      </c>
      <c r="AK243" s="4">
        <v>8</v>
      </c>
      <c r="AL243" s="4">
        <v>3</v>
      </c>
      <c r="AM243" s="4">
        <v>3</v>
      </c>
      <c r="AN243" s="4">
        <v>0</v>
      </c>
      <c r="AO243" s="4">
        <v>0</v>
      </c>
      <c r="AP243" s="3" t="s">
        <v>58</v>
      </c>
      <c r="AQ243" s="3" t="s">
        <v>69</v>
      </c>
      <c r="AR243" s="6" t="str">
        <f>HYPERLINK("http://catalog.hathitrust.org/Record/002055889","HathiTrust Record")</f>
        <v>HathiTrust Record</v>
      </c>
      <c r="AS243" s="6" t="str">
        <f>HYPERLINK("https://creighton-primo.hosted.exlibrisgroup.com/primo-explore/search?tab=default_tab&amp;search_scope=EVERYTHING&amp;vid=01CRU&amp;lang=en_US&amp;offset=0&amp;query=any,contains,991001530309702656","Catalog Record")</f>
        <v>Catalog Record</v>
      </c>
      <c r="AT243" s="6" t="str">
        <f>HYPERLINK("http://www.worldcat.org/oclc/20017363","WorldCat Record")</f>
        <v>WorldCat Record</v>
      </c>
      <c r="AU243" s="3" t="s">
        <v>3252</v>
      </c>
      <c r="AV243" s="3" t="s">
        <v>3253</v>
      </c>
      <c r="AW243" s="3" t="s">
        <v>3254</v>
      </c>
      <c r="AX243" s="3" t="s">
        <v>3254</v>
      </c>
      <c r="AY243" s="3" t="s">
        <v>3255</v>
      </c>
      <c r="AZ243" s="3" t="s">
        <v>74</v>
      </c>
      <c r="BB243" s="3" t="s">
        <v>3256</v>
      </c>
      <c r="BC243" s="3" t="s">
        <v>3257</v>
      </c>
      <c r="BD243" s="3" t="s">
        <v>3258</v>
      </c>
    </row>
    <row r="244" spans="1:56" ht="57.75" customHeight="1" x14ac:dyDescent="0.25">
      <c r="A244" s="7" t="s">
        <v>58</v>
      </c>
      <c r="B244" s="2" t="s">
        <v>3259</v>
      </c>
      <c r="C244" s="2" t="s">
        <v>3260</v>
      </c>
      <c r="D244" s="2" t="s">
        <v>3261</v>
      </c>
      <c r="F244" s="3" t="s">
        <v>58</v>
      </c>
      <c r="G244" s="3" t="s">
        <v>59</v>
      </c>
      <c r="H244" s="3" t="s">
        <v>58</v>
      </c>
      <c r="I244" s="3" t="s">
        <v>58</v>
      </c>
      <c r="J244" s="3" t="s">
        <v>60</v>
      </c>
      <c r="L244" s="2" t="s">
        <v>3262</v>
      </c>
      <c r="M244" s="3" t="s">
        <v>763</v>
      </c>
      <c r="O244" s="3" t="s">
        <v>64</v>
      </c>
      <c r="P244" s="3" t="s">
        <v>65</v>
      </c>
      <c r="Q244" s="2" t="s">
        <v>3263</v>
      </c>
      <c r="R244" s="3" t="s">
        <v>3084</v>
      </c>
      <c r="S244" s="4">
        <v>2</v>
      </c>
      <c r="T244" s="4">
        <v>2</v>
      </c>
      <c r="U244" s="5" t="s">
        <v>3264</v>
      </c>
      <c r="V244" s="5" t="s">
        <v>3264</v>
      </c>
      <c r="W244" s="5" t="s">
        <v>3265</v>
      </c>
      <c r="X244" s="5" t="s">
        <v>3265</v>
      </c>
      <c r="Y244" s="4">
        <v>769</v>
      </c>
      <c r="Z244" s="4">
        <v>535</v>
      </c>
      <c r="AA244" s="4">
        <v>544</v>
      </c>
      <c r="AB244" s="4">
        <v>3</v>
      </c>
      <c r="AC244" s="4">
        <v>3</v>
      </c>
      <c r="AD244" s="4">
        <v>26</v>
      </c>
      <c r="AE244" s="4">
        <v>26</v>
      </c>
      <c r="AF244" s="4">
        <v>11</v>
      </c>
      <c r="AG244" s="4">
        <v>11</v>
      </c>
      <c r="AH244" s="4">
        <v>6</v>
      </c>
      <c r="AI244" s="4">
        <v>6</v>
      </c>
      <c r="AJ244" s="4">
        <v>14</v>
      </c>
      <c r="AK244" s="4">
        <v>14</v>
      </c>
      <c r="AL244" s="4">
        <v>1</v>
      </c>
      <c r="AM244" s="4">
        <v>1</v>
      </c>
      <c r="AN244" s="4">
        <v>0</v>
      </c>
      <c r="AO244" s="4">
        <v>0</v>
      </c>
      <c r="AP244" s="3" t="s">
        <v>58</v>
      </c>
      <c r="AQ244" s="3" t="s">
        <v>58</v>
      </c>
      <c r="AS244" s="6" t="str">
        <f>HYPERLINK("https://creighton-primo.hosted.exlibrisgroup.com/primo-explore/search?tab=default_tab&amp;search_scope=EVERYTHING&amp;vid=01CRU&amp;lang=en_US&amp;offset=0&amp;query=any,contains,991004123059702656","Catalog Record")</f>
        <v>Catalog Record</v>
      </c>
      <c r="AT244" s="6" t="str">
        <f>HYPERLINK("http://www.worldcat.org/oclc/21162781","WorldCat Record")</f>
        <v>WorldCat Record</v>
      </c>
      <c r="AU244" s="3" t="s">
        <v>3266</v>
      </c>
      <c r="AV244" s="3" t="s">
        <v>3267</v>
      </c>
      <c r="AW244" s="3" t="s">
        <v>3268</v>
      </c>
      <c r="AX244" s="3" t="s">
        <v>3268</v>
      </c>
      <c r="AY244" s="3" t="s">
        <v>3269</v>
      </c>
      <c r="AZ244" s="3" t="s">
        <v>74</v>
      </c>
      <c r="BB244" s="3" t="s">
        <v>3270</v>
      </c>
      <c r="BC244" s="3" t="s">
        <v>3271</v>
      </c>
      <c r="BD244" s="3" t="s">
        <v>3272</v>
      </c>
    </row>
    <row r="245" spans="1:56" ht="57.75" customHeight="1" x14ac:dyDescent="0.25">
      <c r="A245" s="7" t="s">
        <v>58</v>
      </c>
      <c r="B245" s="2" t="s">
        <v>3273</v>
      </c>
      <c r="C245" s="2" t="s">
        <v>3274</v>
      </c>
      <c r="D245" s="2" t="s">
        <v>3275</v>
      </c>
      <c r="F245" s="3" t="s">
        <v>58</v>
      </c>
      <c r="G245" s="3" t="s">
        <v>59</v>
      </c>
      <c r="H245" s="3" t="s">
        <v>58</v>
      </c>
      <c r="I245" s="3" t="s">
        <v>58</v>
      </c>
      <c r="J245" s="3" t="s">
        <v>60</v>
      </c>
      <c r="L245" s="2" t="s">
        <v>3276</v>
      </c>
      <c r="M245" s="3" t="s">
        <v>63</v>
      </c>
      <c r="O245" s="3" t="s">
        <v>64</v>
      </c>
      <c r="P245" s="3" t="s">
        <v>679</v>
      </c>
      <c r="Q245" s="2" t="s">
        <v>3277</v>
      </c>
      <c r="R245" s="3" t="s">
        <v>3084</v>
      </c>
      <c r="S245" s="4">
        <v>1</v>
      </c>
      <c r="T245" s="4">
        <v>1</v>
      </c>
      <c r="U245" s="5" t="s">
        <v>680</v>
      </c>
      <c r="V245" s="5" t="s">
        <v>680</v>
      </c>
      <c r="W245" s="5" t="s">
        <v>2697</v>
      </c>
      <c r="X245" s="5" t="s">
        <v>2697</v>
      </c>
      <c r="Y245" s="4">
        <v>318</v>
      </c>
      <c r="Z245" s="4">
        <v>256</v>
      </c>
      <c r="AA245" s="4">
        <v>257</v>
      </c>
      <c r="AB245" s="4">
        <v>2</v>
      </c>
      <c r="AC245" s="4">
        <v>2</v>
      </c>
      <c r="AD245" s="4">
        <v>12</v>
      </c>
      <c r="AE245" s="4">
        <v>12</v>
      </c>
      <c r="AF245" s="4">
        <v>6</v>
      </c>
      <c r="AG245" s="4">
        <v>6</v>
      </c>
      <c r="AH245" s="4">
        <v>3</v>
      </c>
      <c r="AI245" s="4">
        <v>3</v>
      </c>
      <c r="AJ245" s="4">
        <v>5</v>
      </c>
      <c r="AK245" s="4">
        <v>5</v>
      </c>
      <c r="AL245" s="4">
        <v>1</v>
      </c>
      <c r="AM245" s="4">
        <v>1</v>
      </c>
      <c r="AN245" s="4">
        <v>0</v>
      </c>
      <c r="AO245" s="4">
        <v>0</v>
      </c>
      <c r="AP245" s="3" t="s">
        <v>58</v>
      </c>
      <c r="AQ245" s="3" t="s">
        <v>69</v>
      </c>
      <c r="AR245" s="6" t="str">
        <f>HYPERLINK("http://catalog.hathitrust.org/Record/000087381","HathiTrust Record")</f>
        <v>HathiTrust Record</v>
      </c>
      <c r="AS245" s="6" t="str">
        <f>HYPERLINK("https://creighton-primo.hosted.exlibrisgroup.com/primo-explore/search?tab=default_tab&amp;search_scope=EVERYTHING&amp;vid=01CRU&amp;lang=en_US&amp;offset=0&amp;query=any,contains,991004445059702656","Catalog Record")</f>
        <v>Catalog Record</v>
      </c>
      <c r="AT245" s="6" t="str">
        <f>HYPERLINK("http://www.worldcat.org/oclc/3481114","WorldCat Record")</f>
        <v>WorldCat Record</v>
      </c>
      <c r="AU245" s="3" t="s">
        <v>3278</v>
      </c>
      <c r="AV245" s="3" t="s">
        <v>3279</v>
      </c>
      <c r="AW245" s="3" t="s">
        <v>3280</v>
      </c>
      <c r="AX245" s="3" t="s">
        <v>3280</v>
      </c>
      <c r="AY245" s="3" t="s">
        <v>3281</v>
      </c>
      <c r="AZ245" s="3" t="s">
        <v>74</v>
      </c>
      <c r="BB245" s="3" t="s">
        <v>3282</v>
      </c>
      <c r="BC245" s="3" t="s">
        <v>3283</v>
      </c>
      <c r="BD245" s="3" t="s">
        <v>3284</v>
      </c>
    </row>
    <row r="246" spans="1:56" ht="57.75" customHeight="1" x14ac:dyDescent="0.25">
      <c r="A246" s="7" t="s">
        <v>58</v>
      </c>
      <c r="B246" s="2" t="s">
        <v>3285</v>
      </c>
      <c r="C246" s="2" t="s">
        <v>3286</v>
      </c>
      <c r="D246" s="2" t="s">
        <v>3287</v>
      </c>
      <c r="F246" s="3" t="s">
        <v>58</v>
      </c>
      <c r="G246" s="3" t="s">
        <v>59</v>
      </c>
      <c r="H246" s="3" t="s">
        <v>58</v>
      </c>
      <c r="I246" s="3" t="s">
        <v>58</v>
      </c>
      <c r="J246" s="3" t="s">
        <v>60</v>
      </c>
      <c r="K246" s="2" t="s">
        <v>3288</v>
      </c>
      <c r="L246" s="2" t="s">
        <v>3289</v>
      </c>
      <c r="M246" s="3" t="s">
        <v>205</v>
      </c>
      <c r="N246" s="2" t="s">
        <v>606</v>
      </c>
      <c r="O246" s="3" t="s">
        <v>64</v>
      </c>
      <c r="P246" s="3" t="s">
        <v>65</v>
      </c>
      <c r="Q246" s="2" t="s">
        <v>3290</v>
      </c>
      <c r="R246" s="3" t="s">
        <v>3084</v>
      </c>
      <c r="S246" s="4">
        <v>1</v>
      </c>
      <c r="T246" s="4">
        <v>1</v>
      </c>
      <c r="U246" s="5" t="s">
        <v>3291</v>
      </c>
      <c r="V246" s="5" t="s">
        <v>3291</v>
      </c>
      <c r="W246" s="5" t="s">
        <v>708</v>
      </c>
      <c r="X246" s="5" t="s">
        <v>708</v>
      </c>
      <c r="Y246" s="4">
        <v>401</v>
      </c>
      <c r="Z246" s="4">
        <v>378</v>
      </c>
      <c r="AA246" s="4">
        <v>380</v>
      </c>
      <c r="AB246" s="4">
        <v>4</v>
      </c>
      <c r="AC246" s="4">
        <v>4</v>
      </c>
      <c r="AD246" s="4">
        <v>16</v>
      </c>
      <c r="AE246" s="4">
        <v>16</v>
      </c>
      <c r="AF246" s="4">
        <v>6</v>
      </c>
      <c r="AG246" s="4">
        <v>6</v>
      </c>
      <c r="AH246" s="4">
        <v>4</v>
      </c>
      <c r="AI246" s="4">
        <v>4</v>
      </c>
      <c r="AJ246" s="4">
        <v>7</v>
      </c>
      <c r="AK246" s="4">
        <v>7</v>
      </c>
      <c r="AL246" s="4">
        <v>3</v>
      </c>
      <c r="AM246" s="4">
        <v>3</v>
      </c>
      <c r="AN246" s="4">
        <v>0</v>
      </c>
      <c r="AO246" s="4">
        <v>0</v>
      </c>
      <c r="AP246" s="3" t="s">
        <v>58</v>
      </c>
      <c r="AQ246" s="3" t="s">
        <v>69</v>
      </c>
      <c r="AR246" s="6" t="str">
        <f>HYPERLINK("http://catalog.hathitrust.org/Record/000018305","HathiTrust Record")</f>
        <v>HathiTrust Record</v>
      </c>
      <c r="AS246" s="6" t="str">
        <f>HYPERLINK("https://creighton-primo.hosted.exlibrisgroup.com/primo-explore/search?tab=default_tab&amp;search_scope=EVERYTHING&amp;vid=01CRU&amp;lang=en_US&amp;offset=0&amp;query=any,contains,991004809099702656","Catalog Record")</f>
        <v>Catalog Record</v>
      </c>
      <c r="AT246" s="6" t="str">
        <f>HYPERLINK("http://www.worldcat.org/oclc/5264750","WorldCat Record")</f>
        <v>WorldCat Record</v>
      </c>
      <c r="AU246" s="3" t="s">
        <v>3292</v>
      </c>
      <c r="AV246" s="3" t="s">
        <v>3293</v>
      </c>
      <c r="AW246" s="3" t="s">
        <v>3294</v>
      </c>
      <c r="AX246" s="3" t="s">
        <v>3294</v>
      </c>
      <c r="AY246" s="3" t="s">
        <v>3295</v>
      </c>
      <c r="AZ246" s="3" t="s">
        <v>74</v>
      </c>
      <c r="BB246" s="3" t="s">
        <v>3296</v>
      </c>
      <c r="BC246" s="3" t="s">
        <v>3297</v>
      </c>
      <c r="BD246" s="3" t="s">
        <v>3298</v>
      </c>
    </row>
    <row r="247" spans="1:56" ht="57.75" customHeight="1" x14ac:dyDescent="0.25">
      <c r="A247" s="7" t="s">
        <v>58</v>
      </c>
      <c r="B247" s="2" t="s">
        <v>3299</v>
      </c>
      <c r="C247" s="2" t="s">
        <v>3300</v>
      </c>
      <c r="D247" s="2" t="s">
        <v>3301</v>
      </c>
      <c r="F247" s="3" t="s">
        <v>58</v>
      </c>
      <c r="G247" s="3" t="s">
        <v>59</v>
      </c>
      <c r="H247" s="3" t="s">
        <v>58</v>
      </c>
      <c r="I247" s="3" t="s">
        <v>58</v>
      </c>
      <c r="J247" s="3" t="s">
        <v>60</v>
      </c>
      <c r="L247" s="2" t="s">
        <v>3302</v>
      </c>
      <c r="M247" s="3" t="s">
        <v>496</v>
      </c>
      <c r="O247" s="3" t="s">
        <v>64</v>
      </c>
      <c r="P247" s="3" t="s">
        <v>3303</v>
      </c>
      <c r="Q247" s="2" t="s">
        <v>3304</v>
      </c>
      <c r="R247" s="3" t="s">
        <v>3084</v>
      </c>
      <c r="S247" s="4">
        <v>1</v>
      </c>
      <c r="T247" s="4">
        <v>1</v>
      </c>
      <c r="U247" s="5" t="s">
        <v>2747</v>
      </c>
      <c r="V247" s="5" t="s">
        <v>2747</v>
      </c>
      <c r="W247" s="5" t="s">
        <v>2697</v>
      </c>
      <c r="X247" s="5" t="s">
        <v>2697</v>
      </c>
      <c r="Y247" s="4">
        <v>489</v>
      </c>
      <c r="Z247" s="4">
        <v>441</v>
      </c>
      <c r="AA247" s="4">
        <v>471</v>
      </c>
      <c r="AB247" s="4">
        <v>6</v>
      </c>
      <c r="AC247" s="4">
        <v>6</v>
      </c>
      <c r="AD247" s="4">
        <v>19</v>
      </c>
      <c r="AE247" s="4">
        <v>19</v>
      </c>
      <c r="AF247" s="4">
        <v>8</v>
      </c>
      <c r="AG247" s="4">
        <v>8</v>
      </c>
      <c r="AH247" s="4">
        <v>3</v>
      </c>
      <c r="AI247" s="4">
        <v>3</v>
      </c>
      <c r="AJ247" s="4">
        <v>8</v>
      </c>
      <c r="AK247" s="4">
        <v>8</v>
      </c>
      <c r="AL247" s="4">
        <v>5</v>
      </c>
      <c r="AM247" s="4">
        <v>5</v>
      </c>
      <c r="AN247" s="4">
        <v>0</v>
      </c>
      <c r="AO247" s="4">
        <v>0</v>
      </c>
      <c r="AP247" s="3" t="s">
        <v>58</v>
      </c>
      <c r="AQ247" s="3" t="s">
        <v>69</v>
      </c>
      <c r="AR247" s="6" t="str">
        <f>HYPERLINK("http://catalog.hathitrust.org/Record/000214826","HathiTrust Record")</f>
        <v>HathiTrust Record</v>
      </c>
      <c r="AS247" s="6" t="str">
        <f>HYPERLINK("https://creighton-primo.hosted.exlibrisgroup.com/primo-explore/search?tab=default_tab&amp;search_scope=EVERYTHING&amp;vid=01CRU&amp;lang=en_US&amp;offset=0&amp;query=any,contains,991004596589702656","Catalog Record")</f>
        <v>Catalog Record</v>
      </c>
      <c r="AT247" s="6" t="str">
        <f>HYPERLINK("http://www.worldcat.org/oclc/4142425","WorldCat Record")</f>
        <v>WorldCat Record</v>
      </c>
      <c r="AU247" s="3" t="s">
        <v>3305</v>
      </c>
      <c r="AV247" s="3" t="s">
        <v>3306</v>
      </c>
      <c r="AW247" s="3" t="s">
        <v>3307</v>
      </c>
      <c r="AX247" s="3" t="s">
        <v>3307</v>
      </c>
      <c r="AY247" s="3" t="s">
        <v>3308</v>
      </c>
      <c r="AZ247" s="3" t="s">
        <v>74</v>
      </c>
      <c r="BC247" s="3" t="s">
        <v>3309</v>
      </c>
      <c r="BD247" s="3" t="s">
        <v>3310</v>
      </c>
    </row>
    <row r="248" spans="1:56" ht="57.75" customHeight="1" x14ac:dyDescent="0.25">
      <c r="A248" s="7" t="s">
        <v>58</v>
      </c>
      <c r="B248" s="2" t="s">
        <v>3311</v>
      </c>
      <c r="C248" s="2" t="s">
        <v>3312</v>
      </c>
      <c r="D248" s="2" t="s">
        <v>3313</v>
      </c>
      <c r="F248" s="3" t="s">
        <v>58</v>
      </c>
      <c r="G248" s="3" t="s">
        <v>59</v>
      </c>
      <c r="H248" s="3" t="s">
        <v>58</v>
      </c>
      <c r="I248" s="3" t="s">
        <v>58</v>
      </c>
      <c r="J248" s="3" t="s">
        <v>60</v>
      </c>
      <c r="K248" s="2" t="s">
        <v>3314</v>
      </c>
      <c r="L248" s="2" t="s">
        <v>3315</v>
      </c>
      <c r="M248" s="3" t="s">
        <v>763</v>
      </c>
      <c r="O248" s="3" t="s">
        <v>64</v>
      </c>
      <c r="P248" s="3" t="s">
        <v>1759</v>
      </c>
      <c r="R248" s="3" t="s">
        <v>3084</v>
      </c>
      <c r="S248" s="4">
        <v>1</v>
      </c>
      <c r="T248" s="4">
        <v>1</v>
      </c>
      <c r="U248" s="5" t="s">
        <v>3316</v>
      </c>
      <c r="V248" s="5" t="s">
        <v>3316</v>
      </c>
      <c r="W248" s="5" t="s">
        <v>3317</v>
      </c>
      <c r="X248" s="5" t="s">
        <v>3317</v>
      </c>
      <c r="Y248" s="4">
        <v>600</v>
      </c>
      <c r="Z248" s="4">
        <v>598</v>
      </c>
      <c r="AA248" s="4">
        <v>603</v>
      </c>
      <c r="AB248" s="4">
        <v>7</v>
      </c>
      <c r="AC248" s="4">
        <v>7</v>
      </c>
      <c r="AD248" s="4">
        <v>21</v>
      </c>
      <c r="AE248" s="4">
        <v>21</v>
      </c>
      <c r="AF248" s="4">
        <v>9</v>
      </c>
      <c r="AG248" s="4">
        <v>9</v>
      </c>
      <c r="AH248" s="4">
        <v>1</v>
      </c>
      <c r="AI248" s="4">
        <v>1</v>
      </c>
      <c r="AJ248" s="4">
        <v>10</v>
      </c>
      <c r="AK248" s="4">
        <v>10</v>
      </c>
      <c r="AL248" s="4">
        <v>5</v>
      </c>
      <c r="AM248" s="4">
        <v>5</v>
      </c>
      <c r="AN248" s="4">
        <v>0</v>
      </c>
      <c r="AO248" s="4">
        <v>0</v>
      </c>
      <c r="AP248" s="3" t="s">
        <v>58</v>
      </c>
      <c r="AQ248" s="3" t="s">
        <v>69</v>
      </c>
      <c r="AR248" s="6" t="str">
        <f>HYPERLINK("http://catalog.hathitrust.org/Record/002479954","HathiTrust Record")</f>
        <v>HathiTrust Record</v>
      </c>
      <c r="AS248" s="6" t="str">
        <f>HYPERLINK("https://creighton-primo.hosted.exlibrisgroup.com/primo-explore/search?tab=default_tab&amp;search_scope=EVERYTHING&amp;vid=01CRU&amp;lang=en_US&amp;offset=0&amp;query=any,contains,991001689639702656","Catalog Record")</f>
        <v>Catalog Record</v>
      </c>
      <c r="AT248" s="6" t="str">
        <f>HYPERLINK("http://www.worldcat.org/oclc/22386608","WorldCat Record")</f>
        <v>WorldCat Record</v>
      </c>
      <c r="AU248" s="3" t="s">
        <v>3318</v>
      </c>
      <c r="AV248" s="3" t="s">
        <v>3319</v>
      </c>
      <c r="AW248" s="3" t="s">
        <v>3320</v>
      </c>
      <c r="AX248" s="3" t="s">
        <v>3320</v>
      </c>
      <c r="AY248" s="3" t="s">
        <v>3321</v>
      </c>
      <c r="AZ248" s="3" t="s">
        <v>74</v>
      </c>
      <c r="BC248" s="3" t="s">
        <v>3322</v>
      </c>
      <c r="BD248" s="3" t="s">
        <v>3323</v>
      </c>
    </row>
    <row r="249" spans="1:56" ht="57.75" customHeight="1" x14ac:dyDescent="0.25">
      <c r="A249" s="7" t="s">
        <v>58</v>
      </c>
      <c r="B249" s="2" t="s">
        <v>3324</v>
      </c>
      <c r="C249" s="2" t="s">
        <v>3325</v>
      </c>
      <c r="D249" s="2" t="s">
        <v>3326</v>
      </c>
      <c r="F249" s="3" t="s">
        <v>58</v>
      </c>
      <c r="G249" s="3" t="s">
        <v>59</v>
      </c>
      <c r="H249" s="3" t="s">
        <v>58</v>
      </c>
      <c r="I249" s="3" t="s">
        <v>58</v>
      </c>
      <c r="J249" s="3" t="s">
        <v>60</v>
      </c>
      <c r="K249" s="2" t="s">
        <v>3327</v>
      </c>
      <c r="L249" s="2" t="s">
        <v>3328</v>
      </c>
      <c r="M249" s="3" t="s">
        <v>233</v>
      </c>
      <c r="O249" s="3" t="s">
        <v>64</v>
      </c>
      <c r="P249" s="3" t="s">
        <v>3329</v>
      </c>
      <c r="R249" s="3" t="s">
        <v>3084</v>
      </c>
      <c r="S249" s="4">
        <v>6</v>
      </c>
      <c r="T249" s="4">
        <v>6</v>
      </c>
      <c r="U249" s="5" t="s">
        <v>3316</v>
      </c>
      <c r="V249" s="5" t="s">
        <v>3316</v>
      </c>
      <c r="W249" s="5" t="s">
        <v>3330</v>
      </c>
      <c r="X249" s="5" t="s">
        <v>3330</v>
      </c>
      <c r="Y249" s="4">
        <v>469</v>
      </c>
      <c r="Z249" s="4">
        <v>436</v>
      </c>
      <c r="AA249" s="4">
        <v>445</v>
      </c>
      <c r="AB249" s="4">
        <v>6</v>
      </c>
      <c r="AC249" s="4">
        <v>6</v>
      </c>
      <c r="AD249" s="4">
        <v>16</v>
      </c>
      <c r="AE249" s="4">
        <v>16</v>
      </c>
      <c r="AF249" s="4">
        <v>9</v>
      </c>
      <c r="AG249" s="4">
        <v>9</v>
      </c>
      <c r="AH249" s="4">
        <v>2</v>
      </c>
      <c r="AI249" s="4">
        <v>2</v>
      </c>
      <c r="AJ249" s="4">
        <v>5</v>
      </c>
      <c r="AK249" s="4">
        <v>5</v>
      </c>
      <c r="AL249" s="4">
        <v>4</v>
      </c>
      <c r="AM249" s="4">
        <v>4</v>
      </c>
      <c r="AN249" s="4">
        <v>0</v>
      </c>
      <c r="AO249" s="4">
        <v>0</v>
      </c>
      <c r="AP249" s="3" t="s">
        <v>58</v>
      </c>
      <c r="AQ249" s="3" t="s">
        <v>69</v>
      </c>
      <c r="AR249" s="6" t="str">
        <f>HYPERLINK("http://catalog.hathitrust.org/Record/003044817","HathiTrust Record")</f>
        <v>HathiTrust Record</v>
      </c>
      <c r="AS249" s="6" t="str">
        <f>HYPERLINK("https://creighton-primo.hosted.exlibrisgroup.com/primo-explore/search?tab=default_tab&amp;search_scope=EVERYTHING&amp;vid=01CRU&amp;lang=en_US&amp;offset=0&amp;query=any,contains,991002337029702656","Catalog Record")</f>
        <v>Catalog Record</v>
      </c>
      <c r="AT249" s="6" t="str">
        <f>HYPERLINK("http://www.worldcat.org/oclc/30413886","WorldCat Record")</f>
        <v>WorldCat Record</v>
      </c>
      <c r="AU249" s="3" t="s">
        <v>3331</v>
      </c>
      <c r="AV249" s="3" t="s">
        <v>3332</v>
      </c>
      <c r="AW249" s="3" t="s">
        <v>3333</v>
      </c>
      <c r="AX249" s="3" t="s">
        <v>3333</v>
      </c>
      <c r="AY249" s="3" t="s">
        <v>3334</v>
      </c>
      <c r="AZ249" s="3" t="s">
        <v>74</v>
      </c>
      <c r="BB249" s="3" t="s">
        <v>3335</v>
      </c>
      <c r="BC249" s="3" t="s">
        <v>3336</v>
      </c>
      <c r="BD249" s="3" t="s">
        <v>3337</v>
      </c>
    </row>
    <row r="250" spans="1:56" ht="57.75" customHeight="1" x14ac:dyDescent="0.25">
      <c r="A250" s="7" t="s">
        <v>58</v>
      </c>
      <c r="B250" s="2" t="s">
        <v>3338</v>
      </c>
      <c r="C250" s="2" t="s">
        <v>3339</v>
      </c>
      <c r="D250" s="2" t="s">
        <v>3340</v>
      </c>
      <c r="F250" s="3" t="s">
        <v>58</v>
      </c>
      <c r="G250" s="3" t="s">
        <v>59</v>
      </c>
      <c r="H250" s="3" t="s">
        <v>58</v>
      </c>
      <c r="I250" s="3" t="s">
        <v>58</v>
      </c>
      <c r="J250" s="3" t="s">
        <v>60</v>
      </c>
      <c r="K250" s="2" t="s">
        <v>3341</v>
      </c>
      <c r="M250" s="3" t="s">
        <v>539</v>
      </c>
      <c r="O250" s="3" t="s">
        <v>64</v>
      </c>
      <c r="P250" s="3" t="s">
        <v>637</v>
      </c>
      <c r="R250" s="3" t="s">
        <v>3084</v>
      </c>
      <c r="S250" s="4">
        <v>2</v>
      </c>
      <c r="T250" s="4">
        <v>2</v>
      </c>
      <c r="U250" s="5" t="s">
        <v>3316</v>
      </c>
      <c r="V250" s="5" t="s">
        <v>3316</v>
      </c>
      <c r="W250" s="5" t="s">
        <v>1858</v>
      </c>
      <c r="X250" s="5" t="s">
        <v>1858</v>
      </c>
      <c r="Y250" s="4">
        <v>242</v>
      </c>
      <c r="Z250" s="4">
        <v>239</v>
      </c>
      <c r="AA250" s="4">
        <v>240</v>
      </c>
      <c r="AB250" s="4">
        <v>6</v>
      </c>
      <c r="AC250" s="4">
        <v>6</v>
      </c>
      <c r="AD250" s="4">
        <v>21</v>
      </c>
      <c r="AE250" s="4">
        <v>21</v>
      </c>
      <c r="AF250" s="4">
        <v>6</v>
      </c>
      <c r="AG250" s="4">
        <v>6</v>
      </c>
      <c r="AH250" s="4">
        <v>4</v>
      </c>
      <c r="AI250" s="4">
        <v>4</v>
      </c>
      <c r="AJ250" s="4">
        <v>11</v>
      </c>
      <c r="AK250" s="4">
        <v>11</v>
      </c>
      <c r="AL250" s="4">
        <v>5</v>
      </c>
      <c r="AM250" s="4">
        <v>5</v>
      </c>
      <c r="AN250" s="4">
        <v>0</v>
      </c>
      <c r="AO250" s="4">
        <v>0</v>
      </c>
      <c r="AP250" s="3" t="s">
        <v>58</v>
      </c>
      <c r="AQ250" s="3" t="s">
        <v>58</v>
      </c>
      <c r="AS250" s="6" t="str">
        <f>HYPERLINK("https://creighton-primo.hosted.exlibrisgroup.com/primo-explore/search?tab=default_tab&amp;search_scope=EVERYTHING&amp;vid=01CRU&amp;lang=en_US&amp;offset=0&amp;query=any,contains,991002808149702656","Catalog Record")</f>
        <v>Catalog Record</v>
      </c>
      <c r="AT250" s="6" t="str">
        <f>HYPERLINK("http://www.worldcat.org/oclc/451391","WorldCat Record")</f>
        <v>WorldCat Record</v>
      </c>
      <c r="AU250" s="3" t="s">
        <v>3342</v>
      </c>
      <c r="AV250" s="3" t="s">
        <v>3343</v>
      </c>
      <c r="AW250" s="3" t="s">
        <v>3344</v>
      </c>
      <c r="AX250" s="3" t="s">
        <v>3344</v>
      </c>
      <c r="AY250" s="3" t="s">
        <v>3345</v>
      </c>
      <c r="AZ250" s="3" t="s">
        <v>74</v>
      </c>
      <c r="BC250" s="3" t="s">
        <v>3346</v>
      </c>
      <c r="BD250" s="3" t="s">
        <v>3347</v>
      </c>
    </row>
    <row r="251" spans="1:56" ht="57.75" customHeight="1" x14ac:dyDescent="0.25">
      <c r="A251" s="7" t="s">
        <v>58</v>
      </c>
      <c r="B251" s="2" t="s">
        <v>3348</v>
      </c>
      <c r="C251" s="2" t="s">
        <v>3349</v>
      </c>
      <c r="D251" s="2" t="s">
        <v>3350</v>
      </c>
      <c r="F251" s="3" t="s">
        <v>58</v>
      </c>
      <c r="G251" s="3" t="s">
        <v>59</v>
      </c>
      <c r="H251" s="3" t="s">
        <v>58</v>
      </c>
      <c r="I251" s="3" t="s">
        <v>58</v>
      </c>
      <c r="J251" s="3" t="s">
        <v>60</v>
      </c>
      <c r="L251" s="2" t="s">
        <v>3351</v>
      </c>
      <c r="M251" s="3" t="s">
        <v>763</v>
      </c>
      <c r="O251" s="3" t="s">
        <v>64</v>
      </c>
      <c r="P251" s="3" t="s">
        <v>65</v>
      </c>
      <c r="Q251" s="2" t="s">
        <v>3352</v>
      </c>
      <c r="R251" s="3" t="s">
        <v>3084</v>
      </c>
      <c r="S251" s="4">
        <v>1</v>
      </c>
      <c r="T251" s="4">
        <v>1</v>
      </c>
      <c r="U251" s="5" t="s">
        <v>1021</v>
      </c>
      <c r="V251" s="5" t="s">
        <v>1021</v>
      </c>
      <c r="W251" s="5" t="s">
        <v>1021</v>
      </c>
      <c r="X251" s="5" t="s">
        <v>1021</v>
      </c>
      <c r="Y251" s="4">
        <v>476</v>
      </c>
      <c r="Z251" s="4">
        <v>425</v>
      </c>
      <c r="AA251" s="4">
        <v>427</v>
      </c>
      <c r="AB251" s="4">
        <v>5</v>
      </c>
      <c r="AC251" s="4">
        <v>5</v>
      </c>
      <c r="AD251" s="4">
        <v>21</v>
      </c>
      <c r="AE251" s="4">
        <v>21</v>
      </c>
      <c r="AF251" s="4">
        <v>8</v>
      </c>
      <c r="AG251" s="4">
        <v>8</v>
      </c>
      <c r="AH251" s="4">
        <v>3</v>
      </c>
      <c r="AI251" s="4">
        <v>3</v>
      </c>
      <c r="AJ251" s="4">
        <v>7</v>
      </c>
      <c r="AK251" s="4">
        <v>7</v>
      </c>
      <c r="AL251" s="4">
        <v>4</v>
      </c>
      <c r="AM251" s="4">
        <v>4</v>
      </c>
      <c r="AN251" s="4">
        <v>0</v>
      </c>
      <c r="AO251" s="4">
        <v>0</v>
      </c>
      <c r="AP251" s="3" t="s">
        <v>58</v>
      </c>
      <c r="AQ251" s="3" t="s">
        <v>58</v>
      </c>
      <c r="AS251" s="6" t="str">
        <f>HYPERLINK("https://creighton-primo.hosted.exlibrisgroup.com/primo-explore/search?tab=default_tab&amp;search_scope=EVERYTHING&amp;vid=01CRU&amp;lang=en_US&amp;offset=0&amp;query=any,contains,991005043779702656","Catalog Record")</f>
        <v>Catalog Record</v>
      </c>
      <c r="AT251" s="6" t="str">
        <f>HYPERLINK("http://www.worldcat.org/oclc/20824321","WorldCat Record")</f>
        <v>WorldCat Record</v>
      </c>
      <c r="AU251" s="3" t="s">
        <v>3353</v>
      </c>
      <c r="AV251" s="3" t="s">
        <v>3354</v>
      </c>
      <c r="AW251" s="3" t="s">
        <v>3355</v>
      </c>
      <c r="AX251" s="3" t="s">
        <v>3355</v>
      </c>
      <c r="AY251" s="3" t="s">
        <v>3356</v>
      </c>
      <c r="AZ251" s="3" t="s">
        <v>74</v>
      </c>
      <c r="BB251" s="3" t="s">
        <v>3357</v>
      </c>
      <c r="BC251" s="3" t="s">
        <v>3358</v>
      </c>
      <c r="BD251" s="3" t="s">
        <v>3359</v>
      </c>
    </row>
    <row r="252" spans="1:56" ht="57.75" customHeight="1" x14ac:dyDescent="0.25">
      <c r="A252" s="7" t="s">
        <v>58</v>
      </c>
      <c r="B252" s="2" t="s">
        <v>3360</v>
      </c>
      <c r="C252" s="2" t="s">
        <v>3361</v>
      </c>
      <c r="D252" s="2" t="s">
        <v>3362</v>
      </c>
      <c r="F252" s="3" t="s">
        <v>58</v>
      </c>
      <c r="G252" s="3" t="s">
        <v>59</v>
      </c>
      <c r="H252" s="3" t="s">
        <v>58</v>
      </c>
      <c r="I252" s="3" t="s">
        <v>58</v>
      </c>
      <c r="J252" s="3" t="s">
        <v>60</v>
      </c>
      <c r="L252" s="2" t="s">
        <v>3363</v>
      </c>
      <c r="M252" s="3" t="s">
        <v>277</v>
      </c>
      <c r="O252" s="3" t="s">
        <v>64</v>
      </c>
      <c r="P252" s="3" t="s">
        <v>65</v>
      </c>
      <c r="Q252" s="2" t="s">
        <v>3364</v>
      </c>
      <c r="R252" s="3" t="s">
        <v>3084</v>
      </c>
      <c r="S252" s="4">
        <v>1</v>
      </c>
      <c r="T252" s="4">
        <v>1</v>
      </c>
      <c r="U252" s="5" t="s">
        <v>2747</v>
      </c>
      <c r="V252" s="5" t="s">
        <v>2747</v>
      </c>
      <c r="W252" s="5" t="s">
        <v>2697</v>
      </c>
      <c r="X252" s="5" t="s">
        <v>2697</v>
      </c>
      <c r="Y252" s="4">
        <v>210</v>
      </c>
      <c r="Z252" s="4">
        <v>198</v>
      </c>
      <c r="AA252" s="4">
        <v>198</v>
      </c>
      <c r="AB252" s="4">
        <v>2</v>
      </c>
      <c r="AC252" s="4">
        <v>2</v>
      </c>
      <c r="AD252" s="4">
        <v>5</v>
      </c>
      <c r="AE252" s="4">
        <v>5</v>
      </c>
      <c r="AF252" s="4">
        <v>4</v>
      </c>
      <c r="AG252" s="4">
        <v>4</v>
      </c>
      <c r="AH252" s="4">
        <v>0</v>
      </c>
      <c r="AI252" s="4">
        <v>0</v>
      </c>
      <c r="AJ252" s="4">
        <v>3</v>
      </c>
      <c r="AK252" s="4">
        <v>3</v>
      </c>
      <c r="AL252" s="4">
        <v>1</v>
      </c>
      <c r="AM252" s="4">
        <v>1</v>
      </c>
      <c r="AN252" s="4">
        <v>0</v>
      </c>
      <c r="AO252" s="4">
        <v>0</v>
      </c>
      <c r="AP252" s="3" t="s">
        <v>58</v>
      </c>
      <c r="AQ252" s="3" t="s">
        <v>58</v>
      </c>
      <c r="AS252" s="6" t="str">
        <f>HYPERLINK("https://creighton-primo.hosted.exlibrisgroup.com/primo-explore/search?tab=default_tab&amp;search_scope=EVERYTHING&amp;vid=01CRU&amp;lang=en_US&amp;offset=0&amp;query=any,contains,991001332209702656","Catalog Record")</f>
        <v>Catalog Record</v>
      </c>
      <c r="AT252" s="6" t="str">
        <f>HYPERLINK("http://www.worldcat.org/oclc/18325271","WorldCat Record")</f>
        <v>WorldCat Record</v>
      </c>
      <c r="AU252" s="3" t="s">
        <v>3365</v>
      </c>
      <c r="AV252" s="3" t="s">
        <v>3366</v>
      </c>
      <c r="AW252" s="3" t="s">
        <v>3367</v>
      </c>
      <c r="AX252" s="3" t="s">
        <v>3367</v>
      </c>
      <c r="AY252" s="3" t="s">
        <v>3368</v>
      </c>
      <c r="AZ252" s="3" t="s">
        <v>74</v>
      </c>
      <c r="BB252" s="3" t="s">
        <v>3369</v>
      </c>
      <c r="BC252" s="3" t="s">
        <v>3370</v>
      </c>
      <c r="BD252" s="3" t="s">
        <v>3371</v>
      </c>
    </row>
    <row r="253" spans="1:56" ht="57.75" customHeight="1" x14ac:dyDescent="0.25">
      <c r="A253" s="7" t="s">
        <v>58</v>
      </c>
      <c r="B253" s="2" t="s">
        <v>3372</v>
      </c>
      <c r="C253" s="2" t="s">
        <v>3373</v>
      </c>
      <c r="D253" s="2" t="s">
        <v>3374</v>
      </c>
      <c r="F253" s="3" t="s">
        <v>58</v>
      </c>
      <c r="G253" s="3" t="s">
        <v>59</v>
      </c>
      <c r="H253" s="3" t="s">
        <v>58</v>
      </c>
      <c r="I253" s="3" t="s">
        <v>58</v>
      </c>
      <c r="J253" s="3" t="s">
        <v>60</v>
      </c>
      <c r="K253" s="2" t="s">
        <v>3375</v>
      </c>
      <c r="L253" s="2" t="s">
        <v>3376</v>
      </c>
      <c r="M253" s="3" t="s">
        <v>277</v>
      </c>
      <c r="N253" s="2" t="s">
        <v>2338</v>
      </c>
      <c r="O253" s="3" t="s">
        <v>64</v>
      </c>
      <c r="P253" s="3" t="s">
        <v>3329</v>
      </c>
      <c r="R253" s="3" t="s">
        <v>3084</v>
      </c>
      <c r="S253" s="4">
        <v>3</v>
      </c>
      <c r="T253" s="4">
        <v>3</v>
      </c>
      <c r="U253" s="5" t="s">
        <v>3316</v>
      </c>
      <c r="V253" s="5" t="s">
        <v>3316</v>
      </c>
      <c r="W253" s="5" t="s">
        <v>3377</v>
      </c>
      <c r="X253" s="5" t="s">
        <v>3377</v>
      </c>
      <c r="Y253" s="4">
        <v>124</v>
      </c>
      <c r="Z253" s="4">
        <v>113</v>
      </c>
      <c r="AA253" s="4">
        <v>185</v>
      </c>
      <c r="AB253" s="4">
        <v>3</v>
      </c>
      <c r="AC253" s="4">
        <v>3</v>
      </c>
      <c r="AD253" s="4">
        <v>4</v>
      </c>
      <c r="AE253" s="4">
        <v>6</v>
      </c>
      <c r="AF253" s="4">
        <v>2</v>
      </c>
      <c r="AG253" s="4">
        <v>3</v>
      </c>
      <c r="AH253" s="4">
        <v>0</v>
      </c>
      <c r="AI253" s="4">
        <v>2</v>
      </c>
      <c r="AJ253" s="4">
        <v>1</v>
      </c>
      <c r="AK253" s="4">
        <v>1</v>
      </c>
      <c r="AL253" s="4">
        <v>2</v>
      </c>
      <c r="AM253" s="4">
        <v>2</v>
      </c>
      <c r="AN253" s="4">
        <v>0</v>
      </c>
      <c r="AO253" s="4">
        <v>0</v>
      </c>
      <c r="AP253" s="3" t="s">
        <v>58</v>
      </c>
      <c r="AQ253" s="3" t="s">
        <v>58</v>
      </c>
      <c r="AS253" s="6" t="str">
        <f>HYPERLINK("https://creighton-primo.hosted.exlibrisgroup.com/primo-explore/search?tab=default_tab&amp;search_scope=EVERYTHING&amp;vid=01CRU&amp;lang=en_US&amp;offset=0&amp;query=any,contains,991001426169702656","Catalog Record")</f>
        <v>Catalog Record</v>
      </c>
      <c r="AT253" s="6" t="str">
        <f>HYPERLINK("http://www.worldcat.org/oclc/19027367","WorldCat Record")</f>
        <v>WorldCat Record</v>
      </c>
      <c r="AU253" s="3" t="s">
        <v>3378</v>
      </c>
      <c r="AV253" s="3" t="s">
        <v>3379</v>
      </c>
      <c r="AW253" s="3" t="s">
        <v>3380</v>
      </c>
      <c r="AX253" s="3" t="s">
        <v>3380</v>
      </c>
      <c r="AY253" s="3" t="s">
        <v>3381</v>
      </c>
      <c r="AZ253" s="3" t="s">
        <v>74</v>
      </c>
      <c r="BC253" s="3" t="s">
        <v>3382</v>
      </c>
      <c r="BD253" s="3" t="s">
        <v>3383</v>
      </c>
    </row>
    <row r="254" spans="1:56" ht="57.75" customHeight="1" x14ac:dyDescent="0.25">
      <c r="A254" s="7" t="s">
        <v>58</v>
      </c>
      <c r="B254" s="2" t="s">
        <v>3384</v>
      </c>
      <c r="C254" s="2" t="s">
        <v>3385</v>
      </c>
      <c r="D254" s="2" t="s">
        <v>3386</v>
      </c>
      <c r="F254" s="3" t="s">
        <v>58</v>
      </c>
      <c r="G254" s="3" t="s">
        <v>59</v>
      </c>
      <c r="H254" s="3" t="s">
        <v>58</v>
      </c>
      <c r="I254" s="3" t="s">
        <v>58</v>
      </c>
      <c r="J254" s="3" t="s">
        <v>60</v>
      </c>
      <c r="K254" s="2" t="s">
        <v>3387</v>
      </c>
      <c r="L254" s="2" t="s">
        <v>3388</v>
      </c>
      <c r="M254" s="3" t="s">
        <v>1120</v>
      </c>
      <c r="O254" s="3" t="s">
        <v>64</v>
      </c>
      <c r="P254" s="3" t="s">
        <v>65</v>
      </c>
      <c r="R254" s="3" t="s">
        <v>3084</v>
      </c>
      <c r="S254" s="4">
        <v>5</v>
      </c>
      <c r="T254" s="4">
        <v>5</v>
      </c>
      <c r="U254" s="5" t="s">
        <v>3389</v>
      </c>
      <c r="V254" s="5" t="s">
        <v>3389</v>
      </c>
      <c r="W254" s="5" t="s">
        <v>2697</v>
      </c>
      <c r="X254" s="5" t="s">
        <v>2697</v>
      </c>
      <c r="Y254" s="4">
        <v>822</v>
      </c>
      <c r="Z254" s="4">
        <v>651</v>
      </c>
      <c r="AA254" s="4">
        <v>656</v>
      </c>
      <c r="AB254" s="4">
        <v>4</v>
      </c>
      <c r="AC254" s="4">
        <v>4</v>
      </c>
      <c r="AD254" s="4">
        <v>35</v>
      </c>
      <c r="AE254" s="4">
        <v>35</v>
      </c>
      <c r="AF254" s="4">
        <v>16</v>
      </c>
      <c r="AG254" s="4">
        <v>16</v>
      </c>
      <c r="AH254" s="4">
        <v>8</v>
      </c>
      <c r="AI254" s="4">
        <v>8</v>
      </c>
      <c r="AJ254" s="4">
        <v>19</v>
      </c>
      <c r="AK254" s="4">
        <v>19</v>
      </c>
      <c r="AL254" s="4">
        <v>2</v>
      </c>
      <c r="AM254" s="4">
        <v>2</v>
      </c>
      <c r="AN254" s="4">
        <v>0</v>
      </c>
      <c r="AO254" s="4">
        <v>0</v>
      </c>
      <c r="AP254" s="3" t="s">
        <v>58</v>
      </c>
      <c r="AQ254" s="3" t="s">
        <v>69</v>
      </c>
      <c r="AR254" s="6" t="str">
        <f>HYPERLINK("http://catalog.hathitrust.org/Record/000377965","HathiTrust Record")</f>
        <v>HathiTrust Record</v>
      </c>
      <c r="AS254" s="6" t="str">
        <f>HYPERLINK("https://creighton-primo.hosted.exlibrisgroup.com/primo-explore/search?tab=default_tab&amp;search_scope=EVERYTHING&amp;vid=01CRU&amp;lang=en_US&amp;offset=0&amp;query=any,contains,991000588489702656","Catalog Record")</f>
        <v>Catalog Record</v>
      </c>
      <c r="AT254" s="6" t="str">
        <f>HYPERLINK("http://www.worldcat.org/oclc/11783172","WorldCat Record")</f>
        <v>WorldCat Record</v>
      </c>
      <c r="AU254" s="3" t="s">
        <v>3390</v>
      </c>
      <c r="AV254" s="3" t="s">
        <v>3391</v>
      </c>
      <c r="AW254" s="3" t="s">
        <v>3392</v>
      </c>
      <c r="AX254" s="3" t="s">
        <v>3392</v>
      </c>
      <c r="AY254" s="3" t="s">
        <v>3393</v>
      </c>
      <c r="AZ254" s="3" t="s">
        <v>74</v>
      </c>
      <c r="BB254" s="3" t="s">
        <v>3394</v>
      </c>
      <c r="BC254" s="3" t="s">
        <v>3395</v>
      </c>
      <c r="BD254" s="3" t="s">
        <v>3396</v>
      </c>
    </row>
    <row r="255" spans="1:56" ht="57.75" customHeight="1" x14ac:dyDescent="0.25">
      <c r="A255" s="7" t="s">
        <v>58</v>
      </c>
      <c r="B255" s="2" t="s">
        <v>3397</v>
      </c>
      <c r="C255" s="2" t="s">
        <v>3398</v>
      </c>
      <c r="D255" s="2" t="s">
        <v>3399</v>
      </c>
      <c r="F255" s="3" t="s">
        <v>58</v>
      </c>
      <c r="G255" s="3" t="s">
        <v>59</v>
      </c>
      <c r="H255" s="3" t="s">
        <v>58</v>
      </c>
      <c r="I255" s="3" t="s">
        <v>58</v>
      </c>
      <c r="J255" s="3" t="s">
        <v>60</v>
      </c>
      <c r="K255" s="2" t="s">
        <v>3400</v>
      </c>
      <c r="L255" s="2" t="s">
        <v>3401</v>
      </c>
      <c r="M255" s="3" t="s">
        <v>847</v>
      </c>
      <c r="O255" s="3" t="s">
        <v>64</v>
      </c>
      <c r="P255" s="3" t="s">
        <v>278</v>
      </c>
      <c r="R255" s="3" t="s">
        <v>3084</v>
      </c>
      <c r="S255" s="4">
        <v>8</v>
      </c>
      <c r="T255" s="4">
        <v>8</v>
      </c>
      <c r="U255" s="5" t="s">
        <v>3402</v>
      </c>
      <c r="V255" s="5" t="s">
        <v>3402</v>
      </c>
      <c r="W255" s="5" t="s">
        <v>2697</v>
      </c>
      <c r="X255" s="5" t="s">
        <v>2697</v>
      </c>
      <c r="Y255" s="4">
        <v>685</v>
      </c>
      <c r="Z255" s="4">
        <v>541</v>
      </c>
      <c r="AA255" s="4">
        <v>821</v>
      </c>
      <c r="AB255" s="4">
        <v>4</v>
      </c>
      <c r="AC255" s="4">
        <v>7</v>
      </c>
      <c r="AD255" s="4">
        <v>28</v>
      </c>
      <c r="AE255" s="4">
        <v>39</v>
      </c>
      <c r="AF255" s="4">
        <v>12</v>
      </c>
      <c r="AG255" s="4">
        <v>16</v>
      </c>
      <c r="AH255" s="4">
        <v>8</v>
      </c>
      <c r="AI255" s="4">
        <v>9</v>
      </c>
      <c r="AJ255" s="4">
        <v>15</v>
      </c>
      <c r="AK255" s="4">
        <v>18</v>
      </c>
      <c r="AL255" s="4">
        <v>2</v>
      </c>
      <c r="AM255" s="4">
        <v>5</v>
      </c>
      <c r="AN255" s="4">
        <v>0</v>
      </c>
      <c r="AO255" s="4">
        <v>1</v>
      </c>
      <c r="AP255" s="3" t="s">
        <v>58</v>
      </c>
      <c r="AQ255" s="3" t="s">
        <v>58</v>
      </c>
      <c r="AS255" s="6" t="str">
        <f>HYPERLINK("https://creighton-primo.hosted.exlibrisgroup.com/primo-explore/search?tab=default_tab&amp;search_scope=EVERYTHING&amp;vid=01CRU&amp;lang=en_US&amp;offset=0&amp;query=any,contains,991000042529702656","Catalog Record")</f>
        <v>Catalog Record</v>
      </c>
      <c r="AT255" s="6" t="str">
        <f>HYPERLINK("http://www.worldcat.org/oclc/8666773","WorldCat Record")</f>
        <v>WorldCat Record</v>
      </c>
      <c r="AU255" s="3" t="s">
        <v>3403</v>
      </c>
      <c r="AV255" s="3" t="s">
        <v>3404</v>
      </c>
      <c r="AW255" s="3" t="s">
        <v>3405</v>
      </c>
      <c r="AX255" s="3" t="s">
        <v>3405</v>
      </c>
      <c r="AY255" s="3" t="s">
        <v>3406</v>
      </c>
      <c r="AZ255" s="3" t="s">
        <v>74</v>
      </c>
      <c r="BB255" s="3" t="s">
        <v>3407</v>
      </c>
      <c r="BC255" s="3" t="s">
        <v>3408</v>
      </c>
      <c r="BD255" s="3" t="s">
        <v>3409</v>
      </c>
    </row>
    <row r="256" spans="1:56" ht="57.75" customHeight="1" x14ac:dyDescent="0.25">
      <c r="A256" s="7" t="s">
        <v>58</v>
      </c>
      <c r="B256" s="2" t="s">
        <v>3410</v>
      </c>
      <c r="C256" s="2" t="s">
        <v>3411</v>
      </c>
      <c r="D256" s="2" t="s">
        <v>3412</v>
      </c>
      <c r="F256" s="3" t="s">
        <v>58</v>
      </c>
      <c r="G256" s="3" t="s">
        <v>59</v>
      </c>
      <c r="H256" s="3" t="s">
        <v>58</v>
      </c>
      <c r="I256" s="3" t="s">
        <v>58</v>
      </c>
      <c r="J256" s="3" t="s">
        <v>60</v>
      </c>
      <c r="K256" s="2" t="s">
        <v>3413</v>
      </c>
      <c r="L256" s="2" t="s">
        <v>3414</v>
      </c>
      <c r="M256" s="3" t="s">
        <v>1986</v>
      </c>
      <c r="N256" s="2" t="s">
        <v>3415</v>
      </c>
      <c r="O256" s="3" t="s">
        <v>64</v>
      </c>
      <c r="P256" s="3" t="s">
        <v>65</v>
      </c>
      <c r="R256" s="3" t="s">
        <v>3084</v>
      </c>
      <c r="S256" s="4">
        <v>6</v>
      </c>
      <c r="T256" s="4">
        <v>6</v>
      </c>
      <c r="U256" s="5" t="s">
        <v>3416</v>
      </c>
      <c r="V256" s="5" t="s">
        <v>3416</v>
      </c>
      <c r="W256" s="5" t="s">
        <v>3417</v>
      </c>
      <c r="X256" s="5" t="s">
        <v>3417</v>
      </c>
      <c r="Y256" s="4">
        <v>630</v>
      </c>
      <c r="Z256" s="4">
        <v>592</v>
      </c>
      <c r="AA256" s="4">
        <v>655</v>
      </c>
      <c r="AB256" s="4">
        <v>4</v>
      </c>
      <c r="AC256" s="4">
        <v>4</v>
      </c>
      <c r="AD256" s="4">
        <v>16</v>
      </c>
      <c r="AE256" s="4">
        <v>18</v>
      </c>
      <c r="AF256" s="4">
        <v>4</v>
      </c>
      <c r="AG256" s="4">
        <v>5</v>
      </c>
      <c r="AH256" s="4">
        <v>4</v>
      </c>
      <c r="AI256" s="4">
        <v>5</v>
      </c>
      <c r="AJ256" s="4">
        <v>8</v>
      </c>
      <c r="AK256" s="4">
        <v>10</v>
      </c>
      <c r="AL256" s="4">
        <v>2</v>
      </c>
      <c r="AM256" s="4">
        <v>2</v>
      </c>
      <c r="AN256" s="4">
        <v>0</v>
      </c>
      <c r="AO256" s="4">
        <v>0</v>
      </c>
      <c r="AP256" s="3" t="s">
        <v>58</v>
      </c>
      <c r="AQ256" s="3" t="s">
        <v>58</v>
      </c>
      <c r="AS256" s="6" t="str">
        <f>HYPERLINK("https://creighton-primo.hosted.exlibrisgroup.com/primo-explore/search?tab=default_tab&amp;search_scope=EVERYTHING&amp;vid=01CRU&amp;lang=en_US&amp;offset=0&amp;query=any,contains,991002972439702656","Catalog Record")</f>
        <v>Catalog Record</v>
      </c>
      <c r="AT256" s="6" t="str">
        <f>HYPERLINK("http://www.worldcat.org/oclc/39811751","WorldCat Record")</f>
        <v>WorldCat Record</v>
      </c>
      <c r="AU256" s="3" t="s">
        <v>3418</v>
      </c>
      <c r="AV256" s="3" t="s">
        <v>3419</v>
      </c>
      <c r="AW256" s="3" t="s">
        <v>3420</v>
      </c>
      <c r="AX256" s="3" t="s">
        <v>3420</v>
      </c>
      <c r="AY256" s="3" t="s">
        <v>3421</v>
      </c>
      <c r="AZ256" s="3" t="s">
        <v>74</v>
      </c>
      <c r="BB256" s="3" t="s">
        <v>3422</v>
      </c>
      <c r="BC256" s="3" t="s">
        <v>3423</v>
      </c>
      <c r="BD256" s="3" t="s">
        <v>3424</v>
      </c>
    </row>
    <row r="257" spans="1:56" ht="57.75" customHeight="1" x14ac:dyDescent="0.25">
      <c r="A257" s="7" t="s">
        <v>58</v>
      </c>
      <c r="B257" s="2" t="s">
        <v>3425</v>
      </c>
      <c r="C257" s="2" t="s">
        <v>3426</v>
      </c>
      <c r="D257" s="2" t="s">
        <v>3427</v>
      </c>
      <c r="F257" s="3" t="s">
        <v>58</v>
      </c>
      <c r="G257" s="3" t="s">
        <v>59</v>
      </c>
      <c r="H257" s="3" t="s">
        <v>58</v>
      </c>
      <c r="I257" s="3" t="s">
        <v>58</v>
      </c>
      <c r="J257" s="3" t="s">
        <v>60</v>
      </c>
      <c r="K257" s="2" t="s">
        <v>3428</v>
      </c>
      <c r="L257" s="2" t="s">
        <v>3429</v>
      </c>
      <c r="M257" s="3" t="s">
        <v>747</v>
      </c>
      <c r="O257" s="3" t="s">
        <v>64</v>
      </c>
      <c r="P257" s="3" t="s">
        <v>234</v>
      </c>
      <c r="R257" s="3" t="s">
        <v>3084</v>
      </c>
      <c r="S257" s="4">
        <v>1</v>
      </c>
      <c r="T257" s="4">
        <v>1</v>
      </c>
      <c r="U257" s="5" t="s">
        <v>3430</v>
      </c>
      <c r="V257" s="5" t="s">
        <v>3430</v>
      </c>
      <c r="W257" s="5" t="s">
        <v>1858</v>
      </c>
      <c r="X257" s="5" t="s">
        <v>1858</v>
      </c>
      <c r="Y257" s="4">
        <v>943</v>
      </c>
      <c r="Z257" s="4">
        <v>766</v>
      </c>
      <c r="AA257" s="4">
        <v>779</v>
      </c>
      <c r="AB257" s="4">
        <v>7</v>
      </c>
      <c r="AC257" s="4">
        <v>7</v>
      </c>
      <c r="AD257" s="4">
        <v>37</v>
      </c>
      <c r="AE257" s="4">
        <v>38</v>
      </c>
      <c r="AF257" s="4">
        <v>16</v>
      </c>
      <c r="AG257" s="4">
        <v>17</v>
      </c>
      <c r="AH257" s="4">
        <v>8</v>
      </c>
      <c r="AI257" s="4">
        <v>8</v>
      </c>
      <c r="AJ257" s="4">
        <v>17</v>
      </c>
      <c r="AK257" s="4">
        <v>18</v>
      </c>
      <c r="AL257" s="4">
        <v>6</v>
      </c>
      <c r="AM257" s="4">
        <v>6</v>
      </c>
      <c r="AN257" s="4">
        <v>0</v>
      </c>
      <c r="AO257" s="4">
        <v>0</v>
      </c>
      <c r="AP257" s="3" t="s">
        <v>58</v>
      </c>
      <c r="AQ257" s="3" t="s">
        <v>58</v>
      </c>
      <c r="AS257" s="6" t="str">
        <f>HYPERLINK("https://creighton-primo.hosted.exlibrisgroup.com/primo-explore/search?tab=default_tab&amp;search_scope=EVERYTHING&amp;vid=01CRU&amp;lang=en_US&amp;offset=0&amp;query=any,contains,991004039479702656","Catalog Record")</f>
        <v>Catalog Record</v>
      </c>
      <c r="AT257" s="6" t="str">
        <f>HYPERLINK("http://www.worldcat.org/oclc/2183784","WorldCat Record")</f>
        <v>WorldCat Record</v>
      </c>
      <c r="AU257" s="3" t="s">
        <v>3431</v>
      </c>
      <c r="AV257" s="3" t="s">
        <v>3432</v>
      </c>
      <c r="AW257" s="3" t="s">
        <v>3433</v>
      </c>
      <c r="AX257" s="3" t="s">
        <v>3433</v>
      </c>
      <c r="AY257" s="3" t="s">
        <v>3434</v>
      </c>
      <c r="AZ257" s="3" t="s">
        <v>74</v>
      </c>
      <c r="BB257" s="3" t="s">
        <v>3435</v>
      </c>
      <c r="BC257" s="3" t="s">
        <v>3436</v>
      </c>
      <c r="BD257" s="3" t="s">
        <v>3437</v>
      </c>
    </row>
    <row r="258" spans="1:56" ht="57.75" customHeight="1" x14ac:dyDescent="0.25">
      <c r="A258" s="7" t="s">
        <v>58</v>
      </c>
      <c r="B258" s="2" t="s">
        <v>3438</v>
      </c>
      <c r="C258" s="2" t="s">
        <v>3439</v>
      </c>
      <c r="D258" s="2" t="s">
        <v>3440</v>
      </c>
      <c r="F258" s="3" t="s">
        <v>58</v>
      </c>
      <c r="G258" s="3" t="s">
        <v>59</v>
      </c>
      <c r="H258" s="3" t="s">
        <v>58</v>
      </c>
      <c r="I258" s="3" t="s">
        <v>58</v>
      </c>
      <c r="J258" s="3" t="s">
        <v>60</v>
      </c>
      <c r="K258" s="2" t="s">
        <v>3441</v>
      </c>
      <c r="L258" s="2" t="s">
        <v>2813</v>
      </c>
      <c r="M258" s="3" t="s">
        <v>138</v>
      </c>
      <c r="O258" s="3" t="s">
        <v>64</v>
      </c>
      <c r="P258" s="3" t="s">
        <v>234</v>
      </c>
      <c r="R258" s="3" t="s">
        <v>3084</v>
      </c>
      <c r="S258" s="4">
        <v>5</v>
      </c>
      <c r="T258" s="4">
        <v>5</v>
      </c>
      <c r="U258" s="5" t="s">
        <v>3442</v>
      </c>
      <c r="V258" s="5" t="s">
        <v>3442</v>
      </c>
      <c r="W258" s="5" t="s">
        <v>2697</v>
      </c>
      <c r="X258" s="5" t="s">
        <v>2697</v>
      </c>
      <c r="Y258" s="4">
        <v>722</v>
      </c>
      <c r="Z258" s="4">
        <v>598</v>
      </c>
      <c r="AA258" s="4">
        <v>670</v>
      </c>
      <c r="AB258" s="4">
        <v>5</v>
      </c>
      <c r="AC258" s="4">
        <v>5</v>
      </c>
      <c r="AD258" s="4">
        <v>31</v>
      </c>
      <c r="AE258" s="4">
        <v>31</v>
      </c>
      <c r="AF258" s="4">
        <v>12</v>
      </c>
      <c r="AG258" s="4">
        <v>12</v>
      </c>
      <c r="AH258" s="4">
        <v>10</v>
      </c>
      <c r="AI258" s="4">
        <v>10</v>
      </c>
      <c r="AJ258" s="4">
        <v>16</v>
      </c>
      <c r="AK258" s="4">
        <v>16</v>
      </c>
      <c r="AL258" s="4">
        <v>3</v>
      </c>
      <c r="AM258" s="4">
        <v>3</v>
      </c>
      <c r="AN258" s="4">
        <v>0</v>
      </c>
      <c r="AO258" s="4">
        <v>0</v>
      </c>
      <c r="AP258" s="3" t="s">
        <v>58</v>
      </c>
      <c r="AQ258" s="3" t="s">
        <v>58</v>
      </c>
      <c r="AS258" s="6" t="str">
        <f>HYPERLINK("https://creighton-primo.hosted.exlibrisgroup.com/primo-explore/search?tab=default_tab&amp;search_scope=EVERYTHING&amp;vid=01CRU&amp;lang=en_US&amp;offset=0&amp;query=any,contains,991004959159702656","Catalog Record")</f>
        <v>Catalog Record</v>
      </c>
      <c r="AT258" s="6" t="str">
        <f>HYPERLINK("http://www.worldcat.org/oclc/6301220","WorldCat Record")</f>
        <v>WorldCat Record</v>
      </c>
      <c r="AU258" s="3" t="s">
        <v>3443</v>
      </c>
      <c r="AV258" s="3" t="s">
        <v>3444</v>
      </c>
      <c r="AW258" s="3" t="s">
        <v>3445</v>
      </c>
      <c r="AX258" s="3" t="s">
        <v>3445</v>
      </c>
      <c r="AY258" s="3" t="s">
        <v>3446</v>
      </c>
      <c r="AZ258" s="3" t="s">
        <v>74</v>
      </c>
      <c r="BB258" s="3" t="s">
        <v>3447</v>
      </c>
      <c r="BC258" s="3" t="s">
        <v>3448</v>
      </c>
      <c r="BD258" s="3" t="s">
        <v>3449</v>
      </c>
    </row>
    <row r="259" spans="1:56" ht="57.75" customHeight="1" x14ac:dyDescent="0.25">
      <c r="A259" s="7" t="s">
        <v>58</v>
      </c>
      <c r="B259" s="2" t="s">
        <v>3450</v>
      </c>
      <c r="C259" s="2" t="s">
        <v>3451</v>
      </c>
      <c r="D259" s="2" t="s">
        <v>3452</v>
      </c>
      <c r="F259" s="3" t="s">
        <v>58</v>
      </c>
      <c r="G259" s="3" t="s">
        <v>59</v>
      </c>
      <c r="H259" s="3" t="s">
        <v>58</v>
      </c>
      <c r="I259" s="3" t="s">
        <v>58</v>
      </c>
      <c r="J259" s="3" t="s">
        <v>60</v>
      </c>
      <c r="K259" s="2" t="s">
        <v>3453</v>
      </c>
      <c r="L259" s="2" t="s">
        <v>3454</v>
      </c>
      <c r="M259" s="3" t="s">
        <v>1886</v>
      </c>
      <c r="O259" s="3" t="s">
        <v>64</v>
      </c>
      <c r="P259" s="3" t="s">
        <v>453</v>
      </c>
      <c r="R259" s="3" t="s">
        <v>3084</v>
      </c>
      <c r="S259" s="4">
        <v>6</v>
      </c>
      <c r="T259" s="4">
        <v>6</v>
      </c>
      <c r="U259" s="5" t="s">
        <v>3455</v>
      </c>
      <c r="V259" s="5" t="s">
        <v>3455</v>
      </c>
      <c r="W259" s="5" t="s">
        <v>3456</v>
      </c>
      <c r="X259" s="5" t="s">
        <v>3456</v>
      </c>
      <c r="Y259" s="4">
        <v>221</v>
      </c>
      <c r="Z259" s="4">
        <v>191</v>
      </c>
      <c r="AA259" s="4">
        <v>402</v>
      </c>
      <c r="AB259" s="4">
        <v>1</v>
      </c>
      <c r="AC259" s="4">
        <v>3</v>
      </c>
      <c r="AD259" s="4">
        <v>10</v>
      </c>
      <c r="AE259" s="4">
        <v>20</v>
      </c>
      <c r="AF259" s="4">
        <v>5</v>
      </c>
      <c r="AG259" s="4">
        <v>10</v>
      </c>
      <c r="AH259" s="4">
        <v>2</v>
      </c>
      <c r="AI259" s="4">
        <v>3</v>
      </c>
      <c r="AJ259" s="4">
        <v>5</v>
      </c>
      <c r="AK259" s="4">
        <v>10</v>
      </c>
      <c r="AL259" s="4">
        <v>0</v>
      </c>
      <c r="AM259" s="4">
        <v>2</v>
      </c>
      <c r="AN259" s="4">
        <v>0</v>
      </c>
      <c r="AO259" s="4">
        <v>0</v>
      </c>
      <c r="AP259" s="3" t="s">
        <v>58</v>
      </c>
      <c r="AQ259" s="3" t="s">
        <v>58</v>
      </c>
      <c r="AS259" s="6" t="str">
        <f>HYPERLINK("https://creighton-primo.hosted.exlibrisgroup.com/primo-explore/search?tab=default_tab&amp;search_scope=EVERYTHING&amp;vid=01CRU&amp;lang=en_US&amp;offset=0&amp;query=any,contains,991000734059702656","Catalog Record")</f>
        <v>Catalog Record</v>
      </c>
      <c r="AT259" s="6" t="str">
        <f>HYPERLINK("http://www.worldcat.org/oclc/12751818","WorldCat Record")</f>
        <v>WorldCat Record</v>
      </c>
      <c r="AU259" s="3" t="s">
        <v>3457</v>
      </c>
      <c r="AV259" s="3" t="s">
        <v>3458</v>
      </c>
      <c r="AW259" s="3" t="s">
        <v>3459</v>
      </c>
      <c r="AX259" s="3" t="s">
        <v>3459</v>
      </c>
      <c r="AY259" s="3" t="s">
        <v>3460</v>
      </c>
      <c r="AZ259" s="3" t="s">
        <v>74</v>
      </c>
      <c r="BB259" s="3" t="s">
        <v>3461</v>
      </c>
      <c r="BC259" s="3" t="s">
        <v>3462</v>
      </c>
      <c r="BD259" s="3" t="s">
        <v>3463</v>
      </c>
    </row>
    <row r="260" spans="1:56" ht="57.75" customHeight="1" x14ac:dyDescent="0.25">
      <c r="A260" s="7" t="s">
        <v>58</v>
      </c>
      <c r="B260" s="2" t="s">
        <v>3464</v>
      </c>
      <c r="C260" s="2" t="s">
        <v>3465</v>
      </c>
      <c r="D260" s="2" t="s">
        <v>3466</v>
      </c>
      <c r="F260" s="3" t="s">
        <v>58</v>
      </c>
      <c r="G260" s="3" t="s">
        <v>59</v>
      </c>
      <c r="H260" s="3" t="s">
        <v>58</v>
      </c>
      <c r="I260" s="3" t="s">
        <v>58</v>
      </c>
      <c r="J260" s="3" t="s">
        <v>60</v>
      </c>
      <c r="K260" s="2" t="s">
        <v>3467</v>
      </c>
      <c r="L260" s="2" t="s">
        <v>3468</v>
      </c>
      <c r="M260" s="3" t="s">
        <v>847</v>
      </c>
      <c r="O260" s="3" t="s">
        <v>64</v>
      </c>
      <c r="P260" s="3" t="s">
        <v>278</v>
      </c>
      <c r="R260" s="3" t="s">
        <v>3084</v>
      </c>
      <c r="S260" s="4">
        <v>4</v>
      </c>
      <c r="T260" s="4">
        <v>4</v>
      </c>
      <c r="U260" s="5" t="s">
        <v>3469</v>
      </c>
      <c r="V260" s="5" t="s">
        <v>3469</v>
      </c>
      <c r="W260" s="5" t="s">
        <v>2697</v>
      </c>
      <c r="X260" s="5" t="s">
        <v>2697</v>
      </c>
      <c r="Y260" s="4">
        <v>855</v>
      </c>
      <c r="Z260" s="4">
        <v>655</v>
      </c>
      <c r="AA260" s="4">
        <v>655</v>
      </c>
      <c r="AB260" s="4">
        <v>7</v>
      </c>
      <c r="AC260" s="4">
        <v>7</v>
      </c>
      <c r="AD260" s="4">
        <v>39</v>
      </c>
      <c r="AE260" s="4">
        <v>39</v>
      </c>
      <c r="AF260" s="4">
        <v>14</v>
      </c>
      <c r="AG260" s="4">
        <v>14</v>
      </c>
      <c r="AH260" s="4">
        <v>10</v>
      </c>
      <c r="AI260" s="4">
        <v>10</v>
      </c>
      <c r="AJ260" s="4">
        <v>22</v>
      </c>
      <c r="AK260" s="4">
        <v>22</v>
      </c>
      <c r="AL260" s="4">
        <v>6</v>
      </c>
      <c r="AM260" s="4">
        <v>6</v>
      </c>
      <c r="AN260" s="4">
        <v>0</v>
      </c>
      <c r="AO260" s="4">
        <v>0</v>
      </c>
      <c r="AP260" s="3" t="s">
        <v>58</v>
      </c>
      <c r="AQ260" s="3" t="s">
        <v>58</v>
      </c>
      <c r="AS260" s="6" t="str">
        <f>HYPERLINK("https://creighton-primo.hosted.exlibrisgroup.com/primo-explore/search?tab=default_tab&amp;search_scope=EVERYTHING&amp;vid=01CRU&amp;lang=en_US&amp;offset=0&amp;query=any,contains,991000035769702656","Catalog Record")</f>
        <v>Catalog Record</v>
      </c>
      <c r="AT260" s="6" t="str">
        <f>HYPERLINK("http://www.worldcat.org/oclc/8627547","WorldCat Record")</f>
        <v>WorldCat Record</v>
      </c>
      <c r="AU260" s="3" t="s">
        <v>3470</v>
      </c>
      <c r="AV260" s="3" t="s">
        <v>3471</v>
      </c>
      <c r="AW260" s="3" t="s">
        <v>3472</v>
      </c>
      <c r="AX260" s="3" t="s">
        <v>3472</v>
      </c>
      <c r="AY260" s="3" t="s">
        <v>3473</v>
      </c>
      <c r="AZ260" s="3" t="s">
        <v>74</v>
      </c>
      <c r="BB260" s="3" t="s">
        <v>3474</v>
      </c>
      <c r="BC260" s="3" t="s">
        <v>3475</v>
      </c>
      <c r="BD260" s="3" t="s">
        <v>3476</v>
      </c>
    </row>
    <row r="261" spans="1:56" ht="57.75" customHeight="1" x14ac:dyDescent="0.25">
      <c r="A261" s="7" t="s">
        <v>58</v>
      </c>
      <c r="B261" s="2" t="s">
        <v>3477</v>
      </c>
      <c r="C261" s="2" t="s">
        <v>3478</v>
      </c>
      <c r="D261" s="2" t="s">
        <v>3479</v>
      </c>
      <c r="F261" s="3" t="s">
        <v>58</v>
      </c>
      <c r="G261" s="3" t="s">
        <v>59</v>
      </c>
      <c r="H261" s="3" t="s">
        <v>58</v>
      </c>
      <c r="I261" s="3" t="s">
        <v>58</v>
      </c>
      <c r="J261" s="3" t="s">
        <v>60</v>
      </c>
      <c r="L261" s="2" t="s">
        <v>3480</v>
      </c>
      <c r="M261" s="3" t="s">
        <v>1886</v>
      </c>
      <c r="O261" s="3" t="s">
        <v>64</v>
      </c>
      <c r="P261" s="3" t="s">
        <v>1841</v>
      </c>
      <c r="R261" s="3" t="s">
        <v>3084</v>
      </c>
      <c r="S261" s="4">
        <v>4</v>
      </c>
      <c r="T261" s="4">
        <v>4</v>
      </c>
      <c r="U261" s="5" t="s">
        <v>3481</v>
      </c>
      <c r="V261" s="5" t="s">
        <v>3481</v>
      </c>
      <c r="W261" s="5" t="s">
        <v>3482</v>
      </c>
      <c r="X261" s="5" t="s">
        <v>3482</v>
      </c>
      <c r="Y261" s="4">
        <v>649</v>
      </c>
      <c r="Z261" s="4">
        <v>539</v>
      </c>
      <c r="AA261" s="4">
        <v>546</v>
      </c>
      <c r="AB261" s="4">
        <v>4</v>
      </c>
      <c r="AC261" s="4">
        <v>4</v>
      </c>
      <c r="AD261" s="4">
        <v>25</v>
      </c>
      <c r="AE261" s="4">
        <v>25</v>
      </c>
      <c r="AF261" s="4">
        <v>9</v>
      </c>
      <c r="AG261" s="4">
        <v>9</v>
      </c>
      <c r="AH261" s="4">
        <v>7</v>
      </c>
      <c r="AI261" s="4">
        <v>7</v>
      </c>
      <c r="AJ261" s="4">
        <v>13</v>
      </c>
      <c r="AK261" s="4">
        <v>13</v>
      </c>
      <c r="AL261" s="4">
        <v>3</v>
      </c>
      <c r="AM261" s="4">
        <v>3</v>
      </c>
      <c r="AN261" s="4">
        <v>0</v>
      </c>
      <c r="AO261" s="4">
        <v>0</v>
      </c>
      <c r="AP261" s="3" t="s">
        <v>58</v>
      </c>
      <c r="AQ261" s="3" t="s">
        <v>69</v>
      </c>
      <c r="AR261" s="6" t="str">
        <f>HYPERLINK("http://catalog.hathitrust.org/Record/000483898","HathiTrust Record")</f>
        <v>HathiTrust Record</v>
      </c>
      <c r="AS261" s="6" t="str">
        <f>HYPERLINK("https://creighton-primo.hosted.exlibrisgroup.com/primo-explore/search?tab=default_tab&amp;search_scope=EVERYTHING&amp;vid=01CRU&amp;lang=en_US&amp;offset=0&amp;query=any,contains,991000513359702656","Catalog Record")</f>
        <v>Catalog Record</v>
      </c>
      <c r="AT261" s="6" t="str">
        <f>HYPERLINK("http://www.worldcat.org/oclc/11261350","WorldCat Record")</f>
        <v>WorldCat Record</v>
      </c>
      <c r="AU261" s="3" t="s">
        <v>3483</v>
      </c>
      <c r="AV261" s="3" t="s">
        <v>3484</v>
      </c>
      <c r="AW261" s="3" t="s">
        <v>3485</v>
      </c>
      <c r="AX261" s="3" t="s">
        <v>3485</v>
      </c>
      <c r="AY261" s="3" t="s">
        <v>3486</v>
      </c>
      <c r="AZ261" s="3" t="s">
        <v>74</v>
      </c>
      <c r="BB261" s="3" t="s">
        <v>3487</v>
      </c>
      <c r="BC261" s="3" t="s">
        <v>3488</v>
      </c>
      <c r="BD261" s="3" t="s">
        <v>3489</v>
      </c>
    </row>
    <row r="262" spans="1:56" ht="57.75" customHeight="1" x14ac:dyDescent="0.25">
      <c r="A262" s="7" t="s">
        <v>58</v>
      </c>
      <c r="B262" s="2" t="s">
        <v>3490</v>
      </c>
      <c r="C262" s="2" t="s">
        <v>3491</v>
      </c>
      <c r="D262" s="2" t="s">
        <v>3492</v>
      </c>
      <c r="F262" s="3" t="s">
        <v>58</v>
      </c>
      <c r="G262" s="3" t="s">
        <v>59</v>
      </c>
      <c r="H262" s="3" t="s">
        <v>58</v>
      </c>
      <c r="I262" s="3" t="s">
        <v>58</v>
      </c>
      <c r="J262" s="3" t="s">
        <v>60</v>
      </c>
      <c r="K262" s="2" t="s">
        <v>3493</v>
      </c>
      <c r="L262" s="2" t="s">
        <v>3494</v>
      </c>
      <c r="M262" s="3" t="s">
        <v>678</v>
      </c>
      <c r="O262" s="3" t="s">
        <v>64</v>
      </c>
      <c r="P262" s="3" t="s">
        <v>65</v>
      </c>
      <c r="R262" s="3" t="s">
        <v>3084</v>
      </c>
      <c r="S262" s="4">
        <v>4</v>
      </c>
      <c r="T262" s="4">
        <v>4</v>
      </c>
      <c r="U262" s="5" t="s">
        <v>3495</v>
      </c>
      <c r="V262" s="5" t="s">
        <v>3495</v>
      </c>
      <c r="W262" s="5" t="s">
        <v>3496</v>
      </c>
      <c r="X262" s="5" t="s">
        <v>3496</v>
      </c>
      <c r="Y262" s="4">
        <v>793</v>
      </c>
      <c r="Z262" s="4">
        <v>694</v>
      </c>
      <c r="AA262" s="4">
        <v>776</v>
      </c>
      <c r="AB262" s="4">
        <v>5</v>
      </c>
      <c r="AC262" s="4">
        <v>5</v>
      </c>
      <c r="AD262" s="4">
        <v>26</v>
      </c>
      <c r="AE262" s="4">
        <v>31</v>
      </c>
      <c r="AF262" s="4">
        <v>11</v>
      </c>
      <c r="AG262" s="4">
        <v>14</v>
      </c>
      <c r="AH262" s="4">
        <v>9</v>
      </c>
      <c r="AI262" s="4">
        <v>10</v>
      </c>
      <c r="AJ262" s="4">
        <v>10</v>
      </c>
      <c r="AK262" s="4">
        <v>13</v>
      </c>
      <c r="AL262" s="4">
        <v>2</v>
      </c>
      <c r="AM262" s="4">
        <v>2</v>
      </c>
      <c r="AN262" s="4">
        <v>0</v>
      </c>
      <c r="AO262" s="4">
        <v>0</v>
      </c>
      <c r="AP262" s="3" t="s">
        <v>58</v>
      </c>
      <c r="AQ262" s="3" t="s">
        <v>69</v>
      </c>
      <c r="AR262" s="6" t="str">
        <f>HYPERLINK("http://catalog.hathitrust.org/Record/000284336","HathiTrust Record")</f>
        <v>HathiTrust Record</v>
      </c>
      <c r="AS262" s="6" t="str">
        <f>HYPERLINK("https://creighton-primo.hosted.exlibrisgroup.com/primo-explore/search?tab=default_tab&amp;search_scope=EVERYTHING&amp;vid=01CRU&amp;lang=en_US&amp;offset=0&amp;query=any,contains,991000234529702656","Catalog Record")</f>
        <v>Catalog Record</v>
      </c>
      <c r="AT262" s="6" t="str">
        <f>HYPERLINK("http://www.worldcat.org/oclc/9646424","WorldCat Record")</f>
        <v>WorldCat Record</v>
      </c>
      <c r="AU262" s="3" t="s">
        <v>3497</v>
      </c>
      <c r="AV262" s="3" t="s">
        <v>3498</v>
      </c>
      <c r="AW262" s="3" t="s">
        <v>3499</v>
      </c>
      <c r="AX262" s="3" t="s">
        <v>3499</v>
      </c>
      <c r="AY262" s="3" t="s">
        <v>3500</v>
      </c>
      <c r="AZ262" s="3" t="s">
        <v>74</v>
      </c>
      <c r="BB262" s="3" t="s">
        <v>3501</v>
      </c>
      <c r="BC262" s="3" t="s">
        <v>3502</v>
      </c>
      <c r="BD262" s="3" t="s">
        <v>3503</v>
      </c>
    </row>
    <row r="263" spans="1:56" ht="57.75" customHeight="1" x14ac:dyDescent="0.25">
      <c r="A263" s="7" t="s">
        <v>58</v>
      </c>
      <c r="B263" s="2" t="s">
        <v>3504</v>
      </c>
      <c r="C263" s="2" t="s">
        <v>3505</v>
      </c>
      <c r="D263" s="2" t="s">
        <v>3506</v>
      </c>
      <c r="F263" s="3" t="s">
        <v>58</v>
      </c>
      <c r="G263" s="3" t="s">
        <v>59</v>
      </c>
      <c r="H263" s="3" t="s">
        <v>58</v>
      </c>
      <c r="I263" s="3" t="s">
        <v>58</v>
      </c>
      <c r="J263" s="3" t="s">
        <v>60</v>
      </c>
      <c r="L263" s="2" t="s">
        <v>3507</v>
      </c>
      <c r="M263" s="3" t="s">
        <v>875</v>
      </c>
      <c r="O263" s="3" t="s">
        <v>64</v>
      </c>
      <c r="P263" s="3" t="s">
        <v>412</v>
      </c>
      <c r="R263" s="3" t="s">
        <v>3084</v>
      </c>
      <c r="S263" s="4">
        <v>3</v>
      </c>
      <c r="T263" s="4">
        <v>3</v>
      </c>
      <c r="U263" s="5" t="s">
        <v>3508</v>
      </c>
      <c r="V263" s="5" t="s">
        <v>3508</v>
      </c>
      <c r="W263" s="5" t="s">
        <v>3509</v>
      </c>
      <c r="X263" s="5" t="s">
        <v>3509</v>
      </c>
      <c r="Y263" s="4">
        <v>746</v>
      </c>
      <c r="Z263" s="4">
        <v>669</v>
      </c>
      <c r="AA263" s="4">
        <v>691</v>
      </c>
      <c r="AB263" s="4">
        <v>5</v>
      </c>
      <c r="AC263" s="4">
        <v>5</v>
      </c>
      <c r="AD263" s="4">
        <v>16</v>
      </c>
      <c r="AE263" s="4">
        <v>17</v>
      </c>
      <c r="AF263" s="4">
        <v>7</v>
      </c>
      <c r="AG263" s="4">
        <v>7</v>
      </c>
      <c r="AH263" s="4">
        <v>3</v>
      </c>
      <c r="AI263" s="4">
        <v>3</v>
      </c>
      <c r="AJ263" s="4">
        <v>7</v>
      </c>
      <c r="AK263" s="4">
        <v>8</v>
      </c>
      <c r="AL263" s="4">
        <v>2</v>
      </c>
      <c r="AM263" s="4">
        <v>2</v>
      </c>
      <c r="AN263" s="4">
        <v>0</v>
      </c>
      <c r="AO263" s="4">
        <v>0</v>
      </c>
      <c r="AP263" s="3" t="s">
        <v>58</v>
      </c>
      <c r="AQ263" s="3" t="s">
        <v>69</v>
      </c>
      <c r="AR263" s="6" t="str">
        <f>HYPERLINK("http://catalog.hathitrust.org/Record/002471708","HathiTrust Record")</f>
        <v>HathiTrust Record</v>
      </c>
      <c r="AS263" s="6" t="str">
        <f>HYPERLINK("https://creighton-primo.hosted.exlibrisgroup.com/primo-explore/search?tab=default_tab&amp;search_scope=EVERYTHING&amp;vid=01CRU&amp;lang=en_US&amp;offset=0&amp;query=any,contains,991001889909702656","Catalog Record")</f>
        <v>Catalog Record</v>
      </c>
      <c r="AT263" s="6" t="str">
        <f>HYPERLINK("http://www.worldcat.org/oclc/23861182","WorldCat Record")</f>
        <v>WorldCat Record</v>
      </c>
      <c r="AU263" s="3" t="s">
        <v>3510</v>
      </c>
      <c r="AV263" s="3" t="s">
        <v>3511</v>
      </c>
      <c r="AW263" s="3" t="s">
        <v>3512</v>
      </c>
      <c r="AX263" s="3" t="s">
        <v>3512</v>
      </c>
      <c r="AY263" s="3" t="s">
        <v>3513</v>
      </c>
      <c r="AZ263" s="3" t="s">
        <v>74</v>
      </c>
      <c r="BB263" s="3" t="s">
        <v>3514</v>
      </c>
      <c r="BC263" s="3" t="s">
        <v>3515</v>
      </c>
      <c r="BD263" s="3" t="s">
        <v>3516</v>
      </c>
    </row>
    <row r="264" spans="1:56" ht="57.75" customHeight="1" x14ac:dyDescent="0.25">
      <c r="A264" s="7" t="s">
        <v>58</v>
      </c>
      <c r="B264" s="2" t="s">
        <v>3517</v>
      </c>
      <c r="C264" s="2" t="s">
        <v>3518</v>
      </c>
      <c r="D264" s="2" t="s">
        <v>3519</v>
      </c>
      <c r="F264" s="3" t="s">
        <v>58</v>
      </c>
      <c r="G264" s="3" t="s">
        <v>59</v>
      </c>
      <c r="H264" s="3" t="s">
        <v>58</v>
      </c>
      <c r="I264" s="3" t="s">
        <v>58</v>
      </c>
      <c r="J264" s="3" t="s">
        <v>60</v>
      </c>
      <c r="K264" s="2" t="s">
        <v>3520</v>
      </c>
      <c r="L264" s="2" t="s">
        <v>3521</v>
      </c>
      <c r="M264" s="3" t="s">
        <v>3020</v>
      </c>
      <c r="O264" s="3" t="s">
        <v>64</v>
      </c>
      <c r="P264" s="3" t="s">
        <v>540</v>
      </c>
      <c r="Q264" s="2" t="s">
        <v>3522</v>
      </c>
      <c r="R264" s="3" t="s">
        <v>3084</v>
      </c>
      <c r="S264" s="4">
        <v>1</v>
      </c>
      <c r="T264" s="4">
        <v>1</v>
      </c>
      <c r="U264" s="5" t="s">
        <v>3523</v>
      </c>
      <c r="V264" s="5" t="s">
        <v>3523</v>
      </c>
      <c r="W264" s="5" t="s">
        <v>1858</v>
      </c>
      <c r="X264" s="5" t="s">
        <v>1858</v>
      </c>
      <c r="Y264" s="4">
        <v>1287</v>
      </c>
      <c r="Z264" s="4">
        <v>1074</v>
      </c>
      <c r="AA264" s="4">
        <v>1273</v>
      </c>
      <c r="AB264" s="4">
        <v>7</v>
      </c>
      <c r="AC264" s="4">
        <v>8</v>
      </c>
      <c r="AD264" s="4">
        <v>42</v>
      </c>
      <c r="AE264" s="4">
        <v>47</v>
      </c>
      <c r="AF264" s="4">
        <v>17</v>
      </c>
      <c r="AG264" s="4">
        <v>20</v>
      </c>
      <c r="AH264" s="4">
        <v>11</v>
      </c>
      <c r="AI264" s="4">
        <v>11</v>
      </c>
      <c r="AJ264" s="4">
        <v>22</v>
      </c>
      <c r="AK264" s="4">
        <v>23</v>
      </c>
      <c r="AL264" s="4">
        <v>5</v>
      </c>
      <c r="AM264" s="4">
        <v>6</v>
      </c>
      <c r="AN264" s="4">
        <v>0</v>
      </c>
      <c r="AO264" s="4">
        <v>0</v>
      </c>
      <c r="AP264" s="3" t="s">
        <v>58</v>
      </c>
      <c r="AQ264" s="3" t="s">
        <v>58</v>
      </c>
      <c r="AS264" s="6" t="str">
        <f>HYPERLINK("https://creighton-primo.hosted.exlibrisgroup.com/primo-explore/search?tab=default_tab&amp;search_scope=EVERYTHING&amp;vid=01CRU&amp;lang=en_US&amp;offset=0&amp;query=any,contains,991003276569702656","Catalog Record")</f>
        <v>Catalog Record</v>
      </c>
      <c r="AT264" s="6" t="str">
        <f>HYPERLINK("http://www.worldcat.org/oclc/800578","WorldCat Record")</f>
        <v>WorldCat Record</v>
      </c>
      <c r="AU264" s="3" t="s">
        <v>3524</v>
      </c>
      <c r="AV264" s="3" t="s">
        <v>3525</v>
      </c>
      <c r="AW264" s="3" t="s">
        <v>3526</v>
      </c>
      <c r="AX264" s="3" t="s">
        <v>3526</v>
      </c>
      <c r="AY264" s="3" t="s">
        <v>3527</v>
      </c>
      <c r="AZ264" s="3" t="s">
        <v>74</v>
      </c>
      <c r="BB264" s="3" t="s">
        <v>3528</v>
      </c>
      <c r="BC264" s="3" t="s">
        <v>3529</v>
      </c>
      <c r="BD264" s="3" t="s">
        <v>3530</v>
      </c>
    </row>
    <row r="265" spans="1:56" ht="57.75" customHeight="1" x14ac:dyDescent="0.25">
      <c r="A265" s="7" t="s">
        <v>58</v>
      </c>
      <c r="B265" s="2" t="s">
        <v>3531</v>
      </c>
      <c r="C265" s="2" t="s">
        <v>3532</v>
      </c>
      <c r="D265" s="2" t="s">
        <v>3533</v>
      </c>
      <c r="F265" s="3" t="s">
        <v>58</v>
      </c>
      <c r="G265" s="3" t="s">
        <v>59</v>
      </c>
      <c r="H265" s="3" t="s">
        <v>58</v>
      </c>
      <c r="I265" s="3" t="s">
        <v>58</v>
      </c>
      <c r="J265" s="3" t="s">
        <v>60</v>
      </c>
      <c r="K265" s="2" t="s">
        <v>3534</v>
      </c>
      <c r="L265" s="2" t="s">
        <v>3535</v>
      </c>
      <c r="M265" s="3" t="s">
        <v>605</v>
      </c>
      <c r="O265" s="3" t="s">
        <v>64</v>
      </c>
      <c r="P265" s="3" t="s">
        <v>65</v>
      </c>
      <c r="R265" s="3" t="s">
        <v>3084</v>
      </c>
      <c r="S265" s="4">
        <v>3</v>
      </c>
      <c r="T265" s="4">
        <v>3</v>
      </c>
      <c r="U265" s="5" t="s">
        <v>3536</v>
      </c>
      <c r="V265" s="5" t="s">
        <v>3536</v>
      </c>
      <c r="W265" s="5" t="s">
        <v>2943</v>
      </c>
      <c r="X265" s="5" t="s">
        <v>2943</v>
      </c>
      <c r="Y265" s="4">
        <v>610</v>
      </c>
      <c r="Z265" s="4">
        <v>522</v>
      </c>
      <c r="AA265" s="4">
        <v>528</v>
      </c>
      <c r="AB265" s="4">
        <v>4</v>
      </c>
      <c r="AC265" s="4">
        <v>4</v>
      </c>
      <c r="AD265" s="4">
        <v>18</v>
      </c>
      <c r="AE265" s="4">
        <v>18</v>
      </c>
      <c r="AF265" s="4">
        <v>9</v>
      </c>
      <c r="AG265" s="4">
        <v>9</v>
      </c>
      <c r="AH265" s="4">
        <v>3</v>
      </c>
      <c r="AI265" s="4">
        <v>3</v>
      </c>
      <c r="AJ265" s="4">
        <v>8</v>
      </c>
      <c r="AK265" s="4">
        <v>8</v>
      </c>
      <c r="AL265" s="4">
        <v>3</v>
      </c>
      <c r="AM265" s="4">
        <v>3</v>
      </c>
      <c r="AN265" s="4">
        <v>0</v>
      </c>
      <c r="AO265" s="4">
        <v>0</v>
      </c>
      <c r="AP265" s="3" t="s">
        <v>58</v>
      </c>
      <c r="AQ265" s="3" t="s">
        <v>69</v>
      </c>
      <c r="AR265" s="6" t="str">
        <f>HYPERLINK("http://catalog.hathitrust.org/Record/004134087","HathiTrust Record")</f>
        <v>HathiTrust Record</v>
      </c>
      <c r="AS265" s="6" t="str">
        <f>HYPERLINK("https://creighton-primo.hosted.exlibrisgroup.com/primo-explore/search?tab=default_tab&amp;search_scope=EVERYTHING&amp;vid=01CRU&amp;lang=en_US&amp;offset=0&amp;query=any,contains,991004525419702656","Catalog Record")</f>
        <v>Catalog Record</v>
      </c>
      <c r="AT265" s="6" t="str">
        <f>HYPERLINK("http://www.worldcat.org/oclc/44096809","WorldCat Record")</f>
        <v>WorldCat Record</v>
      </c>
      <c r="AU265" s="3" t="s">
        <v>3537</v>
      </c>
      <c r="AV265" s="3" t="s">
        <v>3538</v>
      </c>
      <c r="AW265" s="3" t="s">
        <v>3539</v>
      </c>
      <c r="AX265" s="3" t="s">
        <v>3539</v>
      </c>
      <c r="AY265" s="3" t="s">
        <v>3540</v>
      </c>
      <c r="AZ265" s="3" t="s">
        <v>74</v>
      </c>
      <c r="BB265" s="3" t="s">
        <v>3541</v>
      </c>
      <c r="BC265" s="3" t="s">
        <v>3542</v>
      </c>
      <c r="BD265" s="3" t="s">
        <v>3543</v>
      </c>
    </row>
    <row r="266" spans="1:56" ht="57.75" customHeight="1" x14ac:dyDescent="0.25">
      <c r="A266" s="7" t="s">
        <v>58</v>
      </c>
      <c r="B266" s="2" t="s">
        <v>3544</v>
      </c>
      <c r="C266" s="2" t="s">
        <v>3545</v>
      </c>
      <c r="D266" s="2" t="s">
        <v>3546</v>
      </c>
      <c r="F266" s="3" t="s">
        <v>58</v>
      </c>
      <c r="G266" s="3" t="s">
        <v>59</v>
      </c>
      <c r="H266" s="3" t="s">
        <v>58</v>
      </c>
      <c r="I266" s="3" t="s">
        <v>58</v>
      </c>
      <c r="J266" s="3" t="s">
        <v>60</v>
      </c>
      <c r="K266" s="2" t="s">
        <v>3547</v>
      </c>
      <c r="L266" s="2" t="s">
        <v>3548</v>
      </c>
      <c r="M266" s="3" t="s">
        <v>916</v>
      </c>
      <c r="N266" s="2" t="s">
        <v>3549</v>
      </c>
      <c r="O266" s="3" t="s">
        <v>64</v>
      </c>
      <c r="P266" s="3" t="s">
        <v>65</v>
      </c>
      <c r="R266" s="3" t="s">
        <v>3084</v>
      </c>
      <c r="S266" s="4">
        <v>1</v>
      </c>
      <c r="T266" s="4">
        <v>1</v>
      </c>
      <c r="U266" s="5" t="s">
        <v>3550</v>
      </c>
      <c r="V266" s="5" t="s">
        <v>3550</v>
      </c>
      <c r="W266" s="5" t="s">
        <v>3550</v>
      </c>
      <c r="X266" s="5" t="s">
        <v>3550</v>
      </c>
      <c r="Y266" s="4">
        <v>93</v>
      </c>
      <c r="Z266" s="4">
        <v>68</v>
      </c>
      <c r="AA266" s="4">
        <v>1066</v>
      </c>
      <c r="AB266" s="4">
        <v>1</v>
      </c>
      <c r="AC266" s="4">
        <v>6</v>
      </c>
      <c r="AD266" s="4">
        <v>1</v>
      </c>
      <c r="AE266" s="4">
        <v>40</v>
      </c>
      <c r="AF266" s="4">
        <v>0</v>
      </c>
      <c r="AG266" s="4">
        <v>15</v>
      </c>
      <c r="AH266" s="4">
        <v>0</v>
      </c>
      <c r="AI266" s="4">
        <v>11</v>
      </c>
      <c r="AJ266" s="4">
        <v>1</v>
      </c>
      <c r="AK266" s="4">
        <v>19</v>
      </c>
      <c r="AL266" s="4">
        <v>0</v>
      </c>
      <c r="AM266" s="4">
        <v>5</v>
      </c>
      <c r="AN266" s="4">
        <v>0</v>
      </c>
      <c r="AO266" s="4">
        <v>1</v>
      </c>
      <c r="AP266" s="3" t="s">
        <v>58</v>
      </c>
      <c r="AQ266" s="3" t="s">
        <v>58</v>
      </c>
      <c r="AS266" s="6" t="str">
        <f>HYPERLINK("https://creighton-primo.hosted.exlibrisgroup.com/primo-explore/search?tab=default_tab&amp;search_scope=EVERYTHING&amp;vid=01CRU&amp;lang=en_US&amp;offset=0&amp;query=any,contains,991004130639702656","Catalog Record")</f>
        <v>Catalog Record</v>
      </c>
      <c r="AT266" s="6" t="str">
        <f>HYPERLINK("http://www.worldcat.org/oclc/7459464","WorldCat Record")</f>
        <v>WorldCat Record</v>
      </c>
      <c r="AU266" s="3" t="s">
        <v>3551</v>
      </c>
      <c r="AV266" s="3" t="s">
        <v>3552</v>
      </c>
      <c r="AW266" s="3" t="s">
        <v>3553</v>
      </c>
      <c r="AX266" s="3" t="s">
        <v>3553</v>
      </c>
      <c r="AY266" s="3" t="s">
        <v>3554</v>
      </c>
      <c r="AZ266" s="3" t="s">
        <v>74</v>
      </c>
      <c r="BB266" s="3" t="s">
        <v>3555</v>
      </c>
      <c r="BC266" s="3" t="s">
        <v>3556</v>
      </c>
      <c r="BD266" s="3" t="s">
        <v>3557</v>
      </c>
    </row>
    <row r="267" spans="1:56" ht="57.75" customHeight="1" x14ac:dyDescent="0.25">
      <c r="A267" s="7" t="s">
        <v>58</v>
      </c>
      <c r="B267" s="2" t="s">
        <v>3558</v>
      </c>
      <c r="C267" s="2" t="s">
        <v>3559</v>
      </c>
      <c r="D267" s="2" t="s">
        <v>3560</v>
      </c>
      <c r="F267" s="3" t="s">
        <v>58</v>
      </c>
      <c r="G267" s="3" t="s">
        <v>59</v>
      </c>
      <c r="H267" s="3" t="s">
        <v>58</v>
      </c>
      <c r="I267" s="3" t="s">
        <v>58</v>
      </c>
      <c r="J267" s="3" t="s">
        <v>60</v>
      </c>
      <c r="K267" s="2" t="s">
        <v>3561</v>
      </c>
      <c r="L267" s="2" t="s">
        <v>3562</v>
      </c>
      <c r="M267" s="3" t="s">
        <v>605</v>
      </c>
      <c r="O267" s="3" t="s">
        <v>64</v>
      </c>
      <c r="P267" s="3" t="s">
        <v>412</v>
      </c>
      <c r="R267" s="3" t="s">
        <v>3084</v>
      </c>
      <c r="S267" s="4">
        <v>4</v>
      </c>
      <c r="T267" s="4">
        <v>4</v>
      </c>
      <c r="U267" s="5" t="s">
        <v>3563</v>
      </c>
      <c r="V267" s="5" t="s">
        <v>3563</v>
      </c>
      <c r="W267" s="5" t="s">
        <v>608</v>
      </c>
      <c r="X267" s="5" t="s">
        <v>608</v>
      </c>
      <c r="Y267" s="4">
        <v>659</v>
      </c>
      <c r="Z267" s="4">
        <v>522</v>
      </c>
      <c r="AA267" s="4">
        <v>522</v>
      </c>
      <c r="AB267" s="4">
        <v>4</v>
      </c>
      <c r="AC267" s="4">
        <v>4</v>
      </c>
      <c r="AD267" s="4">
        <v>21</v>
      </c>
      <c r="AE267" s="4">
        <v>21</v>
      </c>
      <c r="AF267" s="4">
        <v>9</v>
      </c>
      <c r="AG267" s="4">
        <v>9</v>
      </c>
      <c r="AH267" s="4">
        <v>5</v>
      </c>
      <c r="AI267" s="4">
        <v>5</v>
      </c>
      <c r="AJ267" s="4">
        <v>9</v>
      </c>
      <c r="AK267" s="4">
        <v>9</v>
      </c>
      <c r="AL267" s="4">
        <v>3</v>
      </c>
      <c r="AM267" s="4">
        <v>3</v>
      </c>
      <c r="AN267" s="4">
        <v>0</v>
      </c>
      <c r="AO267" s="4">
        <v>0</v>
      </c>
      <c r="AP267" s="3" t="s">
        <v>58</v>
      </c>
      <c r="AQ267" s="3" t="s">
        <v>58</v>
      </c>
      <c r="AS267" s="6" t="str">
        <f>HYPERLINK("https://creighton-primo.hosted.exlibrisgroup.com/primo-explore/search?tab=default_tab&amp;search_scope=EVERYTHING&amp;vid=01CRU&amp;lang=en_US&amp;offset=0&amp;query=any,contains,991003782149702656","Catalog Record")</f>
        <v>Catalog Record</v>
      </c>
      <c r="AT267" s="6" t="str">
        <f>HYPERLINK("http://www.worldcat.org/oclc/43879151","WorldCat Record")</f>
        <v>WorldCat Record</v>
      </c>
      <c r="AU267" s="3" t="s">
        <v>3564</v>
      </c>
      <c r="AV267" s="3" t="s">
        <v>3565</v>
      </c>
      <c r="AW267" s="3" t="s">
        <v>3566</v>
      </c>
      <c r="AX267" s="3" t="s">
        <v>3566</v>
      </c>
      <c r="AY267" s="3" t="s">
        <v>3567</v>
      </c>
      <c r="AZ267" s="3" t="s">
        <v>74</v>
      </c>
      <c r="BB267" s="3" t="s">
        <v>3568</v>
      </c>
      <c r="BC267" s="3" t="s">
        <v>3569</v>
      </c>
      <c r="BD267" s="3" t="s">
        <v>3570</v>
      </c>
    </row>
    <row r="268" spans="1:56" ht="57.75" customHeight="1" x14ac:dyDescent="0.25">
      <c r="A268" s="7" t="s">
        <v>58</v>
      </c>
      <c r="B268" s="2" t="s">
        <v>3571</v>
      </c>
      <c r="C268" s="2" t="s">
        <v>3572</v>
      </c>
      <c r="D268" s="2" t="s">
        <v>3573</v>
      </c>
      <c r="F268" s="3" t="s">
        <v>58</v>
      </c>
      <c r="G268" s="3" t="s">
        <v>59</v>
      </c>
      <c r="H268" s="3" t="s">
        <v>58</v>
      </c>
      <c r="I268" s="3" t="s">
        <v>58</v>
      </c>
      <c r="J268" s="3" t="s">
        <v>60</v>
      </c>
      <c r="K268" s="2" t="s">
        <v>3574</v>
      </c>
      <c r="L268" s="2" t="s">
        <v>3575</v>
      </c>
      <c r="M268" s="3" t="s">
        <v>763</v>
      </c>
      <c r="O268" s="3" t="s">
        <v>64</v>
      </c>
      <c r="P268" s="3" t="s">
        <v>3576</v>
      </c>
      <c r="R268" s="3" t="s">
        <v>3084</v>
      </c>
      <c r="S268" s="4">
        <v>21</v>
      </c>
      <c r="T268" s="4">
        <v>21</v>
      </c>
      <c r="U268" s="5" t="s">
        <v>3577</v>
      </c>
      <c r="V268" s="5" t="s">
        <v>3577</v>
      </c>
      <c r="W268" s="5" t="s">
        <v>1973</v>
      </c>
      <c r="X268" s="5" t="s">
        <v>1973</v>
      </c>
      <c r="Y268" s="4">
        <v>720</v>
      </c>
      <c r="Z268" s="4">
        <v>586</v>
      </c>
      <c r="AA268" s="4">
        <v>598</v>
      </c>
      <c r="AB268" s="4">
        <v>5</v>
      </c>
      <c r="AC268" s="4">
        <v>5</v>
      </c>
      <c r="AD268" s="4">
        <v>25</v>
      </c>
      <c r="AE268" s="4">
        <v>25</v>
      </c>
      <c r="AF268" s="4">
        <v>9</v>
      </c>
      <c r="AG268" s="4">
        <v>9</v>
      </c>
      <c r="AH268" s="4">
        <v>5</v>
      </c>
      <c r="AI268" s="4">
        <v>5</v>
      </c>
      <c r="AJ268" s="4">
        <v>12</v>
      </c>
      <c r="AK268" s="4">
        <v>12</v>
      </c>
      <c r="AL268" s="4">
        <v>4</v>
      </c>
      <c r="AM268" s="4">
        <v>4</v>
      </c>
      <c r="AN268" s="4">
        <v>0</v>
      </c>
      <c r="AO268" s="4">
        <v>0</v>
      </c>
      <c r="AP268" s="3" t="s">
        <v>58</v>
      </c>
      <c r="AQ268" s="3" t="s">
        <v>58</v>
      </c>
      <c r="AS268" s="6" t="str">
        <f>HYPERLINK("https://creighton-primo.hosted.exlibrisgroup.com/primo-explore/search?tab=default_tab&amp;search_scope=EVERYTHING&amp;vid=01CRU&amp;lang=en_US&amp;offset=0&amp;query=any,contains,991001592249702656","Catalog Record")</f>
        <v>Catalog Record</v>
      </c>
      <c r="AT268" s="6" t="str">
        <f>HYPERLINK("http://www.worldcat.org/oclc/20593701","WorldCat Record")</f>
        <v>WorldCat Record</v>
      </c>
      <c r="AU268" s="3" t="s">
        <v>3578</v>
      </c>
      <c r="AV268" s="3" t="s">
        <v>3579</v>
      </c>
      <c r="AW268" s="3" t="s">
        <v>3580</v>
      </c>
      <c r="AX268" s="3" t="s">
        <v>3580</v>
      </c>
      <c r="AY268" s="3" t="s">
        <v>3581</v>
      </c>
      <c r="AZ268" s="3" t="s">
        <v>74</v>
      </c>
      <c r="BB268" s="3" t="s">
        <v>3582</v>
      </c>
      <c r="BC268" s="3" t="s">
        <v>3583</v>
      </c>
      <c r="BD268" s="3" t="s">
        <v>3584</v>
      </c>
    </row>
    <row r="269" spans="1:56" ht="57.75" customHeight="1" x14ac:dyDescent="0.25">
      <c r="A269" s="7" t="s">
        <v>58</v>
      </c>
      <c r="B269" s="2" t="s">
        <v>3585</v>
      </c>
      <c r="C269" s="2" t="s">
        <v>3586</v>
      </c>
      <c r="D269" s="2" t="s">
        <v>3587</v>
      </c>
      <c r="F269" s="3" t="s">
        <v>58</v>
      </c>
      <c r="G269" s="3" t="s">
        <v>59</v>
      </c>
      <c r="H269" s="3" t="s">
        <v>58</v>
      </c>
      <c r="I269" s="3" t="s">
        <v>58</v>
      </c>
      <c r="J269" s="3" t="s">
        <v>60</v>
      </c>
      <c r="L269" s="2" t="s">
        <v>3588</v>
      </c>
      <c r="M269" s="3" t="s">
        <v>2578</v>
      </c>
      <c r="O269" s="3" t="s">
        <v>64</v>
      </c>
      <c r="P269" s="3" t="s">
        <v>412</v>
      </c>
      <c r="R269" s="3" t="s">
        <v>3084</v>
      </c>
      <c r="S269" s="4">
        <v>1</v>
      </c>
      <c r="T269" s="4">
        <v>1</v>
      </c>
      <c r="U269" s="5" t="s">
        <v>3589</v>
      </c>
      <c r="V269" s="5" t="s">
        <v>3589</v>
      </c>
      <c r="W269" s="5" t="s">
        <v>3590</v>
      </c>
      <c r="X269" s="5" t="s">
        <v>3590</v>
      </c>
      <c r="Y269" s="4">
        <v>518</v>
      </c>
      <c r="Z269" s="4">
        <v>367</v>
      </c>
      <c r="AA269" s="4">
        <v>372</v>
      </c>
      <c r="AB269" s="4">
        <v>4</v>
      </c>
      <c r="AC269" s="4">
        <v>4</v>
      </c>
      <c r="AD269" s="4">
        <v>15</v>
      </c>
      <c r="AE269" s="4">
        <v>15</v>
      </c>
      <c r="AF269" s="4">
        <v>4</v>
      </c>
      <c r="AG269" s="4">
        <v>4</v>
      </c>
      <c r="AH269" s="4">
        <v>3</v>
      </c>
      <c r="AI269" s="4">
        <v>3</v>
      </c>
      <c r="AJ269" s="4">
        <v>7</v>
      </c>
      <c r="AK269" s="4">
        <v>7</v>
      </c>
      <c r="AL269" s="4">
        <v>3</v>
      </c>
      <c r="AM269" s="4">
        <v>3</v>
      </c>
      <c r="AN269" s="4">
        <v>0</v>
      </c>
      <c r="AO269" s="4">
        <v>0</v>
      </c>
      <c r="AP269" s="3" t="s">
        <v>58</v>
      </c>
      <c r="AQ269" s="3" t="s">
        <v>58</v>
      </c>
      <c r="AS269" s="6" t="str">
        <f>HYPERLINK("https://creighton-primo.hosted.exlibrisgroup.com/primo-explore/search?tab=default_tab&amp;search_scope=EVERYTHING&amp;vid=01CRU&amp;lang=en_US&amp;offset=0&amp;query=any,contains,991002132599702656","Catalog Record")</f>
        <v>Catalog Record</v>
      </c>
      <c r="AT269" s="6" t="str">
        <f>HYPERLINK("http://www.worldcat.org/oclc/27338847","WorldCat Record")</f>
        <v>WorldCat Record</v>
      </c>
      <c r="AU269" s="3" t="s">
        <v>3591</v>
      </c>
      <c r="AV269" s="3" t="s">
        <v>3592</v>
      </c>
      <c r="AW269" s="3" t="s">
        <v>3593</v>
      </c>
      <c r="AX269" s="3" t="s">
        <v>3593</v>
      </c>
      <c r="AY269" s="3" t="s">
        <v>3594</v>
      </c>
      <c r="AZ269" s="3" t="s">
        <v>74</v>
      </c>
      <c r="BB269" s="3" t="s">
        <v>3595</v>
      </c>
      <c r="BC269" s="3" t="s">
        <v>3596</v>
      </c>
      <c r="BD269" s="3" t="s">
        <v>3597</v>
      </c>
    </row>
    <row r="270" spans="1:56" ht="57.75" customHeight="1" x14ac:dyDescent="0.25">
      <c r="A270" s="7" t="s">
        <v>58</v>
      </c>
      <c r="B270" s="2" t="s">
        <v>3598</v>
      </c>
      <c r="C270" s="2" t="s">
        <v>3599</v>
      </c>
      <c r="D270" s="2" t="s">
        <v>3600</v>
      </c>
      <c r="F270" s="3" t="s">
        <v>58</v>
      </c>
      <c r="G270" s="3" t="s">
        <v>59</v>
      </c>
      <c r="H270" s="3" t="s">
        <v>58</v>
      </c>
      <c r="I270" s="3" t="s">
        <v>58</v>
      </c>
      <c r="J270" s="3" t="s">
        <v>60</v>
      </c>
      <c r="K270" s="2" t="s">
        <v>3601</v>
      </c>
      <c r="L270" s="2" t="s">
        <v>3602</v>
      </c>
      <c r="M270" s="3" t="s">
        <v>323</v>
      </c>
      <c r="O270" s="3" t="s">
        <v>64</v>
      </c>
      <c r="P270" s="3" t="s">
        <v>412</v>
      </c>
      <c r="R270" s="3" t="s">
        <v>3084</v>
      </c>
      <c r="S270" s="4">
        <v>4</v>
      </c>
      <c r="T270" s="4">
        <v>4</v>
      </c>
      <c r="U270" s="5" t="s">
        <v>3603</v>
      </c>
      <c r="V270" s="5" t="s">
        <v>3603</v>
      </c>
      <c r="W270" s="5" t="s">
        <v>3604</v>
      </c>
      <c r="X270" s="5" t="s">
        <v>3604</v>
      </c>
      <c r="Y270" s="4">
        <v>530</v>
      </c>
      <c r="Z270" s="4">
        <v>306</v>
      </c>
      <c r="AA270" s="4">
        <v>368</v>
      </c>
      <c r="AB270" s="4">
        <v>3</v>
      </c>
      <c r="AC270" s="4">
        <v>3</v>
      </c>
      <c r="AD270" s="4">
        <v>16</v>
      </c>
      <c r="AE270" s="4">
        <v>17</v>
      </c>
      <c r="AF270" s="4">
        <v>4</v>
      </c>
      <c r="AG270" s="4">
        <v>4</v>
      </c>
      <c r="AH270" s="4">
        <v>7</v>
      </c>
      <c r="AI270" s="4">
        <v>7</v>
      </c>
      <c r="AJ270" s="4">
        <v>7</v>
      </c>
      <c r="AK270" s="4">
        <v>8</v>
      </c>
      <c r="AL270" s="4">
        <v>2</v>
      </c>
      <c r="AM270" s="4">
        <v>2</v>
      </c>
      <c r="AN270" s="4">
        <v>0</v>
      </c>
      <c r="AO270" s="4">
        <v>0</v>
      </c>
      <c r="AP270" s="3" t="s">
        <v>58</v>
      </c>
      <c r="AQ270" s="3" t="s">
        <v>69</v>
      </c>
      <c r="AR270" s="6" t="str">
        <f>HYPERLINK("http://catalog.hathitrust.org/Record/001541687","HathiTrust Record")</f>
        <v>HathiTrust Record</v>
      </c>
      <c r="AS270" s="6" t="str">
        <f>HYPERLINK("https://creighton-primo.hosted.exlibrisgroup.com/primo-explore/search?tab=default_tab&amp;search_scope=EVERYTHING&amp;vid=01CRU&amp;lang=en_US&amp;offset=0&amp;query=any,contains,991001462459702656","Catalog Record")</f>
        <v>Catalog Record</v>
      </c>
      <c r="AT270" s="6" t="str">
        <f>HYPERLINK("http://www.worldcat.org/oclc/19456727","WorldCat Record")</f>
        <v>WorldCat Record</v>
      </c>
      <c r="AU270" s="3" t="s">
        <v>3605</v>
      </c>
      <c r="AV270" s="3" t="s">
        <v>3606</v>
      </c>
      <c r="AW270" s="3" t="s">
        <v>3607</v>
      </c>
      <c r="AX270" s="3" t="s">
        <v>3607</v>
      </c>
      <c r="AY270" s="3" t="s">
        <v>3608</v>
      </c>
      <c r="AZ270" s="3" t="s">
        <v>74</v>
      </c>
      <c r="BB270" s="3" t="s">
        <v>3609</v>
      </c>
      <c r="BC270" s="3" t="s">
        <v>3610</v>
      </c>
      <c r="BD270" s="3" t="s">
        <v>3611</v>
      </c>
    </row>
    <row r="271" spans="1:56" ht="57.75" customHeight="1" x14ac:dyDescent="0.25">
      <c r="A271" s="7" t="s">
        <v>58</v>
      </c>
      <c r="B271" s="2" t="s">
        <v>3612</v>
      </c>
      <c r="C271" s="2" t="s">
        <v>3613</v>
      </c>
      <c r="D271" s="2" t="s">
        <v>3614</v>
      </c>
      <c r="F271" s="3" t="s">
        <v>58</v>
      </c>
      <c r="G271" s="3" t="s">
        <v>59</v>
      </c>
      <c r="H271" s="3" t="s">
        <v>58</v>
      </c>
      <c r="I271" s="3" t="s">
        <v>58</v>
      </c>
      <c r="J271" s="3" t="s">
        <v>60</v>
      </c>
      <c r="K271" s="2" t="s">
        <v>3615</v>
      </c>
      <c r="L271" s="2" t="s">
        <v>3616</v>
      </c>
      <c r="M271" s="3" t="s">
        <v>1886</v>
      </c>
      <c r="O271" s="3" t="s">
        <v>64</v>
      </c>
      <c r="P271" s="3" t="s">
        <v>540</v>
      </c>
      <c r="R271" s="3" t="s">
        <v>3084</v>
      </c>
      <c r="S271" s="4">
        <v>10</v>
      </c>
      <c r="T271" s="4">
        <v>10</v>
      </c>
      <c r="U271" s="5" t="s">
        <v>3617</v>
      </c>
      <c r="V271" s="5" t="s">
        <v>3617</v>
      </c>
      <c r="W271" s="5" t="s">
        <v>2317</v>
      </c>
      <c r="X271" s="5" t="s">
        <v>2317</v>
      </c>
      <c r="Y271" s="4">
        <v>348</v>
      </c>
      <c r="Z271" s="4">
        <v>299</v>
      </c>
      <c r="AA271" s="4">
        <v>364</v>
      </c>
      <c r="AB271" s="4">
        <v>3</v>
      </c>
      <c r="AC271" s="4">
        <v>4</v>
      </c>
      <c r="AD271" s="4">
        <v>13</v>
      </c>
      <c r="AE271" s="4">
        <v>16</v>
      </c>
      <c r="AF271" s="4">
        <v>5</v>
      </c>
      <c r="AG271" s="4">
        <v>5</v>
      </c>
      <c r="AH271" s="4">
        <v>2</v>
      </c>
      <c r="AI271" s="4">
        <v>2</v>
      </c>
      <c r="AJ271" s="4">
        <v>8</v>
      </c>
      <c r="AK271" s="4">
        <v>10</v>
      </c>
      <c r="AL271" s="4">
        <v>2</v>
      </c>
      <c r="AM271" s="4">
        <v>3</v>
      </c>
      <c r="AN271" s="4">
        <v>0</v>
      </c>
      <c r="AO271" s="4">
        <v>0</v>
      </c>
      <c r="AP271" s="3" t="s">
        <v>58</v>
      </c>
      <c r="AQ271" s="3" t="s">
        <v>69</v>
      </c>
      <c r="AR271" s="6" t="str">
        <f>HYPERLINK("http://catalog.hathitrust.org/Record/000433314","HathiTrust Record")</f>
        <v>HathiTrust Record</v>
      </c>
      <c r="AS271" s="6" t="str">
        <f>HYPERLINK("https://creighton-primo.hosted.exlibrisgroup.com/primo-explore/search?tab=default_tab&amp;search_scope=EVERYTHING&amp;vid=01CRU&amp;lang=en_US&amp;offset=0&amp;query=any,contains,991000808139702656","Catalog Record")</f>
        <v>Catalog Record</v>
      </c>
      <c r="AT271" s="6" t="str">
        <f>HYPERLINK("http://www.worldcat.org/oclc/13327823","WorldCat Record")</f>
        <v>WorldCat Record</v>
      </c>
      <c r="AU271" s="3" t="s">
        <v>3618</v>
      </c>
      <c r="AV271" s="3" t="s">
        <v>3619</v>
      </c>
      <c r="AW271" s="3" t="s">
        <v>3620</v>
      </c>
      <c r="AX271" s="3" t="s">
        <v>3620</v>
      </c>
      <c r="AY271" s="3" t="s">
        <v>3621</v>
      </c>
      <c r="AZ271" s="3" t="s">
        <v>74</v>
      </c>
      <c r="BB271" s="3" t="s">
        <v>3622</v>
      </c>
      <c r="BC271" s="3" t="s">
        <v>3623</v>
      </c>
      <c r="BD271" s="3" t="s">
        <v>3624</v>
      </c>
    </row>
    <row r="272" spans="1:56" ht="57.75" customHeight="1" x14ac:dyDescent="0.25">
      <c r="A272" s="7" t="s">
        <v>58</v>
      </c>
      <c r="B272" s="2" t="s">
        <v>3625</v>
      </c>
      <c r="C272" s="2" t="s">
        <v>3626</v>
      </c>
      <c r="D272" s="2" t="s">
        <v>3627</v>
      </c>
      <c r="F272" s="3" t="s">
        <v>58</v>
      </c>
      <c r="G272" s="3" t="s">
        <v>59</v>
      </c>
      <c r="H272" s="3" t="s">
        <v>58</v>
      </c>
      <c r="I272" s="3" t="s">
        <v>58</v>
      </c>
      <c r="J272" s="3" t="s">
        <v>60</v>
      </c>
      <c r="L272" s="2" t="s">
        <v>3628</v>
      </c>
      <c r="M272" s="3" t="s">
        <v>763</v>
      </c>
      <c r="O272" s="3" t="s">
        <v>64</v>
      </c>
      <c r="P272" s="3" t="s">
        <v>65</v>
      </c>
      <c r="Q272" s="2" t="s">
        <v>3629</v>
      </c>
      <c r="R272" s="3" t="s">
        <v>3084</v>
      </c>
      <c r="S272" s="4">
        <v>1</v>
      </c>
      <c r="T272" s="4">
        <v>1</v>
      </c>
      <c r="U272" s="5" t="s">
        <v>3630</v>
      </c>
      <c r="V272" s="5" t="s">
        <v>3630</v>
      </c>
      <c r="W272" s="5" t="s">
        <v>3631</v>
      </c>
      <c r="X272" s="5" t="s">
        <v>3631</v>
      </c>
      <c r="Y272" s="4">
        <v>713</v>
      </c>
      <c r="Z272" s="4">
        <v>522</v>
      </c>
      <c r="AA272" s="4">
        <v>527</v>
      </c>
      <c r="AB272" s="4">
        <v>5</v>
      </c>
      <c r="AC272" s="4">
        <v>5</v>
      </c>
      <c r="AD272" s="4">
        <v>23</v>
      </c>
      <c r="AE272" s="4">
        <v>23</v>
      </c>
      <c r="AF272" s="4">
        <v>11</v>
      </c>
      <c r="AG272" s="4">
        <v>11</v>
      </c>
      <c r="AH272" s="4">
        <v>4</v>
      </c>
      <c r="AI272" s="4">
        <v>4</v>
      </c>
      <c r="AJ272" s="4">
        <v>11</v>
      </c>
      <c r="AK272" s="4">
        <v>11</v>
      </c>
      <c r="AL272" s="4">
        <v>3</v>
      </c>
      <c r="AM272" s="4">
        <v>3</v>
      </c>
      <c r="AN272" s="4">
        <v>0</v>
      </c>
      <c r="AO272" s="4">
        <v>0</v>
      </c>
      <c r="AP272" s="3" t="s">
        <v>58</v>
      </c>
      <c r="AQ272" s="3" t="s">
        <v>69</v>
      </c>
      <c r="AR272" s="6" t="str">
        <f>HYPERLINK("http://catalog.hathitrust.org/Record/002518212","HathiTrust Record")</f>
        <v>HathiTrust Record</v>
      </c>
      <c r="AS272" s="6" t="str">
        <f>HYPERLINK("https://creighton-primo.hosted.exlibrisgroup.com/primo-explore/search?tab=default_tab&amp;search_scope=EVERYTHING&amp;vid=01CRU&amp;lang=en_US&amp;offset=0&amp;query=any,contains,991001649209702656","Catalog Record")</f>
        <v>Catalog Record</v>
      </c>
      <c r="AT272" s="6" t="str">
        <f>HYPERLINK("http://www.worldcat.org/oclc/21078500","WorldCat Record")</f>
        <v>WorldCat Record</v>
      </c>
      <c r="AU272" s="3" t="s">
        <v>3632</v>
      </c>
      <c r="AV272" s="3" t="s">
        <v>3633</v>
      </c>
      <c r="AW272" s="3" t="s">
        <v>3634</v>
      </c>
      <c r="AX272" s="3" t="s">
        <v>3634</v>
      </c>
      <c r="AY272" s="3" t="s">
        <v>3635</v>
      </c>
      <c r="AZ272" s="3" t="s">
        <v>74</v>
      </c>
      <c r="BB272" s="3" t="s">
        <v>3636</v>
      </c>
      <c r="BC272" s="3" t="s">
        <v>3637</v>
      </c>
      <c r="BD272" s="3" t="s">
        <v>3638</v>
      </c>
    </row>
    <row r="273" spans="1:56" ht="57.75" customHeight="1" x14ac:dyDescent="0.25">
      <c r="A273" s="7" t="s">
        <v>58</v>
      </c>
      <c r="B273" s="2" t="s">
        <v>3639</v>
      </c>
      <c r="C273" s="2" t="s">
        <v>3640</v>
      </c>
      <c r="D273" s="2" t="s">
        <v>3641</v>
      </c>
      <c r="F273" s="3" t="s">
        <v>58</v>
      </c>
      <c r="G273" s="3" t="s">
        <v>59</v>
      </c>
      <c r="H273" s="3" t="s">
        <v>58</v>
      </c>
      <c r="I273" s="3" t="s">
        <v>58</v>
      </c>
      <c r="J273" s="3" t="s">
        <v>60</v>
      </c>
      <c r="K273" s="2" t="s">
        <v>3642</v>
      </c>
      <c r="L273" s="2" t="s">
        <v>3643</v>
      </c>
      <c r="M273" s="3" t="s">
        <v>1120</v>
      </c>
      <c r="N273" s="2" t="s">
        <v>606</v>
      </c>
      <c r="O273" s="3" t="s">
        <v>64</v>
      </c>
      <c r="P273" s="3" t="s">
        <v>250</v>
      </c>
      <c r="R273" s="3" t="s">
        <v>3084</v>
      </c>
      <c r="S273" s="4">
        <v>2</v>
      </c>
      <c r="T273" s="4">
        <v>2</v>
      </c>
      <c r="U273" s="5" t="s">
        <v>3644</v>
      </c>
      <c r="V273" s="5" t="s">
        <v>3644</v>
      </c>
      <c r="W273" s="5" t="s">
        <v>3645</v>
      </c>
      <c r="X273" s="5" t="s">
        <v>3645</v>
      </c>
      <c r="Y273" s="4">
        <v>537</v>
      </c>
      <c r="Z273" s="4">
        <v>366</v>
      </c>
      <c r="AA273" s="4">
        <v>417</v>
      </c>
      <c r="AB273" s="4">
        <v>2</v>
      </c>
      <c r="AC273" s="4">
        <v>2</v>
      </c>
      <c r="AD273" s="4">
        <v>15</v>
      </c>
      <c r="AE273" s="4">
        <v>15</v>
      </c>
      <c r="AF273" s="4">
        <v>5</v>
      </c>
      <c r="AG273" s="4">
        <v>5</v>
      </c>
      <c r="AH273" s="4">
        <v>4</v>
      </c>
      <c r="AI273" s="4">
        <v>4</v>
      </c>
      <c r="AJ273" s="4">
        <v>9</v>
      </c>
      <c r="AK273" s="4">
        <v>9</v>
      </c>
      <c r="AL273" s="4">
        <v>1</v>
      </c>
      <c r="AM273" s="4">
        <v>1</v>
      </c>
      <c r="AN273" s="4">
        <v>0</v>
      </c>
      <c r="AO273" s="4">
        <v>0</v>
      </c>
      <c r="AP273" s="3" t="s">
        <v>58</v>
      </c>
      <c r="AQ273" s="3" t="s">
        <v>69</v>
      </c>
      <c r="AR273" s="6" t="str">
        <f>HYPERLINK("http://catalog.hathitrust.org/Record/000390027","HathiTrust Record")</f>
        <v>HathiTrust Record</v>
      </c>
      <c r="AS273" s="6" t="str">
        <f>HYPERLINK("https://creighton-primo.hosted.exlibrisgroup.com/primo-explore/search?tab=default_tab&amp;search_scope=EVERYTHING&amp;vid=01CRU&amp;lang=en_US&amp;offset=0&amp;query=any,contains,991000721679702656","Catalog Record")</f>
        <v>Catalog Record</v>
      </c>
      <c r="AT273" s="6" t="str">
        <f>HYPERLINK("http://www.worldcat.org/oclc/12667099","WorldCat Record")</f>
        <v>WorldCat Record</v>
      </c>
      <c r="AU273" s="3" t="s">
        <v>3646</v>
      </c>
      <c r="AV273" s="3" t="s">
        <v>3647</v>
      </c>
      <c r="AW273" s="3" t="s">
        <v>3648</v>
      </c>
      <c r="AX273" s="3" t="s">
        <v>3648</v>
      </c>
      <c r="AY273" s="3" t="s">
        <v>3649</v>
      </c>
      <c r="AZ273" s="3" t="s">
        <v>74</v>
      </c>
      <c r="BB273" s="3" t="s">
        <v>3650</v>
      </c>
      <c r="BC273" s="3" t="s">
        <v>3651</v>
      </c>
      <c r="BD273" s="3" t="s">
        <v>3652</v>
      </c>
    </row>
    <row r="274" spans="1:56" ht="57.75" customHeight="1" x14ac:dyDescent="0.25">
      <c r="A274" s="7" t="s">
        <v>58</v>
      </c>
      <c r="B274" s="2" t="s">
        <v>3653</v>
      </c>
      <c r="C274" s="2" t="s">
        <v>3654</v>
      </c>
      <c r="D274" s="2" t="s">
        <v>3655</v>
      </c>
      <c r="F274" s="3" t="s">
        <v>58</v>
      </c>
      <c r="G274" s="3" t="s">
        <v>59</v>
      </c>
      <c r="H274" s="3" t="s">
        <v>58</v>
      </c>
      <c r="I274" s="3" t="s">
        <v>58</v>
      </c>
      <c r="J274" s="3" t="s">
        <v>60</v>
      </c>
      <c r="K274" s="2" t="s">
        <v>3081</v>
      </c>
      <c r="L274" s="2" t="s">
        <v>3656</v>
      </c>
      <c r="M274" s="3" t="s">
        <v>323</v>
      </c>
      <c r="O274" s="3" t="s">
        <v>64</v>
      </c>
      <c r="P274" s="3" t="s">
        <v>179</v>
      </c>
      <c r="Q274" s="2" t="s">
        <v>3083</v>
      </c>
      <c r="R274" s="3" t="s">
        <v>3084</v>
      </c>
      <c r="S274" s="4">
        <v>7</v>
      </c>
      <c r="T274" s="4">
        <v>7</v>
      </c>
      <c r="U274" s="5" t="s">
        <v>3644</v>
      </c>
      <c r="V274" s="5" t="s">
        <v>3644</v>
      </c>
      <c r="W274" s="5" t="s">
        <v>3657</v>
      </c>
      <c r="X274" s="5" t="s">
        <v>3657</v>
      </c>
      <c r="Y274" s="4">
        <v>544</v>
      </c>
      <c r="Z274" s="4">
        <v>454</v>
      </c>
      <c r="AA274" s="4">
        <v>778</v>
      </c>
      <c r="AB274" s="4">
        <v>5</v>
      </c>
      <c r="AC274" s="4">
        <v>5</v>
      </c>
      <c r="AD274" s="4">
        <v>25</v>
      </c>
      <c r="AE274" s="4">
        <v>36</v>
      </c>
      <c r="AF274" s="4">
        <v>8</v>
      </c>
      <c r="AG274" s="4">
        <v>15</v>
      </c>
      <c r="AH274" s="4">
        <v>8</v>
      </c>
      <c r="AI274" s="4">
        <v>11</v>
      </c>
      <c r="AJ274" s="4">
        <v>12</v>
      </c>
      <c r="AK274" s="4">
        <v>16</v>
      </c>
      <c r="AL274" s="4">
        <v>3</v>
      </c>
      <c r="AM274" s="4">
        <v>3</v>
      </c>
      <c r="AN274" s="4">
        <v>0</v>
      </c>
      <c r="AO274" s="4">
        <v>0</v>
      </c>
      <c r="AP274" s="3" t="s">
        <v>58</v>
      </c>
      <c r="AQ274" s="3" t="s">
        <v>69</v>
      </c>
      <c r="AR274" s="6" t="str">
        <f>HYPERLINK("http://catalog.hathitrust.org/Record/001297776","HathiTrust Record")</f>
        <v>HathiTrust Record</v>
      </c>
      <c r="AS274" s="6" t="str">
        <f>HYPERLINK("https://creighton-primo.hosted.exlibrisgroup.com/primo-explore/search?tab=default_tab&amp;search_scope=EVERYTHING&amp;vid=01CRU&amp;lang=en_US&amp;offset=0&amp;query=any,contains,991001401859702656","Catalog Record")</f>
        <v>Catalog Record</v>
      </c>
      <c r="AT274" s="6" t="str">
        <f>HYPERLINK("http://www.worldcat.org/oclc/18832884","WorldCat Record")</f>
        <v>WorldCat Record</v>
      </c>
      <c r="AU274" s="3" t="s">
        <v>3658</v>
      </c>
      <c r="AV274" s="3" t="s">
        <v>3659</v>
      </c>
      <c r="AW274" s="3" t="s">
        <v>3660</v>
      </c>
      <c r="AX274" s="3" t="s">
        <v>3660</v>
      </c>
      <c r="AY274" s="3" t="s">
        <v>3661</v>
      </c>
      <c r="AZ274" s="3" t="s">
        <v>74</v>
      </c>
      <c r="BB274" s="3" t="s">
        <v>3662</v>
      </c>
      <c r="BC274" s="3" t="s">
        <v>3663</v>
      </c>
      <c r="BD274" s="3" t="s">
        <v>3664</v>
      </c>
    </row>
    <row r="275" spans="1:56" ht="57.75" customHeight="1" x14ac:dyDescent="0.25">
      <c r="A275" s="7" t="s">
        <v>58</v>
      </c>
      <c r="B275" s="2" t="s">
        <v>3665</v>
      </c>
      <c r="C275" s="2" t="s">
        <v>3666</v>
      </c>
      <c r="D275" s="2" t="s">
        <v>3667</v>
      </c>
      <c r="F275" s="3" t="s">
        <v>58</v>
      </c>
      <c r="G275" s="3" t="s">
        <v>59</v>
      </c>
      <c r="H275" s="3" t="s">
        <v>58</v>
      </c>
      <c r="I275" s="3" t="s">
        <v>58</v>
      </c>
      <c r="J275" s="3" t="s">
        <v>60</v>
      </c>
      <c r="K275" s="2" t="s">
        <v>3668</v>
      </c>
      <c r="L275" s="2" t="s">
        <v>3669</v>
      </c>
      <c r="M275" s="3" t="s">
        <v>1886</v>
      </c>
      <c r="O275" s="3" t="s">
        <v>64</v>
      </c>
      <c r="P275" s="3" t="s">
        <v>65</v>
      </c>
      <c r="R275" s="3" t="s">
        <v>3084</v>
      </c>
      <c r="S275" s="4">
        <v>4</v>
      </c>
      <c r="T275" s="4">
        <v>4</v>
      </c>
      <c r="U275" s="5" t="s">
        <v>3670</v>
      </c>
      <c r="V275" s="5" t="s">
        <v>3670</v>
      </c>
      <c r="W275" s="5" t="s">
        <v>3671</v>
      </c>
      <c r="X275" s="5" t="s">
        <v>3671</v>
      </c>
      <c r="Y275" s="4">
        <v>294</v>
      </c>
      <c r="Z275" s="4">
        <v>238</v>
      </c>
      <c r="AA275" s="4">
        <v>310</v>
      </c>
      <c r="AB275" s="4">
        <v>2</v>
      </c>
      <c r="AC275" s="4">
        <v>2</v>
      </c>
      <c r="AD275" s="4">
        <v>6</v>
      </c>
      <c r="AE275" s="4">
        <v>10</v>
      </c>
      <c r="AF275" s="4">
        <v>2</v>
      </c>
      <c r="AG275" s="4">
        <v>4</v>
      </c>
      <c r="AH275" s="4">
        <v>1</v>
      </c>
      <c r="AI275" s="4">
        <v>2</v>
      </c>
      <c r="AJ275" s="4">
        <v>5</v>
      </c>
      <c r="AK275" s="4">
        <v>7</v>
      </c>
      <c r="AL275" s="4">
        <v>1</v>
      </c>
      <c r="AM275" s="4">
        <v>1</v>
      </c>
      <c r="AN275" s="4">
        <v>0</v>
      </c>
      <c r="AO275" s="4">
        <v>0</v>
      </c>
      <c r="AP275" s="3" t="s">
        <v>58</v>
      </c>
      <c r="AQ275" s="3" t="s">
        <v>58</v>
      </c>
      <c r="AS275" s="6" t="str">
        <f>HYPERLINK("https://creighton-primo.hosted.exlibrisgroup.com/primo-explore/search?tab=default_tab&amp;search_scope=EVERYTHING&amp;vid=01CRU&amp;lang=en_US&amp;offset=0&amp;query=any,contains,991000914899702656","Catalog Record")</f>
        <v>Catalog Record</v>
      </c>
      <c r="AT275" s="6" t="str">
        <f>HYPERLINK("http://www.worldcat.org/oclc/14167041","WorldCat Record")</f>
        <v>WorldCat Record</v>
      </c>
      <c r="AU275" s="3" t="s">
        <v>3672</v>
      </c>
      <c r="AV275" s="3" t="s">
        <v>3673</v>
      </c>
      <c r="AW275" s="3" t="s">
        <v>3674</v>
      </c>
      <c r="AX275" s="3" t="s">
        <v>3674</v>
      </c>
      <c r="AY275" s="3" t="s">
        <v>3675</v>
      </c>
      <c r="AZ275" s="3" t="s">
        <v>74</v>
      </c>
      <c r="BB275" s="3" t="s">
        <v>3676</v>
      </c>
      <c r="BC275" s="3" t="s">
        <v>3677</v>
      </c>
      <c r="BD275" s="3" t="s">
        <v>3678</v>
      </c>
    </row>
    <row r="276" spans="1:56" ht="57.75" customHeight="1" x14ac:dyDescent="0.25">
      <c r="A276" s="7" t="s">
        <v>58</v>
      </c>
      <c r="B276" s="2" t="s">
        <v>3679</v>
      </c>
      <c r="C276" s="2" t="s">
        <v>3680</v>
      </c>
      <c r="D276" s="2" t="s">
        <v>3681</v>
      </c>
      <c r="F276" s="3" t="s">
        <v>58</v>
      </c>
      <c r="G276" s="3" t="s">
        <v>59</v>
      </c>
      <c r="H276" s="3" t="s">
        <v>58</v>
      </c>
      <c r="I276" s="3" t="s">
        <v>58</v>
      </c>
      <c r="J276" s="3" t="s">
        <v>60</v>
      </c>
      <c r="L276" s="2" t="s">
        <v>3682</v>
      </c>
      <c r="M276" s="3" t="s">
        <v>1120</v>
      </c>
      <c r="O276" s="3" t="s">
        <v>64</v>
      </c>
      <c r="P276" s="3" t="s">
        <v>278</v>
      </c>
      <c r="Q276" s="2" t="s">
        <v>3683</v>
      </c>
      <c r="R276" s="3" t="s">
        <v>3084</v>
      </c>
      <c r="S276" s="4">
        <v>7</v>
      </c>
      <c r="T276" s="4">
        <v>7</v>
      </c>
      <c r="U276" s="5" t="s">
        <v>3617</v>
      </c>
      <c r="V276" s="5" t="s">
        <v>3617</v>
      </c>
      <c r="W276" s="5" t="s">
        <v>3671</v>
      </c>
      <c r="X276" s="5" t="s">
        <v>3671</v>
      </c>
      <c r="Y276" s="4">
        <v>519</v>
      </c>
      <c r="Z276" s="4">
        <v>401</v>
      </c>
      <c r="AA276" s="4">
        <v>406</v>
      </c>
      <c r="AB276" s="4">
        <v>4</v>
      </c>
      <c r="AC276" s="4">
        <v>4</v>
      </c>
      <c r="AD276" s="4">
        <v>17</v>
      </c>
      <c r="AE276" s="4">
        <v>17</v>
      </c>
      <c r="AF276" s="4">
        <v>6</v>
      </c>
      <c r="AG276" s="4">
        <v>6</v>
      </c>
      <c r="AH276" s="4">
        <v>4</v>
      </c>
      <c r="AI276" s="4">
        <v>4</v>
      </c>
      <c r="AJ276" s="4">
        <v>11</v>
      </c>
      <c r="AK276" s="4">
        <v>11</v>
      </c>
      <c r="AL276" s="4">
        <v>2</v>
      </c>
      <c r="AM276" s="4">
        <v>2</v>
      </c>
      <c r="AN276" s="4">
        <v>0</v>
      </c>
      <c r="AO276" s="4">
        <v>0</v>
      </c>
      <c r="AP276" s="3" t="s">
        <v>58</v>
      </c>
      <c r="AQ276" s="3" t="s">
        <v>69</v>
      </c>
      <c r="AR276" s="6" t="str">
        <f>HYPERLINK("http://catalog.hathitrust.org/Record/000623244","HathiTrust Record")</f>
        <v>HathiTrust Record</v>
      </c>
      <c r="AS276" s="6" t="str">
        <f>HYPERLINK("https://creighton-primo.hosted.exlibrisgroup.com/primo-explore/search?tab=default_tab&amp;search_scope=EVERYTHING&amp;vid=01CRU&amp;lang=en_US&amp;offset=0&amp;query=any,contains,991000595249702656","Catalog Record")</f>
        <v>Catalog Record</v>
      </c>
      <c r="AT276" s="6" t="str">
        <f>HYPERLINK("http://www.worldcat.org/oclc/11812276","WorldCat Record")</f>
        <v>WorldCat Record</v>
      </c>
      <c r="AU276" s="3" t="s">
        <v>3684</v>
      </c>
      <c r="AV276" s="3" t="s">
        <v>3685</v>
      </c>
      <c r="AW276" s="3" t="s">
        <v>3686</v>
      </c>
      <c r="AX276" s="3" t="s">
        <v>3686</v>
      </c>
      <c r="AY276" s="3" t="s">
        <v>3687</v>
      </c>
      <c r="AZ276" s="3" t="s">
        <v>74</v>
      </c>
      <c r="BB276" s="3" t="s">
        <v>3688</v>
      </c>
      <c r="BC276" s="3" t="s">
        <v>3689</v>
      </c>
      <c r="BD276" s="3" t="s">
        <v>3690</v>
      </c>
    </row>
    <row r="277" spans="1:56" ht="57.75" customHeight="1" x14ac:dyDescent="0.25">
      <c r="A277" s="7" t="s">
        <v>58</v>
      </c>
      <c r="B277" s="2" t="s">
        <v>3691</v>
      </c>
      <c r="C277" s="2" t="s">
        <v>3692</v>
      </c>
      <c r="D277" s="2" t="s">
        <v>3693</v>
      </c>
      <c r="F277" s="3" t="s">
        <v>58</v>
      </c>
      <c r="G277" s="3" t="s">
        <v>59</v>
      </c>
      <c r="H277" s="3" t="s">
        <v>58</v>
      </c>
      <c r="I277" s="3" t="s">
        <v>58</v>
      </c>
      <c r="J277" s="3" t="s">
        <v>60</v>
      </c>
      <c r="K277" s="2" t="s">
        <v>3694</v>
      </c>
      <c r="L277" s="2" t="s">
        <v>3695</v>
      </c>
      <c r="M277" s="3" t="s">
        <v>763</v>
      </c>
      <c r="O277" s="3" t="s">
        <v>64</v>
      </c>
      <c r="P277" s="3" t="s">
        <v>1841</v>
      </c>
      <c r="R277" s="3" t="s">
        <v>3084</v>
      </c>
      <c r="S277" s="4">
        <v>4</v>
      </c>
      <c r="T277" s="4">
        <v>4</v>
      </c>
      <c r="U277" s="5" t="s">
        <v>3696</v>
      </c>
      <c r="V277" s="5" t="s">
        <v>3696</v>
      </c>
      <c r="W277" s="5" t="s">
        <v>3697</v>
      </c>
      <c r="X277" s="5" t="s">
        <v>3697</v>
      </c>
      <c r="Y277" s="4">
        <v>978</v>
      </c>
      <c r="Z277" s="4">
        <v>767</v>
      </c>
      <c r="AA277" s="4">
        <v>829</v>
      </c>
      <c r="AB277" s="4">
        <v>6</v>
      </c>
      <c r="AC277" s="4">
        <v>7</v>
      </c>
      <c r="AD277" s="4">
        <v>32</v>
      </c>
      <c r="AE277" s="4">
        <v>39</v>
      </c>
      <c r="AF277" s="4">
        <v>11</v>
      </c>
      <c r="AG277" s="4">
        <v>15</v>
      </c>
      <c r="AH277" s="4">
        <v>7</v>
      </c>
      <c r="AI277" s="4">
        <v>8</v>
      </c>
      <c r="AJ277" s="4">
        <v>14</v>
      </c>
      <c r="AK277" s="4">
        <v>15</v>
      </c>
      <c r="AL277" s="4">
        <v>5</v>
      </c>
      <c r="AM277" s="4">
        <v>6</v>
      </c>
      <c r="AN277" s="4">
        <v>0</v>
      </c>
      <c r="AO277" s="4">
        <v>0</v>
      </c>
      <c r="AP277" s="3" t="s">
        <v>58</v>
      </c>
      <c r="AQ277" s="3" t="s">
        <v>58</v>
      </c>
      <c r="AS277" s="6" t="str">
        <f>HYPERLINK("https://creighton-primo.hosted.exlibrisgroup.com/primo-explore/search?tab=default_tab&amp;search_scope=EVERYTHING&amp;vid=01CRU&amp;lang=en_US&amp;offset=0&amp;query=any,contains,991001573589702656","Catalog Record")</f>
        <v>Catalog Record</v>
      </c>
      <c r="AT277" s="6" t="str">
        <f>HYPERLINK("http://www.worldcat.org/oclc/20417770","WorldCat Record")</f>
        <v>WorldCat Record</v>
      </c>
      <c r="AU277" s="3" t="s">
        <v>3698</v>
      </c>
      <c r="AV277" s="3" t="s">
        <v>3699</v>
      </c>
      <c r="AW277" s="3" t="s">
        <v>3700</v>
      </c>
      <c r="AX277" s="3" t="s">
        <v>3700</v>
      </c>
      <c r="AY277" s="3" t="s">
        <v>3701</v>
      </c>
      <c r="AZ277" s="3" t="s">
        <v>74</v>
      </c>
      <c r="BB277" s="3" t="s">
        <v>3702</v>
      </c>
      <c r="BC277" s="3" t="s">
        <v>3703</v>
      </c>
      <c r="BD277" s="3" t="s">
        <v>3704</v>
      </c>
    </row>
    <row r="278" spans="1:56" ht="57.75" customHeight="1" x14ac:dyDescent="0.25">
      <c r="A278" s="7" t="s">
        <v>58</v>
      </c>
      <c r="B278" s="2" t="s">
        <v>3705</v>
      </c>
      <c r="C278" s="2" t="s">
        <v>3706</v>
      </c>
      <c r="D278" s="2" t="s">
        <v>3707</v>
      </c>
      <c r="F278" s="3" t="s">
        <v>58</v>
      </c>
      <c r="G278" s="3" t="s">
        <v>59</v>
      </c>
      <c r="H278" s="3" t="s">
        <v>58</v>
      </c>
      <c r="I278" s="3" t="s">
        <v>58</v>
      </c>
      <c r="J278" s="3" t="s">
        <v>60</v>
      </c>
      <c r="K278" s="2" t="s">
        <v>3708</v>
      </c>
      <c r="L278" s="2" t="s">
        <v>3709</v>
      </c>
      <c r="M278" s="3" t="s">
        <v>1254</v>
      </c>
      <c r="O278" s="3" t="s">
        <v>64</v>
      </c>
      <c r="P278" s="3" t="s">
        <v>3710</v>
      </c>
      <c r="R278" s="3" t="s">
        <v>3084</v>
      </c>
      <c r="S278" s="4">
        <v>11</v>
      </c>
      <c r="T278" s="4">
        <v>11</v>
      </c>
      <c r="U278" s="5" t="s">
        <v>3711</v>
      </c>
      <c r="V278" s="5" t="s">
        <v>3711</v>
      </c>
      <c r="W278" s="5" t="s">
        <v>3712</v>
      </c>
      <c r="X278" s="5" t="s">
        <v>3712</v>
      </c>
      <c r="Y278" s="4">
        <v>362</v>
      </c>
      <c r="Z278" s="4">
        <v>285</v>
      </c>
      <c r="AA278" s="4">
        <v>320</v>
      </c>
      <c r="AB278" s="4">
        <v>2</v>
      </c>
      <c r="AC278" s="4">
        <v>2</v>
      </c>
      <c r="AD278" s="4">
        <v>15</v>
      </c>
      <c r="AE278" s="4">
        <v>15</v>
      </c>
      <c r="AF278" s="4">
        <v>4</v>
      </c>
      <c r="AG278" s="4">
        <v>4</v>
      </c>
      <c r="AH278" s="4">
        <v>4</v>
      </c>
      <c r="AI278" s="4">
        <v>4</v>
      </c>
      <c r="AJ278" s="4">
        <v>10</v>
      </c>
      <c r="AK278" s="4">
        <v>10</v>
      </c>
      <c r="AL278" s="4">
        <v>1</v>
      </c>
      <c r="AM278" s="4">
        <v>1</v>
      </c>
      <c r="AN278" s="4">
        <v>0</v>
      </c>
      <c r="AO278" s="4">
        <v>0</v>
      </c>
      <c r="AP278" s="3" t="s">
        <v>58</v>
      </c>
      <c r="AQ278" s="3" t="s">
        <v>69</v>
      </c>
      <c r="AR278" s="6" t="str">
        <f>HYPERLINK("http://catalog.hathitrust.org/Record/004200712","HathiTrust Record")</f>
        <v>HathiTrust Record</v>
      </c>
      <c r="AS278" s="6" t="str">
        <f>HYPERLINK("https://creighton-primo.hosted.exlibrisgroup.com/primo-explore/search?tab=default_tab&amp;search_scope=EVERYTHING&amp;vid=01CRU&amp;lang=en_US&amp;offset=0&amp;query=any,contains,991003863759702656","Catalog Record")</f>
        <v>Catalog Record</v>
      </c>
      <c r="AT278" s="6" t="str">
        <f>HYPERLINK("http://www.worldcat.org/oclc/49225393","WorldCat Record")</f>
        <v>WorldCat Record</v>
      </c>
      <c r="AU278" s="3" t="s">
        <v>3713</v>
      </c>
      <c r="AV278" s="3" t="s">
        <v>3714</v>
      </c>
      <c r="AW278" s="3" t="s">
        <v>3715</v>
      </c>
      <c r="AX278" s="3" t="s">
        <v>3715</v>
      </c>
      <c r="AY278" s="3" t="s">
        <v>3716</v>
      </c>
      <c r="AZ278" s="3" t="s">
        <v>74</v>
      </c>
      <c r="BB278" s="3" t="s">
        <v>3717</v>
      </c>
      <c r="BC278" s="3" t="s">
        <v>3718</v>
      </c>
      <c r="BD278" s="3" t="s">
        <v>3719</v>
      </c>
    </row>
    <row r="279" spans="1:56" ht="57.75" customHeight="1" x14ac:dyDescent="0.25">
      <c r="A279" s="7" t="s">
        <v>58</v>
      </c>
      <c r="B279" s="2" t="s">
        <v>3720</v>
      </c>
      <c r="C279" s="2" t="s">
        <v>3721</v>
      </c>
      <c r="D279" s="2" t="s">
        <v>3722</v>
      </c>
      <c r="F279" s="3" t="s">
        <v>58</v>
      </c>
      <c r="G279" s="3" t="s">
        <v>59</v>
      </c>
      <c r="H279" s="3" t="s">
        <v>58</v>
      </c>
      <c r="I279" s="3" t="s">
        <v>58</v>
      </c>
      <c r="J279" s="3" t="s">
        <v>60</v>
      </c>
      <c r="K279" s="2" t="s">
        <v>3723</v>
      </c>
      <c r="L279" s="2" t="s">
        <v>3724</v>
      </c>
      <c r="M279" s="3" t="s">
        <v>577</v>
      </c>
      <c r="O279" s="3" t="s">
        <v>64</v>
      </c>
      <c r="P279" s="3" t="s">
        <v>65</v>
      </c>
      <c r="R279" s="3" t="s">
        <v>3084</v>
      </c>
      <c r="S279" s="4">
        <v>2</v>
      </c>
      <c r="T279" s="4">
        <v>2</v>
      </c>
      <c r="U279" s="5" t="s">
        <v>3725</v>
      </c>
      <c r="V279" s="5" t="s">
        <v>3725</v>
      </c>
      <c r="W279" s="5" t="s">
        <v>2697</v>
      </c>
      <c r="X279" s="5" t="s">
        <v>2697</v>
      </c>
      <c r="Y279" s="4">
        <v>1458</v>
      </c>
      <c r="Z279" s="4">
        <v>1348</v>
      </c>
      <c r="AA279" s="4">
        <v>1607</v>
      </c>
      <c r="AB279" s="4">
        <v>6</v>
      </c>
      <c r="AC279" s="4">
        <v>9</v>
      </c>
      <c r="AD279" s="4">
        <v>40</v>
      </c>
      <c r="AE279" s="4">
        <v>50</v>
      </c>
      <c r="AF279" s="4">
        <v>17</v>
      </c>
      <c r="AG279" s="4">
        <v>21</v>
      </c>
      <c r="AH279" s="4">
        <v>9</v>
      </c>
      <c r="AI279" s="4">
        <v>11</v>
      </c>
      <c r="AJ279" s="4">
        <v>19</v>
      </c>
      <c r="AK279" s="4">
        <v>22</v>
      </c>
      <c r="AL279" s="4">
        <v>5</v>
      </c>
      <c r="AM279" s="4">
        <v>8</v>
      </c>
      <c r="AN279" s="4">
        <v>0</v>
      </c>
      <c r="AO279" s="4">
        <v>0</v>
      </c>
      <c r="AP279" s="3" t="s">
        <v>58</v>
      </c>
      <c r="AQ279" s="3" t="s">
        <v>69</v>
      </c>
      <c r="AR279" s="6" t="str">
        <f>HYPERLINK("http://catalog.hathitrust.org/Record/000693825","HathiTrust Record")</f>
        <v>HathiTrust Record</v>
      </c>
      <c r="AS279" s="6" t="str">
        <f>HYPERLINK("https://creighton-primo.hosted.exlibrisgroup.com/primo-explore/search?tab=default_tab&amp;search_scope=EVERYTHING&amp;vid=01CRU&amp;lang=en_US&amp;offset=0&amp;query=any,contains,991003915209702656","Catalog Record")</f>
        <v>Catalog Record</v>
      </c>
      <c r="AT279" s="6" t="str">
        <f>HYPERLINK("http://www.worldcat.org/oclc/1858539","WorldCat Record")</f>
        <v>WorldCat Record</v>
      </c>
      <c r="AU279" s="3" t="s">
        <v>3726</v>
      </c>
      <c r="AV279" s="3" t="s">
        <v>3727</v>
      </c>
      <c r="AW279" s="3" t="s">
        <v>3728</v>
      </c>
      <c r="AX279" s="3" t="s">
        <v>3728</v>
      </c>
      <c r="AY279" s="3" t="s">
        <v>3729</v>
      </c>
      <c r="AZ279" s="3" t="s">
        <v>74</v>
      </c>
      <c r="BB279" s="3" t="s">
        <v>3730</v>
      </c>
      <c r="BC279" s="3" t="s">
        <v>3731</v>
      </c>
      <c r="BD279" s="3" t="s">
        <v>3732</v>
      </c>
    </row>
    <row r="280" spans="1:56" ht="57.75" customHeight="1" x14ac:dyDescent="0.25">
      <c r="A280" s="7" t="s">
        <v>58</v>
      </c>
      <c r="B280" s="2" t="s">
        <v>3733</v>
      </c>
      <c r="C280" s="2" t="s">
        <v>3734</v>
      </c>
      <c r="D280" s="2" t="s">
        <v>3735</v>
      </c>
      <c r="E280" s="3" t="s">
        <v>789</v>
      </c>
      <c r="F280" s="3" t="s">
        <v>69</v>
      </c>
      <c r="G280" s="3" t="s">
        <v>59</v>
      </c>
      <c r="H280" s="3" t="s">
        <v>58</v>
      </c>
      <c r="I280" s="3" t="s">
        <v>58</v>
      </c>
      <c r="J280" s="3" t="s">
        <v>60</v>
      </c>
      <c r="K280" s="2" t="s">
        <v>3736</v>
      </c>
      <c r="L280" s="2" t="s">
        <v>3737</v>
      </c>
      <c r="M280" s="3" t="s">
        <v>323</v>
      </c>
      <c r="O280" s="3" t="s">
        <v>64</v>
      </c>
      <c r="P280" s="3" t="s">
        <v>278</v>
      </c>
      <c r="R280" s="3" t="s">
        <v>3084</v>
      </c>
      <c r="S280" s="4">
        <v>1</v>
      </c>
      <c r="T280" s="4">
        <v>3</v>
      </c>
      <c r="U280" s="5" t="s">
        <v>3036</v>
      </c>
      <c r="V280" s="5" t="s">
        <v>3738</v>
      </c>
      <c r="W280" s="5" t="s">
        <v>3739</v>
      </c>
      <c r="X280" s="5" t="s">
        <v>3739</v>
      </c>
      <c r="Y280" s="4">
        <v>762</v>
      </c>
      <c r="Z280" s="4">
        <v>666</v>
      </c>
      <c r="AA280" s="4">
        <v>675</v>
      </c>
      <c r="AB280" s="4">
        <v>4</v>
      </c>
      <c r="AC280" s="4">
        <v>4</v>
      </c>
      <c r="AD280" s="4">
        <v>39</v>
      </c>
      <c r="AE280" s="4">
        <v>39</v>
      </c>
      <c r="AF280" s="4">
        <v>16</v>
      </c>
      <c r="AG280" s="4">
        <v>16</v>
      </c>
      <c r="AH280" s="4">
        <v>8</v>
      </c>
      <c r="AI280" s="4">
        <v>8</v>
      </c>
      <c r="AJ280" s="4">
        <v>22</v>
      </c>
      <c r="AK280" s="4">
        <v>22</v>
      </c>
      <c r="AL280" s="4">
        <v>3</v>
      </c>
      <c r="AM280" s="4">
        <v>3</v>
      </c>
      <c r="AN280" s="4">
        <v>1</v>
      </c>
      <c r="AO280" s="4">
        <v>1</v>
      </c>
      <c r="AP280" s="3" t="s">
        <v>58</v>
      </c>
      <c r="AQ280" s="3" t="s">
        <v>58</v>
      </c>
      <c r="AS280" s="6" t="str">
        <f>HYPERLINK("https://creighton-primo.hosted.exlibrisgroup.com/primo-explore/search?tab=default_tab&amp;search_scope=EVERYTHING&amp;vid=01CRU&amp;lang=en_US&amp;offset=0&amp;query=any,contains,991001330569702656","Catalog Record")</f>
        <v>Catalog Record</v>
      </c>
      <c r="AT280" s="6" t="str">
        <f>HYPERLINK("http://www.worldcat.org/oclc/18322284","WorldCat Record")</f>
        <v>WorldCat Record</v>
      </c>
      <c r="AU280" s="3" t="s">
        <v>3740</v>
      </c>
      <c r="AV280" s="3" t="s">
        <v>3741</v>
      </c>
      <c r="AW280" s="3" t="s">
        <v>3742</v>
      </c>
      <c r="AX280" s="3" t="s">
        <v>3742</v>
      </c>
      <c r="AY280" s="3" t="s">
        <v>3743</v>
      </c>
      <c r="AZ280" s="3" t="s">
        <v>74</v>
      </c>
      <c r="BB280" s="3" t="s">
        <v>3744</v>
      </c>
      <c r="BC280" s="3" t="s">
        <v>3745</v>
      </c>
      <c r="BD280" s="3" t="s">
        <v>3746</v>
      </c>
    </row>
    <row r="281" spans="1:56" ht="57.75" customHeight="1" x14ac:dyDescent="0.25">
      <c r="A281" s="7" t="s">
        <v>58</v>
      </c>
      <c r="B281" s="2" t="s">
        <v>3733</v>
      </c>
      <c r="C281" s="2" t="s">
        <v>3734</v>
      </c>
      <c r="D281" s="2" t="s">
        <v>3735</v>
      </c>
      <c r="E281" s="3" t="s">
        <v>801</v>
      </c>
      <c r="F281" s="3" t="s">
        <v>69</v>
      </c>
      <c r="G281" s="3" t="s">
        <v>59</v>
      </c>
      <c r="H281" s="3" t="s">
        <v>58</v>
      </c>
      <c r="I281" s="3" t="s">
        <v>58</v>
      </c>
      <c r="J281" s="3" t="s">
        <v>60</v>
      </c>
      <c r="K281" s="2" t="s">
        <v>3736</v>
      </c>
      <c r="L281" s="2" t="s">
        <v>3737</v>
      </c>
      <c r="M281" s="3" t="s">
        <v>323</v>
      </c>
      <c r="O281" s="3" t="s">
        <v>64</v>
      </c>
      <c r="P281" s="3" t="s">
        <v>278</v>
      </c>
      <c r="R281" s="3" t="s">
        <v>3084</v>
      </c>
      <c r="S281" s="4">
        <v>2</v>
      </c>
      <c r="T281" s="4">
        <v>3</v>
      </c>
      <c r="U281" s="5" t="s">
        <v>3738</v>
      </c>
      <c r="V281" s="5" t="s">
        <v>3738</v>
      </c>
      <c r="W281" s="5" t="s">
        <v>3739</v>
      </c>
      <c r="X281" s="5" t="s">
        <v>3739</v>
      </c>
      <c r="Y281" s="4">
        <v>762</v>
      </c>
      <c r="Z281" s="4">
        <v>666</v>
      </c>
      <c r="AA281" s="4">
        <v>675</v>
      </c>
      <c r="AB281" s="4">
        <v>4</v>
      </c>
      <c r="AC281" s="4">
        <v>4</v>
      </c>
      <c r="AD281" s="4">
        <v>39</v>
      </c>
      <c r="AE281" s="4">
        <v>39</v>
      </c>
      <c r="AF281" s="4">
        <v>16</v>
      </c>
      <c r="AG281" s="4">
        <v>16</v>
      </c>
      <c r="AH281" s="4">
        <v>8</v>
      </c>
      <c r="AI281" s="4">
        <v>8</v>
      </c>
      <c r="AJ281" s="4">
        <v>22</v>
      </c>
      <c r="AK281" s="4">
        <v>22</v>
      </c>
      <c r="AL281" s="4">
        <v>3</v>
      </c>
      <c r="AM281" s="4">
        <v>3</v>
      </c>
      <c r="AN281" s="4">
        <v>1</v>
      </c>
      <c r="AO281" s="4">
        <v>1</v>
      </c>
      <c r="AP281" s="3" t="s">
        <v>58</v>
      </c>
      <c r="AQ281" s="3" t="s">
        <v>58</v>
      </c>
      <c r="AS281" s="6" t="str">
        <f>HYPERLINK("https://creighton-primo.hosted.exlibrisgroup.com/primo-explore/search?tab=default_tab&amp;search_scope=EVERYTHING&amp;vid=01CRU&amp;lang=en_US&amp;offset=0&amp;query=any,contains,991001330569702656","Catalog Record")</f>
        <v>Catalog Record</v>
      </c>
      <c r="AT281" s="6" t="str">
        <f>HYPERLINK("http://www.worldcat.org/oclc/18322284","WorldCat Record")</f>
        <v>WorldCat Record</v>
      </c>
      <c r="AU281" s="3" t="s">
        <v>3740</v>
      </c>
      <c r="AV281" s="3" t="s">
        <v>3741</v>
      </c>
      <c r="AW281" s="3" t="s">
        <v>3742</v>
      </c>
      <c r="AX281" s="3" t="s">
        <v>3742</v>
      </c>
      <c r="AY281" s="3" t="s">
        <v>3743</v>
      </c>
      <c r="AZ281" s="3" t="s">
        <v>74</v>
      </c>
      <c r="BB281" s="3" t="s">
        <v>3744</v>
      </c>
      <c r="BC281" s="3" t="s">
        <v>3747</v>
      </c>
      <c r="BD281" s="3" t="s">
        <v>3748</v>
      </c>
    </row>
    <row r="282" spans="1:56" ht="57.75" customHeight="1" x14ac:dyDescent="0.25">
      <c r="A282" s="7" t="s">
        <v>58</v>
      </c>
      <c r="B282" s="2" t="s">
        <v>3749</v>
      </c>
      <c r="C282" s="2" t="s">
        <v>3750</v>
      </c>
      <c r="D282" s="2" t="s">
        <v>3751</v>
      </c>
      <c r="F282" s="3" t="s">
        <v>58</v>
      </c>
      <c r="G282" s="3" t="s">
        <v>59</v>
      </c>
      <c r="H282" s="3" t="s">
        <v>58</v>
      </c>
      <c r="I282" s="3" t="s">
        <v>58</v>
      </c>
      <c r="J282" s="3" t="s">
        <v>60</v>
      </c>
      <c r="K282" s="2" t="s">
        <v>3752</v>
      </c>
      <c r="L282" s="2" t="s">
        <v>3753</v>
      </c>
      <c r="M282" s="3" t="s">
        <v>138</v>
      </c>
      <c r="O282" s="3" t="s">
        <v>64</v>
      </c>
      <c r="P282" s="3" t="s">
        <v>3754</v>
      </c>
      <c r="R282" s="3" t="s">
        <v>3084</v>
      </c>
      <c r="S282" s="4">
        <v>2</v>
      </c>
      <c r="T282" s="4">
        <v>2</v>
      </c>
      <c r="U282" s="5" t="s">
        <v>3755</v>
      </c>
      <c r="V282" s="5" t="s">
        <v>3755</v>
      </c>
      <c r="W282" s="5" t="s">
        <v>483</v>
      </c>
      <c r="X282" s="5" t="s">
        <v>483</v>
      </c>
      <c r="Y282" s="4">
        <v>624</v>
      </c>
      <c r="Z282" s="4">
        <v>547</v>
      </c>
      <c r="AA282" s="4">
        <v>554</v>
      </c>
      <c r="AB282" s="4">
        <v>4</v>
      </c>
      <c r="AC282" s="4">
        <v>4</v>
      </c>
      <c r="AD282" s="4">
        <v>26</v>
      </c>
      <c r="AE282" s="4">
        <v>26</v>
      </c>
      <c r="AF282" s="4">
        <v>10</v>
      </c>
      <c r="AG282" s="4">
        <v>10</v>
      </c>
      <c r="AH282" s="4">
        <v>7</v>
      </c>
      <c r="AI282" s="4">
        <v>7</v>
      </c>
      <c r="AJ282" s="4">
        <v>14</v>
      </c>
      <c r="AK282" s="4">
        <v>14</v>
      </c>
      <c r="AL282" s="4">
        <v>3</v>
      </c>
      <c r="AM282" s="4">
        <v>3</v>
      </c>
      <c r="AN282" s="4">
        <v>0</v>
      </c>
      <c r="AO282" s="4">
        <v>0</v>
      </c>
      <c r="AP282" s="3" t="s">
        <v>58</v>
      </c>
      <c r="AQ282" s="3" t="s">
        <v>69</v>
      </c>
      <c r="AR282" s="6" t="str">
        <f>HYPERLINK("http://catalog.hathitrust.org/Record/000085198","HathiTrust Record")</f>
        <v>HathiTrust Record</v>
      </c>
      <c r="AS282" s="6" t="str">
        <f>HYPERLINK("https://creighton-primo.hosted.exlibrisgroup.com/primo-explore/search?tab=default_tab&amp;search_scope=EVERYTHING&amp;vid=01CRU&amp;lang=en_US&amp;offset=0&amp;query=any,contains,991004944969702656","Catalog Record")</f>
        <v>Catalog Record</v>
      </c>
      <c r="AT282" s="6" t="str">
        <f>HYPERLINK("http://www.worldcat.org/oclc/6200015","WorldCat Record")</f>
        <v>WorldCat Record</v>
      </c>
      <c r="AU282" s="3" t="s">
        <v>3756</v>
      </c>
      <c r="AV282" s="3" t="s">
        <v>3757</v>
      </c>
      <c r="AW282" s="3" t="s">
        <v>3758</v>
      </c>
      <c r="AX282" s="3" t="s">
        <v>3758</v>
      </c>
      <c r="AY282" s="3" t="s">
        <v>3759</v>
      </c>
      <c r="AZ282" s="3" t="s">
        <v>74</v>
      </c>
      <c r="BB282" s="3" t="s">
        <v>3760</v>
      </c>
      <c r="BC282" s="3" t="s">
        <v>3761</v>
      </c>
      <c r="BD282" s="3" t="s">
        <v>3762</v>
      </c>
    </row>
    <row r="283" spans="1:56" ht="57.75" customHeight="1" x14ac:dyDescent="0.25">
      <c r="A283" s="7" t="s">
        <v>58</v>
      </c>
      <c r="B283" s="2" t="s">
        <v>3763</v>
      </c>
      <c r="C283" s="2" t="s">
        <v>3764</v>
      </c>
      <c r="D283" s="2" t="s">
        <v>3765</v>
      </c>
      <c r="F283" s="3" t="s">
        <v>58</v>
      </c>
      <c r="G283" s="3" t="s">
        <v>59</v>
      </c>
      <c r="H283" s="3" t="s">
        <v>58</v>
      </c>
      <c r="I283" s="3" t="s">
        <v>58</v>
      </c>
      <c r="J283" s="3" t="s">
        <v>60</v>
      </c>
      <c r="K283" s="2" t="s">
        <v>3766</v>
      </c>
      <c r="L283" s="2" t="s">
        <v>3767</v>
      </c>
      <c r="M283" s="3" t="s">
        <v>205</v>
      </c>
      <c r="O283" s="3" t="s">
        <v>64</v>
      </c>
      <c r="P283" s="3" t="s">
        <v>412</v>
      </c>
      <c r="R283" s="3" t="s">
        <v>3084</v>
      </c>
      <c r="S283" s="4">
        <v>5</v>
      </c>
      <c r="T283" s="4">
        <v>5</v>
      </c>
      <c r="U283" s="5" t="s">
        <v>3768</v>
      </c>
      <c r="V283" s="5" t="s">
        <v>3768</v>
      </c>
      <c r="W283" s="5" t="s">
        <v>2697</v>
      </c>
      <c r="X283" s="5" t="s">
        <v>2697</v>
      </c>
      <c r="Y283" s="4">
        <v>247</v>
      </c>
      <c r="Z283" s="4">
        <v>214</v>
      </c>
      <c r="AA283" s="4">
        <v>828</v>
      </c>
      <c r="AB283" s="4">
        <v>2</v>
      </c>
      <c r="AC283" s="4">
        <v>3</v>
      </c>
      <c r="AD283" s="4">
        <v>7</v>
      </c>
      <c r="AE283" s="4">
        <v>29</v>
      </c>
      <c r="AF283" s="4">
        <v>6</v>
      </c>
      <c r="AG283" s="4">
        <v>15</v>
      </c>
      <c r="AH283" s="4">
        <v>0</v>
      </c>
      <c r="AI283" s="4">
        <v>7</v>
      </c>
      <c r="AJ283" s="4">
        <v>4</v>
      </c>
      <c r="AK283" s="4">
        <v>15</v>
      </c>
      <c r="AL283" s="4">
        <v>0</v>
      </c>
      <c r="AM283" s="4">
        <v>1</v>
      </c>
      <c r="AN283" s="4">
        <v>0</v>
      </c>
      <c r="AO283" s="4">
        <v>0</v>
      </c>
      <c r="AP283" s="3" t="s">
        <v>58</v>
      </c>
      <c r="AQ283" s="3" t="s">
        <v>58</v>
      </c>
      <c r="AS283" s="6" t="str">
        <f>HYPERLINK("https://creighton-primo.hosted.exlibrisgroup.com/primo-explore/search?tab=default_tab&amp;search_scope=EVERYTHING&amp;vid=01CRU&amp;lang=en_US&amp;offset=0&amp;query=any,contains,991004715009702656","Catalog Record")</f>
        <v>Catalog Record</v>
      </c>
      <c r="AT283" s="6" t="str">
        <f>HYPERLINK("http://www.worldcat.org/oclc/4775695","WorldCat Record")</f>
        <v>WorldCat Record</v>
      </c>
      <c r="AU283" s="3" t="s">
        <v>3769</v>
      </c>
      <c r="AV283" s="3" t="s">
        <v>3770</v>
      </c>
      <c r="AW283" s="3" t="s">
        <v>3771</v>
      </c>
      <c r="AX283" s="3" t="s">
        <v>3771</v>
      </c>
      <c r="AY283" s="3" t="s">
        <v>3772</v>
      </c>
      <c r="AZ283" s="3" t="s">
        <v>74</v>
      </c>
      <c r="BB283" s="3" t="s">
        <v>3773</v>
      </c>
      <c r="BC283" s="3" t="s">
        <v>3774</v>
      </c>
      <c r="BD283" s="3" t="s">
        <v>3775</v>
      </c>
    </row>
    <row r="284" spans="1:56" ht="57.75" customHeight="1" x14ac:dyDescent="0.25">
      <c r="A284" s="7" t="s">
        <v>58</v>
      </c>
      <c r="B284" s="2" t="s">
        <v>3776</v>
      </c>
      <c r="C284" s="2" t="s">
        <v>3777</v>
      </c>
      <c r="D284" s="2" t="s">
        <v>3778</v>
      </c>
      <c r="F284" s="3" t="s">
        <v>58</v>
      </c>
      <c r="G284" s="3" t="s">
        <v>59</v>
      </c>
      <c r="H284" s="3" t="s">
        <v>58</v>
      </c>
      <c r="I284" s="3" t="s">
        <v>58</v>
      </c>
      <c r="J284" s="3" t="s">
        <v>60</v>
      </c>
      <c r="L284" s="2" t="s">
        <v>3779</v>
      </c>
      <c r="M284" s="3" t="s">
        <v>63</v>
      </c>
      <c r="O284" s="3" t="s">
        <v>64</v>
      </c>
      <c r="P284" s="3" t="s">
        <v>65</v>
      </c>
      <c r="R284" s="3" t="s">
        <v>3084</v>
      </c>
      <c r="S284" s="4">
        <v>2</v>
      </c>
      <c r="T284" s="4">
        <v>2</v>
      </c>
      <c r="U284" s="5" t="s">
        <v>3154</v>
      </c>
      <c r="V284" s="5" t="s">
        <v>3154</v>
      </c>
      <c r="W284" s="5" t="s">
        <v>2697</v>
      </c>
      <c r="X284" s="5" t="s">
        <v>2697</v>
      </c>
      <c r="Y284" s="4">
        <v>480</v>
      </c>
      <c r="Z284" s="4">
        <v>410</v>
      </c>
      <c r="AA284" s="4">
        <v>416</v>
      </c>
      <c r="AB284" s="4">
        <v>4</v>
      </c>
      <c r="AC284" s="4">
        <v>4</v>
      </c>
      <c r="AD284" s="4">
        <v>11</v>
      </c>
      <c r="AE284" s="4">
        <v>11</v>
      </c>
      <c r="AF284" s="4">
        <v>3</v>
      </c>
      <c r="AG284" s="4">
        <v>3</v>
      </c>
      <c r="AH284" s="4">
        <v>3</v>
      </c>
      <c r="AI284" s="4">
        <v>3</v>
      </c>
      <c r="AJ284" s="4">
        <v>4</v>
      </c>
      <c r="AK284" s="4">
        <v>4</v>
      </c>
      <c r="AL284" s="4">
        <v>3</v>
      </c>
      <c r="AM284" s="4">
        <v>3</v>
      </c>
      <c r="AN284" s="4">
        <v>0</v>
      </c>
      <c r="AO284" s="4">
        <v>0</v>
      </c>
      <c r="AP284" s="3" t="s">
        <v>58</v>
      </c>
      <c r="AQ284" s="3" t="s">
        <v>69</v>
      </c>
      <c r="AR284" s="6" t="str">
        <f>HYPERLINK("http://catalog.hathitrust.org/Record/000027300","HathiTrust Record")</f>
        <v>HathiTrust Record</v>
      </c>
      <c r="AS284" s="6" t="str">
        <f>HYPERLINK("https://creighton-primo.hosted.exlibrisgroup.com/primo-explore/search?tab=default_tab&amp;search_scope=EVERYTHING&amp;vid=01CRU&amp;lang=en_US&amp;offset=0&amp;query=any,contains,991004299229702656","Catalog Record")</f>
        <v>Catalog Record</v>
      </c>
      <c r="AT284" s="6" t="str">
        <f>HYPERLINK("http://www.worldcat.org/oclc/2967399","WorldCat Record")</f>
        <v>WorldCat Record</v>
      </c>
      <c r="AU284" s="3" t="s">
        <v>3780</v>
      </c>
      <c r="AV284" s="3" t="s">
        <v>3781</v>
      </c>
      <c r="AW284" s="3" t="s">
        <v>3782</v>
      </c>
      <c r="AX284" s="3" t="s">
        <v>3782</v>
      </c>
      <c r="AY284" s="3" t="s">
        <v>3783</v>
      </c>
      <c r="AZ284" s="3" t="s">
        <v>74</v>
      </c>
      <c r="BB284" s="3" t="s">
        <v>3784</v>
      </c>
      <c r="BC284" s="3" t="s">
        <v>3785</v>
      </c>
      <c r="BD284" s="3" t="s">
        <v>3786</v>
      </c>
    </row>
    <row r="285" spans="1:56" ht="57.75" customHeight="1" x14ac:dyDescent="0.25">
      <c r="A285" s="7" t="s">
        <v>58</v>
      </c>
      <c r="B285" s="2" t="s">
        <v>3787</v>
      </c>
      <c r="C285" s="2" t="s">
        <v>3788</v>
      </c>
      <c r="D285" s="2" t="s">
        <v>3789</v>
      </c>
      <c r="F285" s="3" t="s">
        <v>58</v>
      </c>
      <c r="G285" s="3" t="s">
        <v>59</v>
      </c>
      <c r="H285" s="3" t="s">
        <v>58</v>
      </c>
      <c r="I285" s="3" t="s">
        <v>58</v>
      </c>
      <c r="J285" s="3" t="s">
        <v>60</v>
      </c>
      <c r="K285" s="2" t="s">
        <v>3790</v>
      </c>
      <c r="L285" s="2" t="s">
        <v>3791</v>
      </c>
      <c r="M285" s="3" t="s">
        <v>875</v>
      </c>
      <c r="O285" s="3" t="s">
        <v>64</v>
      </c>
      <c r="P285" s="3" t="s">
        <v>637</v>
      </c>
      <c r="Q285" s="2" t="s">
        <v>3792</v>
      </c>
      <c r="R285" s="3" t="s">
        <v>3084</v>
      </c>
      <c r="S285" s="4">
        <v>6</v>
      </c>
      <c r="T285" s="4">
        <v>6</v>
      </c>
      <c r="U285" s="5" t="s">
        <v>3793</v>
      </c>
      <c r="V285" s="5" t="s">
        <v>3793</v>
      </c>
      <c r="W285" s="5" t="s">
        <v>3794</v>
      </c>
      <c r="X285" s="5" t="s">
        <v>3794</v>
      </c>
      <c r="Y285" s="4">
        <v>786</v>
      </c>
      <c r="Z285" s="4">
        <v>665</v>
      </c>
      <c r="AA285" s="4">
        <v>672</v>
      </c>
      <c r="AB285" s="4">
        <v>4</v>
      </c>
      <c r="AC285" s="4">
        <v>4</v>
      </c>
      <c r="AD285" s="4">
        <v>33</v>
      </c>
      <c r="AE285" s="4">
        <v>33</v>
      </c>
      <c r="AF285" s="4">
        <v>15</v>
      </c>
      <c r="AG285" s="4">
        <v>15</v>
      </c>
      <c r="AH285" s="4">
        <v>6</v>
      </c>
      <c r="AI285" s="4">
        <v>6</v>
      </c>
      <c r="AJ285" s="4">
        <v>17</v>
      </c>
      <c r="AK285" s="4">
        <v>17</v>
      </c>
      <c r="AL285" s="4">
        <v>3</v>
      </c>
      <c r="AM285" s="4">
        <v>3</v>
      </c>
      <c r="AN285" s="4">
        <v>1</v>
      </c>
      <c r="AO285" s="4">
        <v>1</v>
      </c>
      <c r="AP285" s="3" t="s">
        <v>58</v>
      </c>
      <c r="AQ285" s="3" t="s">
        <v>69</v>
      </c>
      <c r="AR285" s="6" t="str">
        <f>HYPERLINK("http://catalog.hathitrust.org/Record/002521433","HathiTrust Record")</f>
        <v>HathiTrust Record</v>
      </c>
      <c r="AS285" s="6" t="str">
        <f>HYPERLINK("https://creighton-primo.hosted.exlibrisgroup.com/primo-explore/search?tab=default_tab&amp;search_scope=EVERYTHING&amp;vid=01CRU&amp;lang=en_US&amp;offset=0&amp;query=any,contains,991001714539702656","Catalog Record")</f>
        <v>Catalog Record</v>
      </c>
      <c r="AT285" s="6" t="str">
        <f>HYPERLINK("http://www.worldcat.org/oclc/21672138","WorldCat Record")</f>
        <v>WorldCat Record</v>
      </c>
      <c r="AU285" s="3" t="s">
        <v>3795</v>
      </c>
      <c r="AV285" s="3" t="s">
        <v>3796</v>
      </c>
      <c r="AW285" s="3" t="s">
        <v>3797</v>
      </c>
      <c r="AX285" s="3" t="s">
        <v>3797</v>
      </c>
      <c r="AY285" s="3" t="s">
        <v>3798</v>
      </c>
      <c r="AZ285" s="3" t="s">
        <v>74</v>
      </c>
      <c r="BB285" s="3" t="s">
        <v>3799</v>
      </c>
      <c r="BC285" s="3" t="s">
        <v>3800</v>
      </c>
      <c r="BD285" s="3" t="s">
        <v>3801</v>
      </c>
    </row>
    <row r="286" spans="1:56" ht="57.75" customHeight="1" x14ac:dyDescent="0.25">
      <c r="A286" s="7" t="s">
        <v>58</v>
      </c>
      <c r="B286" s="2" t="s">
        <v>3802</v>
      </c>
      <c r="C286" s="2" t="s">
        <v>3803</v>
      </c>
      <c r="D286" s="2" t="s">
        <v>3804</v>
      </c>
      <c r="F286" s="3" t="s">
        <v>58</v>
      </c>
      <c r="G286" s="3" t="s">
        <v>59</v>
      </c>
      <c r="H286" s="3" t="s">
        <v>58</v>
      </c>
      <c r="I286" s="3" t="s">
        <v>58</v>
      </c>
      <c r="J286" s="3" t="s">
        <v>60</v>
      </c>
      <c r="L286" s="2" t="s">
        <v>3805</v>
      </c>
      <c r="M286" s="3" t="s">
        <v>763</v>
      </c>
      <c r="O286" s="3" t="s">
        <v>64</v>
      </c>
      <c r="P286" s="3" t="s">
        <v>65</v>
      </c>
      <c r="R286" s="3" t="s">
        <v>3084</v>
      </c>
      <c r="S286" s="4">
        <v>1</v>
      </c>
      <c r="T286" s="4">
        <v>1</v>
      </c>
      <c r="U286" s="5" t="s">
        <v>3806</v>
      </c>
      <c r="V286" s="5" t="s">
        <v>3806</v>
      </c>
      <c r="W286" s="5" t="s">
        <v>623</v>
      </c>
      <c r="X286" s="5" t="s">
        <v>623</v>
      </c>
      <c r="Y286" s="4">
        <v>346</v>
      </c>
      <c r="Z286" s="4">
        <v>286</v>
      </c>
      <c r="AA286" s="4">
        <v>288</v>
      </c>
      <c r="AB286" s="4">
        <v>2</v>
      </c>
      <c r="AC286" s="4">
        <v>2</v>
      </c>
      <c r="AD286" s="4">
        <v>15</v>
      </c>
      <c r="AE286" s="4">
        <v>15</v>
      </c>
      <c r="AF286" s="4">
        <v>7</v>
      </c>
      <c r="AG286" s="4">
        <v>7</v>
      </c>
      <c r="AH286" s="4">
        <v>3</v>
      </c>
      <c r="AI286" s="4">
        <v>3</v>
      </c>
      <c r="AJ286" s="4">
        <v>10</v>
      </c>
      <c r="AK286" s="4">
        <v>10</v>
      </c>
      <c r="AL286" s="4">
        <v>1</v>
      </c>
      <c r="AM286" s="4">
        <v>1</v>
      </c>
      <c r="AN286" s="4">
        <v>0</v>
      </c>
      <c r="AO286" s="4">
        <v>0</v>
      </c>
      <c r="AP286" s="3" t="s">
        <v>58</v>
      </c>
      <c r="AQ286" s="3" t="s">
        <v>69</v>
      </c>
      <c r="AR286" s="6" t="str">
        <f>HYPERLINK("http://catalog.hathitrust.org/Record/002205377","HathiTrust Record")</f>
        <v>HathiTrust Record</v>
      </c>
      <c r="AS286" s="6" t="str">
        <f>HYPERLINK("https://creighton-primo.hosted.exlibrisgroup.com/primo-explore/search?tab=default_tab&amp;search_scope=EVERYTHING&amp;vid=01CRU&amp;lang=en_US&amp;offset=0&amp;query=any,contains,991001637439702656","Catalog Record")</f>
        <v>Catalog Record</v>
      </c>
      <c r="AT286" s="6" t="str">
        <f>HYPERLINK("http://www.worldcat.org/oclc/20992551","WorldCat Record")</f>
        <v>WorldCat Record</v>
      </c>
      <c r="AU286" s="3" t="s">
        <v>3807</v>
      </c>
      <c r="AV286" s="3" t="s">
        <v>3808</v>
      </c>
      <c r="AW286" s="3" t="s">
        <v>3809</v>
      </c>
      <c r="AX286" s="3" t="s">
        <v>3809</v>
      </c>
      <c r="AY286" s="3" t="s">
        <v>3810</v>
      </c>
      <c r="AZ286" s="3" t="s">
        <v>74</v>
      </c>
      <c r="BB286" s="3" t="s">
        <v>3811</v>
      </c>
      <c r="BC286" s="3" t="s">
        <v>3812</v>
      </c>
      <c r="BD286" s="3" t="s">
        <v>3813</v>
      </c>
    </row>
    <row r="287" spans="1:56" ht="57.75" customHeight="1" x14ac:dyDescent="0.25">
      <c r="A287" s="7" t="s">
        <v>58</v>
      </c>
      <c r="B287" s="2" t="s">
        <v>3814</v>
      </c>
      <c r="C287" s="2" t="s">
        <v>3815</v>
      </c>
      <c r="D287" s="2" t="s">
        <v>3816</v>
      </c>
      <c r="F287" s="3" t="s">
        <v>58</v>
      </c>
      <c r="G287" s="3" t="s">
        <v>59</v>
      </c>
      <c r="H287" s="3" t="s">
        <v>58</v>
      </c>
      <c r="I287" s="3" t="s">
        <v>58</v>
      </c>
      <c r="J287" s="3" t="s">
        <v>60</v>
      </c>
      <c r="K287" s="2" t="s">
        <v>3817</v>
      </c>
      <c r="L287" s="2" t="s">
        <v>3818</v>
      </c>
      <c r="M287" s="3" t="s">
        <v>636</v>
      </c>
      <c r="N287" s="2" t="s">
        <v>606</v>
      </c>
      <c r="O287" s="3" t="s">
        <v>64</v>
      </c>
      <c r="P287" s="3" t="s">
        <v>65</v>
      </c>
      <c r="R287" s="3" t="s">
        <v>3084</v>
      </c>
      <c r="S287" s="4">
        <v>2</v>
      </c>
      <c r="T287" s="4">
        <v>2</v>
      </c>
      <c r="U287" s="5" t="s">
        <v>3819</v>
      </c>
      <c r="V287" s="5" t="s">
        <v>3819</v>
      </c>
      <c r="W287" s="5" t="s">
        <v>3820</v>
      </c>
      <c r="X287" s="5" t="s">
        <v>3820</v>
      </c>
      <c r="Y287" s="4">
        <v>512</v>
      </c>
      <c r="Z287" s="4">
        <v>467</v>
      </c>
      <c r="AA287" s="4">
        <v>486</v>
      </c>
      <c r="AB287" s="4">
        <v>3</v>
      </c>
      <c r="AC287" s="4">
        <v>3</v>
      </c>
      <c r="AD287" s="4">
        <v>9</v>
      </c>
      <c r="AE287" s="4">
        <v>10</v>
      </c>
      <c r="AF287" s="4">
        <v>2</v>
      </c>
      <c r="AG287" s="4">
        <v>2</v>
      </c>
      <c r="AH287" s="4">
        <v>1</v>
      </c>
      <c r="AI287" s="4">
        <v>1</v>
      </c>
      <c r="AJ287" s="4">
        <v>5</v>
      </c>
      <c r="AK287" s="4">
        <v>6</v>
      </c>
      <c r="AL287" s="4">
        <v>2</v>
      </c>
      <c r="AM287" s="4">
        <v>2</v>
      </c>
      <c r="AN287" s="4">
        <v>0</v>
      </c>
      <c r="AO287" s="4">
        <v>0</v>
      </c>
      <c r="AP287" s="3" t="s">
        <v>58</v>
      </c>
      <c r="AQ287" s="3" t="s">
        <v>69</v>
      </c>
      <c r="AR287" s="6" t="str">
        <f>HYPERLINK("http://catalog.hathitrust.org/Record/004209288","HathiTrust Record")</f>
        <v>HathiTrust Record</v>
      </c>
      <c r="AS287" s="6" t="str">
        <f>HYPERLINK("https://creighton-primo.hosted.exlibrisgroup.com/primo-explore/search?tab=default_tab&amp;search_scope=EVERYTHING&amp;vid=01CRU&amp;lang=en_US&amp;offset=0&amp;query=any,contains,991003717249702656","Catalog Record")</f>
        <v>Catalog Record</v>
      </c>
      <c r="AT287" s="6" t="str">
        <f>HYPERLINK("http://www.worldcat.org/oclc/46791106","WorldCat Record")</f>
        <v>WorldCat Record</v>
      </c>
      <c r="AU287" s="3" t="s">
        <v>3821</v>
      </c>
      <c r="AV287" s="3" t="s">
        <v>3822</v>
      </c>
      <c r="AW287" s="3" t="s">
        <v>3823</v>
      </c>
      <c r="AX287" s="3" t="s">
        <v>3823</v>
      </c>
      <c r="AY287" s="3" t="s">
        <v>3824</v>
      </c>
      <c r="AZ287" s="3" t="s">
        <v>74</v>
      </c>
      <c r="BB287" s="3" t="s">
        <v>3825</v>
      </c>
      <c r="BC287" s="3" t="s">
        <v>3826</v>
      </c>
      <c r="BD287" s="3" t="s">
        <v>3827</v>
      </c>
    </row>
    <row r="288" spans="1:56" ht="57.75" customHeight="1" x14ac:dyDescent="0.25">
      <c r="A288" s="7" t="s">
        <v>58</v>
      </c>
      <c r="B288" s="2" t="s">
        <v>3828</v>
      </c>
      <c r="C288" s="2" t="s">
        <v>3829</v>
      </c>
      <c r="D288" s="2" t="s">
        <v>3830</v>
      </c>
      <c r="F288" s="3" t="s">
        <v>58</v>
      </c>
      <c r="G288" s="3" t="s">
        <v>59</v>
      </c>
      <c r="H288" s="3" t="s">
        <v>58</v>
      </c>
      <c r="I288" s="3" t="s">
        <v>58</v>
      </c>
      <c r="J288" s="3" t="s">
        <v>60</v>
      </c>
      <c r="K288" s="2" t="s">
        <v>3547</v>
      </c>
      <c r="L288" s="2" t="s">
        <v>3831</v>
      </c>
      <c r="M288" s="3" t="s">
        <v>763</v>
      </c>
      <c r="N288" s="2" t="s">
        <v>1077</v>
      </c>
      <c r="O288" s="3" t="s">
        <v>64</v>
      </c>
      <c r="P288" s="3" t="s">
        <v>65</v>
      </c>
      <c r="R288" s="3" t="s">
        <v>3084</v>
      </c>
      <c r="S288" s="4">
        <v>2</v>
      </c>
      <c r="T288" s="4">
        <v>2</v>
      </c>
      <c r="U288" s="5" t="s">
        <v>85</v>
      </c>
      <c r="V288" s="5" t="s">
        <v>85</v>
      </c>
      <c r="W288" s="5" t="s">
        <v>1035</v>
      </c>
      <c r="X288" s="5" t="s">
        <v>1035</v>
      </c>
      <c r="Y288" s="4">
        <v>356</v>
      </c>
      <c r="Z288" s="4">
        <v>326</v>
      </c>
      <c r="AA288" s="4">
        <v>349</v>
      </c>
      <c r="AB288" s="4">
        <v>2</v>
      </c>
      <c r="AC288" s="4">
        <v>2</v>
      </c>
      <c r="AD288" s="4">
        <v>11</v>
      </c>
      <c r="AE288" s="4">
        <v>11</v>
      </c>
      <c r="AF288" s="4">
        <v>4</v>
      </c>
      <c r="AG288" s="4">
        <v>4</v>
      </c>
      <c r="AH288" s="4">
        <v>3</v>
      </c>
      <c r="AI288" s="4">
        <v>3</v>
      </c>
      <c r="AJ288" s="4">
        <v>6</v>
      </c>
      <c r="AK288" s="4">
        <v>6</v>
      </c>
      <c r="AL288" s="4">
        <v>1</v>
      </c>
      <c r="AM288" s="4">
        <v>1</v>
      </c>
      <c r="AN288" s="4">
        <v>0</v>
      </c>
      <c r="AO288" s="4">
        <v>0</v>
      </c>
      <c r="AP288" s="3" t="s">
        <v>58</v>
      </c>
      <c r="AQ288" s="3" t="s">
        <v>69</v>
      </c>
      <c r="AR288" s="6" t="str">
        <f>HYPERLINK("http://catalog.hathitrust.org/Record/002498882","HathiTrust Record")</f>
        <v>HathiTrust Record</v>
      </c>
      <c r="AS288" s="6" t="str">
        <f>HYPERLINK("https://creighton-primo.hosted.exlibrisgroup.com/primo-explore/search?tab=default_tab&amp;search_scope=EVERYTHING&amp;vid=01CRU&amp;lang=en_US&amp;offset=0&amp;query=any,contains,991001705999702656","Catalog Record")</f>
        <v>Catalog Record</v>
      </c>
      <c r="AT288" s="6" t="str">
        <f>HYPERLINK("http://www.worldcat.org/oclc/21562257","WorldCat Record")</f>
        <v>WorldCat Record</v>
      </c>
      <c r="AU288" s="3" t="s">
        <v>3832</v>
      </c>
      <c r="AV288" s="3" t="s">
        <v>3833</v>
      </c>
      <c r="AW288" s="3" t="s">
        <v>3834</v>
      </c>
      <c r="AX288" s="3" t="s">
        <v>3834</v>
      </c>
      <c r="AY288" s="3" t="s">
        <v>3835</v>
      </c>
      <c r="AZ288" s="3" t="s">
        <v>74</v>
      </c>
      <c r="BB288" s="3" t="s">
        <v>3836</v>
      </c>
      <c r="BC288" s="3" t="s">
        <v>3837</v>
      </c>
      <c r="BD288" s="3" t="s">
        <v>3838</v>
      </c>
    </row>
    <row r="289" spans="1:56" ht="57.75" customHeight="1" x14ac:dyDescent="0.25">
      <c r="A289" s="7" t="s">
        <v>58</v>
      </c>
      <c r="B289" s="2" t="s">
        <v>3839</v>
      </c>
      <c r="C289" s="2" t="s">
        <v>3840</v>
      </c>
      <c r="D289" s="2" t="s">
        <v>3841</v>
      </c>
      <c r="F289" s="3" t="s">
        <v>58</v>
      </c>
      <c r="G289" s="3" t="s">
        <v>59</v>
      </c>
      <c r="H289" s="3" t="s">
        <v>58</v>
      </c>
      <c r="I289" s="3" t="s">
        <v>58</v>
      </c>
      <c r="J289" s="3" t="s">
        <v>60</v>
      </c>
      <c r="K289" s="2" t="s">
        <v>3842</v>
      </c>
      <c r="L289" s="2" t="s">
        <v>3843</v>
      </c>
      <c r="M289" s="3" t="s">
        <v>747</v>
      </c>
      <c r="N289" s="2" t="s">
        <v>606</v>
      </c>
      <c r="O289" s="3" t="s">
        <v>64</v>
      </c>
      <c r="P289" s="3" t="s">
        <v>278</v>
      </c>
      <c r="R289" s="3" t="s">
        <v>3084</v>
      </c>
      <c r="S289" s="4">
        <v>4</v>
      </c>
      <c r="T289" s="4">
        <v>4</v>
      </c>
      <c r="U289" s="5" t="s">
        <v>3844</v>
      </c>
      <c r="V289" s="5" t="s">
        <v>3844</v>
      </c>
      <c r="W289" s="5" t="s">
        <v>3845</v>
      </c>
      <c r="X289" s="5" t="s">
        <v>3845</v>
      </c>
      <c r="Y289" s="4">
        <v>878</v>
      </c>
      <c r="Z289" s="4">
        <v>742</v>
      </c>
      <c r="AA289" s="4">
        <v>746</v>
      </c>
      <c r="AB289" s="4">
        <v>6</v>
      </c>
      <c r="AC289" s="4">
        <v>6</v>
      </c>
      <c r="AD289" s="4">
        <v>26</v>
      </c>
      <c r="AE289" s="4">
        <v>26</v>
      </c>
      <c r="AF289" s="4">
        <v>8</v>
      </c>
      <c r="AG289" s="4">
        <v>8</v>
      </c>
      <c r="AH289" s="4">
        <v>8</v>
      </c>
      <c r="AI289" s="4">
        <v>8</v>
      </c>
      <c r="AJ289" s="4">
        <v>11</v>
      </c>
      <c r="AK289" s="4">
        <v>11</v>
      </c>
      <c r="AL289" s="4">
        <v>5</v>
      </c>
      <c r="AM289" s="4">
        <v>5</v>
      </c>
      <c r="AN289" s="4">
        <v>0</v>
      </c>
      <c r="AO289" s="4">
        <v>0</v>
      </c>
      <c r="AP289" s="3" t="s">
        <v>58</v>
      </c>
      <c r="AQ289" s="3" t="s">
        <v>69</v>
      </c>
      <c r="AR289" s="6" t="str">
        <f>HYPERLINK("http://catalog.hathitrust.org/Record/000032930","HathiTrust Record")</f>
        <v>HathiTrust Record</v>
      </c>
      <c r="AS289" s="6" t="str">
        <f>HYPERLINK("https://creighton-primo.hosted.exlibrisgroup.com/primo-explore/search?tab=default_tab&amp;search_scope=EVERYTHING&amp;vid=01CRU&amp;lang=en_US&amp;offset=0&amp;query=any,contains,991003539359702656","Catalog Record")</f>
        <v>Catalog Record</v>
      </c>
      <c r="AT289" s="6" t="str">
        <f>HYPERLINK("http://www.worldcat.org/oclc/1104108","WorldCat Record")</f>
        <v>WorldCat Record</v>
      </c>
      <c r="AU289" s="3" t="s">
        <v>3846</v>
      </c>
      <c r="AV289" s="3" t="s">
        <v>3847</v>
      </c>
      <c r="AW289" s="3" t="s">
        <v>3848</v>
      </c>
      <c r="AX289" s="3" t="s">
        <v>3848</v>
      </c>
      <c r="AY289" s="3" t="s">
        <v>3849</v>
      </c>
      <c r="AZ289" s="3" t="s">
        <v>74</v>
      </c>
      <c r="BB289" s="3" t="s">
        <v>3850</v>
      </c>
      <c r="BC289" s="3" t="s">
        <v>3851</v>
      </c>
      <c r="BD289" s="3" t="s">
        <v>3852</v>
      </c>
    </row>
    <row r="290" spans="1:56" ht="57.75" customHeight="1" x14ac:dyDescent="0.25">
      <c r="A290" s="7" t="s">
        <v>58</v>
      </c>
      <c r="B290" s="2" t="s">
        <v>3853</v>
      </c>
      <c r="C290" s="2" t="s">
        <v>3854</v>
      </c>
      <c r="D290" s="2" t="s">
        <v>3855</v>
      </c>
      <c r="F290" s="3" t="s">
        <v>58</v>
      </c>
      <c r="G290" s="3" t="s">
        <v>59</v>
      </c>
      <c r="H290" s="3" t="s">
        <v>58</v>
      </c>
      <c r="I290" s="3" t="s">
        <v>58</v>
      </c>
      <c r="J290" s="3" t="s">
        <v>60</v>
      </c>
      <c r="K290" s="2" t="s">
        <v>3856</v>
      </c>
      <c r="L290" s="2" t="s">
        <v>3857</v>
      </c>
      <c r="M290" s="3" t="s">
        <v>1254</v>
      </c>
      <c r="O290" s="3" t="s">
        <v>64</v>
      </c>
      <c r="P290" s="3" t="s">
        <v>3858</v>
      </c>
      <c r="Q290" s="2" t="s">
        <v>3859</v>
      </c>
      <c r="R290" s="3" t="s">
        <v>3084</v>
      </c>
      <c r="S290" s="4">
        <v>6</v>
      </c>
      <c r="T290" s="4">
        <v>6</v>
      </c>
      <c r="U290" s="5" t="s">
        <v>3860</v>
      </c>
      <c r="V290" s="5" t="s">
        <v>3860</v>
      </c>
      <c r="W290" s="5" t="s">
        <v>3861</v>
      </c>
      <c r="X290" s="5" t="s">
        <v>3861</v>
      </c>
      <c r="Y290" s="4">
        <v>342</v>
      </c>
      <c r="Z290" s="4">
        <v>337</v>
      </c>
      <c r="AA290" s="4">
        <v>338</v>
      </c>
      <c r="AB290" s="4">
        <v>3</v>
      </c>
      <c r="AC290" s="4">
        <v>3</v>
      </c>
      <c r="AD290" s="4">
        <v>6</v>
      </c>
      <c r="AE290" s="4">
        <v>6</v>
      </c>
      <c r="AF290" s="4">
        <v>2</v>
      </c>
      <c r="AG290" s="4">
        <v>2</v>
      </c>
      <c r="AH290" s="4">
        <v>2</v>
      </c>
      <c r="AI290" s="4">
        <v>2</v>
      </c>
      <c r="AJ290" s="4">
        <v>1</v>
      </c>
      <c r="AK290" s="4">
        <v>1</v>
      </c>
      <c r="AL290" s="4">
        <v>1</v>
      </c>
      <c r="AM290" s="4">
        <v>1</v>
      </c>
      <c r="AN290" s="4">
        <v>0</v>
      </c>
      <c r="AO290" s="4">
        <v>0</v>
      </c>
      <c r="AP290" s="3" t="s">
        <v>58</v>
      </c>
      <c r="AQ290" s="3" t="s">
        <v>58</v>
      </c>
      <c r="AS290" s="6" t="str">
        <f>HYPERLINK("https://creighton-primo.hosted.exlibrisgroup.com/primo-explore/search?tab=default_tab&amp;search_scope=EVERYTHING&amp;vid=01CRU&amp;lang=en_US&amp;offset=0&amp;query=any,contains,991004070709702656","Catalog Record")</f>
        <v>Catalog Record</v>
      </c>
      <c r="AT290" s="6" t="str">
        <f>HYPERLINK("http://www.worldcat.org/oclc/45387263","WorldCat Record")</f>
        <v>WorldCat Record</v>
      </c>
      <c r="AU290" s="3" t="s">
        <v>3862</v>
      </c>
      <c r="AV290" s="3" t="s">
        <v>3863</v>
      </c>
      <c r="AW290" s="3" t="s">
        <v>3864</v>
      </c>
      <c r="AX290" s="3" t="s">
        <v>3864</v>
      </c>
      <c r="AY290" s="3" t="s">
        <v>3865</v>
      </c>
      <c r="AZ290" s="3" t="s">
        <v>74</v>
      </c>
      <c r="BB290" s="3" t="s">
        <v>3866</v>
      </c>
      <c r="BC290" s="3" t="s">
        <v>3867</v>
      </c>
      <c r="BD290" s="3" t="s">
        <v>3868</v>
      </c>
    </row>
    <row r="291" spans="1:56" ht="57.75" customHeight="1" x14ac:dyDescent="0.25">
      <c r="A291" s="7" t="s">
        <v>58</v>
      </c>
      <c r="B291" s="2" t="s">
        <v>3869</v>
      </c>
      <c r="C291" s="2" t="s">
        <v>3870</v>
      </c>
      <c r="D291" s="2" t="s">
        <v>3871</v>
      </c>
      <c r="F291" s="3" t="s">
        <v>58</v>
      </c>
      <c r="G291" s="3" t="s">
        <v>59</v>
      </c>
      <c r="H291" s="3" t="s">
        <v>58</v>
      </c>
      <c r="I291" s="3" t="s">
        <v>58</v>
      </c>
      <c r="J291" s="3" t="s">
        <v>60</v>
      </c>
      <c r="L291" s="2" t="s">
        <v>3872</v>
      </c>
      <c r="M291" s="3" t="s">
        <v>1405</v>
      </c>
      <c r="O291" s="3" t="s">
        <v>64</v>
      </c>
      <c r="P291" s="3" t="s">
        <v>65</v>
      </c>
      <c r="R291" s="3" t="s">
        <v>3084</v>
      </c>
      <c r="S291" s="4">
        <v>1</v>
      </c>
      <c r="T291" s="4">
        <v>1</v>
      </c>
      <c r="U291" s="5" t="s">
        <v>3873</v>
      </c>
      <c r="V291" s="5" t="s">
        <v>3873</v>
      </c>
      <c r="W291" s="5" t="s">
        <v>3874</v>
      </c>
      <c r="X291" s="5" t="s">
        <v>3874</v>
      </c>
      <c r="Y291" s="4">
        <v>574</v>
      </c>
      <c r="Z291" s="4">
        <v>518</v>
      </c>
      <c r="AA291" s="4">
        <v>648</v>
      </c>
      <c r="AB291" s="4">
        <v>6</v>
      </c>
      <c r="AC291" s="4">
        <v>6</v>
      </c>
      <c r="AD291" s="4">
        <v>21</v>
      </c>
      <c r="AE291" s="4">
        <v>24</v>
      </c>
      <c r="AF291" s="4">
        <v>8</v>
      </c>
      <c r="AG291" s="4">
        <v>9</v>
      </c>
      <c r="AH291" s="4">
        <v>4</v>
      </c>
      <c r="AI291" s="4">
        <v>5</v>
      </c>
      <c r="AJ291" s="4">
        <v>10</v>
      </c>
      <c r="AK291" s="4">
        <v>11</v>
      </c>
      <c r="AL291" s="4">
        <v>4</v>
      </c>
      <c r="AM291" s="4">
        <v>4</v>
      </c>
      <c r="AN291" s="4">
        <v>0</v>
      </c>
      <c r="AO291" s="4">
        <v>0</v>
      </c>
      <c r="AP291" s="3" t="s">
        <v>58</v>
      </c>
      <c r="AQ291" s="3" t="s">
        <v>58</v>
      </c>
      <c r="AS291" s="6" t="str">
        <f>HYPERLINK("https://creighton-primo.hosted.exlibrisgroup.com/primo-explore/search?tab=default_tab&amp;search_scope=EVERYTHING&amp;vid=01CRU&amp;lang=en_US&amp;offset=0&amp;query=any,contains,991002749179702656","Catalog Record")</f>
        <v>Catalog Record</v>
      </c>
      <c r="AT291" s="6" t="str">
        <f>HYPERLINK("http://www.worldcat.org/oclc/36076230","WorldCat Record")</f>
        <v>WorldCat Record</v>
      </c>
      <c r="AU291" s="3" t="s">
        <v>3875</v>
      </c>
      <c r="AV291" s="3" t="s">
        <v>3876</v>
      </c>
      <c r="AW291" s="3" t="s">
        <v>3877</v>
      </c>
      <c r="AX291" s="3" t="s">
        <v>3877</v>
      </c>
      <c r="AY291" s="3" t="s">
        <v>3878</v>
      </c>
      <c r="AZ291" s="3" t="s">
        <v>74</v>
      </c>
      <c r="BB291" s="3" t="s">
        <v>3879</v>
      </c>
      <c r="BC291" s="3" t="s">
        <v>3880</v>
      </c>
      <c r="BD291" s="3" t="s">
        <v>3881</v>
      </c>
    </row>
    <row r="292" spans="1:56" ht="57.75" customHeight="1" x14ac:dyDescent="0.25">
      <c r="A292" s="7" t="s">
        <v>58</v>
      </c>
      <c r="B292" s="2" t="s">
        <v>3882</v>
      </c>
      <c r="C292" s="2" t="s">
        <v>3883</v>
      </c>
      <c r="D292" s="2" t="s">
        <v>3884</v>
      </c>
      <c r="F292" s="3" t="s">
        <v>58</v>
      </c>
      <c r="G292" s="3" t="s">
        <v>59</v>
      </c>
      <c r="H292" s="3" t="s">
        <v>58</v>
      </c>
      <c r="I292" s="3" t="s">
        <v>58</v>
      </c>
      <c r="J292" s="3" t="s">
        <v>60</v>
      </c>
      <c r="K292" s="2" t="s">
        <v>3885</v>
      </c>
      <c r="L292" s="2" t="s">
        <v>3886</v>
      </c>
      <c r="M292" s="3" t="s">
        <v>83</v>
      </c>
      <c r="O292" s="3" t="s">
        <v>64</v>
      </c>
      <c r="P292" s="3" t="s">
        <v>65</v>
      </c>
      <c r="Q292" s="2" t="s">
        <v>3887</v>
      </c>
      <c r="R292" s="3" t="s">
        <v>3084</v>
      </c>
      <c r="S292" s="4">
        <v>11</v>
      </c>
      <c r="T292" s="4">
        <v>11</v>
      </c>
      <c r="U292" s="5" t="s">
        <v>3888</v>
      </c>
      <c r="V292" s="5" t="s">
        <v>3888</v>
      </c>
      <c r="W292" s="5" t="s">
        <v>3889</v>
      </c>
      <c r="X292" s="5" t="s">
        <v>3889</v>
      </c>
      <c r="Y292" s="4">
        <v>528</v>
      </c>
      <c r="Z292" s="4">
        <v>498</v>
      </c>
      <c r="AA292" s="4">
        <v>498</v>
      </c>
      <c r="AB292" s="4">
        <v>4</v>
      </c>
      <c r="AC292" s="4">
        <v>4</v>
      </c>
      <c r="AD292" s="4">
        <v>26</v>
      </c>
      <c r="AE292" s="4">
        <v>26</v>
      </c>
      <c r="AF292" s="4">
        <v>8</v>
      </c>
      <c r="AG292" s="4">
        <v>8</v>
      </c>
      <c r="AH292" s="4">
        <v>7</v>
      </c>
      <c r="AI292" s="4">
        <v>7</v>
      </c>
      <c r="AJ292" s="4">
        <v>12</v>
      </c>
      <c r="AK292" s="4">
        <v>12</v>
      </c>
      <c r="AL292" s="4">
        <v>3</v>
      </c>
      <c r="AM292" s="4">
        <v>3</v>
      </c>
      <c r="AN292" s="4">
        <v>1</v>
      </c>
      <c r="AO292" s="4">
        <v>1</v>
      </c>
      <c r="AP292" s="3" t="s">
        <v>58</v>
      </c>
      <c r="AQ292" s="3" t="s">
        <v>58</v>
      </c>
      <c r="AS292" s="6" t="str">
        <f>HYPERLINK("https://creighton-primo.hosted.exlibrisgroup.com/primo-explore/search?tab=default_tab&amp;search_scope=EVERYTHING&amp;vid=01CRU&amp;lang=en_US&amp;offset=0&amp;query=any,contains,991001960859702656","Catalog Record")</f>
        <v>Catalog Record</v>
      </c>
      <c r="AT292" s="6" t="str">
        <f>HYPERLINK("http://www.worldcat.org/oclc/24847463","WorldCat Record")</f>
        <v>WorldCat Record</v>
      </c>
      <c r="AU292" s="3" t="s">
        <v>3890</v>
      </c>
      <c r="AV292" s="3" t="s">
        <v>3891</v>
      </c>
      <c r="AW292" s="3" t="s">
        <v>3892</v>
      </c>
      <c r="AX292" s="3" t="s">
        <v>3892</v>
      </c>
      <c r="AY292" s="3" t="s">
        <v>3893</v>
      </c>
      <c r="AZ292" s="3" t="s">
        <v>74</v>
      </c>
      <c r="BB292" s="3" t="s">
        <v>3894</v>
      </c>
      <c r="BC292" s="3" t="s">
        <v>3895</v>
      </c>
      <c r="BD292" s="3" t="s">
        <v>3896</v>
      </c>
    </row>
    <row r="293" spans="1:56" ht="57.75" customHeight="1" x14ac:dyDescent="0.25">
      <c r="A293" s="7" t="s">
        <v>58</v>
      </c>
      <c r="B293" s="2" t="s">
        <v>3897</v>
      </c>
      <c r="C293" s="2" t="s">
        <v>3898</v>
      </c>
      <c r="D293" s="2" t="s">
        <v>3899</v>
      </c>
      <c r="F293" s="3" t="s">
        <v>58</v>
      </c>
      <c r="G293" s="3" t="s">
        <v>59</v>
      </c>
      <c r="H293" s="3" t="s">
        <v>58</v>
      </c>
      <c r="I293" s="3" t="s">
        <v>58</v>
      </c>
      <c r="J293" s="3" t="s">
        <v>60</v>
      </c>
      <c r="K293" s="2" t="s">
        <v>3900</v>
      </c>
      <c r="L293" s="2" t="s">
        <v>3901</v>
      </c>
      <c r="M293" s="3" t="s">
        <v>605</v>
      </c>
      <c r="O293" s="3" t="s">
        <v>64</v>
      </c>
      <c r="P293" s="3" t="s">
        <v>412</v>
      </c>
      <c r="R293" s="3" t="s">
        <v>3084</v>
      </c>
      <c r="S293" s="4">
        <v>1</v>
      </c>
      <c r="T293" s="4">
        <v>1</v>
      </c>
      <c r="U293" s="5" t="s">
        <v>3902</v>
      </c>
      <c r="V293" s="5" t="s">
        <v>3902</v>
      </c>
      <c r="W293" s="5" t="s">
        <v>3902</v>
      </c>
      <c r="X293" s="5" t="s">
        <v>3902</v>
      </c>
      <c r="Y293" s="4">
        <v>571</v>
      </c>
      <c r="Z293" s="4">
        <v>443</v>
      </c>
      <c r="AA293" s="4">
        <v>478</v>
      </c>
      <c r="AB293" s="4">
        <v>2</v>
      </c>
      <c r="AC293" s="4">
        <v>2</v>
      </c>
      <c r="AD293" s="4">
        <v>22</v>
      </c>
      <c r="AE293" s="4">
        <v>22</v>
      </c>
      <c r="AF293" s="4">
        <v>10</v>
      </c>
      <c r="AG293" s="4">
        <v>10</v>
      </c>
      <c r="AH293" s="4">
        <v>6</v>
      </c>
      <c r="AI293" s="4">
        <v>6</v>
      </c>
      <c r="AJ293" s="4">
        <v>10</v>
      </c>
      <c r="AK293" s="4">
        <v>10</v>
      </c>
      <c r="AL293" s="4">
        <v>1</v>
      </c>
      <c r="AM293" s="4">
        <v>1</v>
      </c>
      <c r="AN293" s="4">
        <v>0</v>
      </c>
      <c r="AO293" s="4">
        <v>0</v>
      </c>
      <c r="AP293" s="3" t="s">
        <v>58</v>
      </c>
      <c r="AQ293" s="3" t="s">
        <v>58</v>
      </c>
      <c r="AS293" s="6" t="str">
        <f>HYPERLINK("https://creighton-primo.hosted.exlibrisgroup.com/primo-explore/search?tab=default_tab&amp;search_scope=EVERYTHING&amp;vid=01CRU&amp;lang=en_US&amp;offset=0&amp;query=any,contains,991004499829702656","Catalog Record")</f>
        <v>Catalog Record</v>
      </c>
      <c r="AT293" s="6" t="str">
        <f>HYPERLINK("http://www.worldcat.org/oclc/42682576","WorldCat Record")</f>
        <v>WorldCat Record</v>
      </c>
      <c r="AU293" s="3" t="s">
        <v>3903</v>
      </c>
      <c r="AV293" s="3" t="s">
        <v>3904</v>
      </c>
      <c r="AW293" s="3" t="s">
        <v>3905</v>
      </c>
      <c r="AX293" s="3" t="s">
        <v>3905</v>
      </c>
      <c r="AY293" s="3" t="s">
        <v>3906</v>
      </c>
      <c r="AZ293" s="3" t="s">
        <v>74</v>
      </c>
      <c r="BB293" s="3" t="s">
        <v>3907</v>
      </c>
      <c r="BC293" s="3" t="s">
        <v>3908</v>
      </c>
      <c r="BD293" s="3" t="s">
        <v>3909</v>
      </c>
    </row>
    <row r="294" spans="1:56" ht="57.75" customHeight="1" x14ac:dyDescent="0.25">
      <c r="A294" s="7" t="s">
        <v>58</v>
      </c>
      <c r="B294" s="2" t="s">
        <v>3910</v>
      </c>
      <c r="C294" s="2" t="s">
        <v>3911</v>
      </c>
      <c r="D294" s="2" t="s">
        <v>3912</v>
      </c>
      <c r="F294" s="3" t="s">
        <v>58</v>
      </c>
      <c r="G294" s="3" t="s">
        <v>59</v>
      </c>
      <c r="H294" s="3" t="s">
        <v>58</v>
      </c>
      <c r="I294" s="3" t="s">
        <v>58</v>
      </c>
      <c r="J294" s="3" t="s">
        <v>60</v>
      </c>
      <c r="K294" s="2" t="s">
        <v>3913</v>
      </c>
      <c r="L294" s="2" t="s">
        <v>3914</v>
      </c>
      <c r="M294" s="3" t="s">
        <v>323</v>
      </c>
      <c r="N294" s="2" t="s">
        <v>606</v>
      </c>
      <c r="O294" s="3" t="s">
        <v>64</v>
      </c>
      <c r="P294" s="3" t="s">
        <v>65</v>
      </c>
      <c r="Q294" s="2" t="s">
        <v>2171</v>
      </c>
      <c r="R294" s="3" t="s">
        <v>3084</v>
      </c>
      <c r="S294" s="4">
        <v>1</v>
      </c>
      <c r="T294" s="4">
        <v>1</v>
      </c>
      <c r="U294" s="5" t="s">
        <v>3915</v>
      </c>
      <c r="V294" s="5" t="s">
        <v>3915</v>
      </c>
      <c r="W294" s="5" t="s">
        <v>3317</v>
      </c>
      <c r="X294" s="5" t="s">
        <v>3317</v>
      </c>
      <c r="Y294" s="4">
        <v>570</v>
      </c>
      <c r="Z294" s="4">
        <v>485</v>
      </c>
      <c r="AA294" s="4">
        <v>489</v>
      </c>
      <c r="AB294" s="4">
        <v>4</v>
      </c>
      <c r="AC294" s="4">
        <v>4</v>
      </c>
      <c r="AD294" s="4">
        <v>22</v>
      </c>
      <c r="AE294" s="4">
        <v>22</v>
      </c>
      <c r="AF294" s="4">
        <v>9</v>
      </c>
      <c r="AG294" s="4">
        <v>9</v>
      </c>
      <c r="AH294" s="4">
        <v>5</v>
      </c>
      <c r="AI294" s="4">
        <v>5</v>
      </c>
      <c r="AJ294" s="4">
        <v>10</v>
      </c>
      <c r="AK294" s="4">
        <v>10</v>
      </c>
      <c r="AL294" s="4">
        <v>3</v>
      </c>
      <c r="AM294" s="4">
        <v>3</v>
      </c>
      <c r="AN294" s="4">
        <v>0</v>
      </c>
      <c r="AO294" s="4">
        <v>0</v>
      </c>
      <c r="AP294" s="3" t="s">
        <v>58</v>
      </c>
      <c r="AQ294" s="3" t="s">
        <v>69</v>
      </c>
      <c r="AR294" s="6" t="str">
        <f>HYPERLINK("http://catalog.hathitrust.org/Record/001841466","HathiTrust Record")</f>
        <v>HathiTrust Record</v>
      </c>
      <c r="AS294" s="6" t="str">
        <f>HYPERLINK("https://creighton-primo.hosted.exlibrisgroup.com/primo-explore/search?tab=default_tab&amp;search_scope=EVERYTHING&amp;vid=01CRU&amp;lang=en_US&amp;offset=0&amp;query=any,contains,991001398219702656","Catalog Record")</f>
        <v>Catalog Record</v>
      </c>
      <c r="AT294" s="6" t="str">
        <f>HYPERLINK("http://www.worldcat.org/oclc/18814059","WorldCat Record")</f>
        <v>WorldCat Record</v>
      </c>
      <c r="AU294" s="3" t="s">
        <v>3916</v>
      </c>
      <c r="AV294" s="3" t="s">
        <v>3917</v>
      </c>
      <c r="AW294" s="3" t="s">
        <v>3918</v>
      </c>
      <c r="AX294" s="3" t="s">
        <v>3918</v>
      </c>
      <c r="AY294" s="3" t="s">
        <v>3919</v>
      </c>
      <c r="AZ294" s="3" t="s">
        <v>74</v>
      </c>
      <c r="BB294" s="3" t="s">
        <v>3920</v>
      </c>
      <c r="BC294" s="3" t="s">
        <v>3921</v>
      </c>
      <c r="BD294" s="3" t="s">
        <v>3922</v>
      </c>
    </row>
    <row r="295" spans="1:56" ht="57.75" customHeight="1" x14ac:dyDescent="0.25">
      <c r="A295" s="7" t="s">
        <v>58</v>
      </c>
      <c r="B295" s="2" t="s">
        <v>3923</v>
      </c>
      <c r="C295" s="2" t="s">
        <v>3924</v>
      </c>
      <c r="D295" s="2" t="s">
        <v>3925</v>
      </c>
      <c r="F295" s="3" t="s">
        <v>58</v>
      </c>
      <c r="G295" s="3" t="s">
        <v>59</v>
      </c>
      <c r="H295" s="3" t="s">
        <v>58</v>
      </c>
      <c r="I295" s="3" t="s">
        <v>58</v>
      </c>
      <c r="J295" s="3" t="s">
        <v>60</v>
      </c>
      <c r="K295" s="2" t="s">
        <v>3926</v>
      </c>
      <c r="L295" s="2" t="s">
        <v>3927</v>
      </c>
      <c r="M295" s="3" t="s">
        <v>233</v>
      </c>
      <c r="O295" s="3" t="s">
        <v>64</v>
      </c>
      <c r="P295" s="3" t="s">
        <v>65</v>
      </c>
      <c r="R295" s="3" t="s">
        <v>3084</v>
      </c>
      <c r="S295" s="4">
        <v>3</v>
      </c>
      <c r="T295" s="4">
        <v>3</v>
      </c>
      <c r="U295" s="5" t="s">
        <v>3928</v>
      </c>
      <c r="V295" s="5" t="s">
        <v>3928</v>
      </c>
      <c r="W295" s="5" t="s">
        <v>3929</v>
      </c>
      <c r="X295" s="5" t="s">
        <v>3929</v>
      </c>
      <c r="Y295" s="4">
        <v>817</v>
      </c>
      <c r="Z295" s="4">
        <v>557</v>
      </c>
      <c r="AA295" s="4">
        <v>564</v>
      </c>
      <c r="AB295" s="4">
        <v>5</v>
      </c>
      <c r="AC295" s="4">
        <v>5</v>
      </c>
      <c r="AD295" s="4">
        <v>26</v>
      </c>
      <c r="AE295" s="4">
        <v>26</v>
      </c>
      <c r="AF295" s="4">
        <v>12</v>
      </c>
      <c r="AG295" s="4">
        <v>12</v>
      </c>
      <c r="AH295" s="4">
        <v>5</v>
      </c>
      <c r="AI295" s="4">
        <v>5</v>
      </c>
      <c r="AJ295" s="4">
        <v>12</v>
      </c>
      <c r="AK295" s="4">
        <v>12</v>
      </c>
      <c r="AL295" s="4">
        <v>4</v>
      </c>
      <c r="AM295" s="4">
        <v>4</v>
      </c>
      <c r="AN295" s="4">
        <v>0</v>
      </c>
      <c r="AO295" s="4">
        <v>0</v>
      </c>
      <c r="AP295" s="3" t="s">
        <v>58</v>
      </c>
      <c r="AQ295" s="3" t="s">
        <v>58</v>
      </c>
      <c r="AS295" s="6" t="str">
        <f>HYPERLINK("https://creighton-primo.hosted.exlibrisgroup.com/primo-explore/search?tab=default_tab&amp;search_scope=EVERYTHING&amp;vid=01CRU&amp;lang=en_US&amp;offset=0&amp;query=any,contains,991003994349702656","Catalog Record")</f>
        <v>Catalog Record</v>
      </c>
      <c r="AT295" s="6" t="str">
        <f>HYPERLINK("http://www.worldcat.org/oclc/28586162","WorldCat Record")</f>
        <v>WorldCat Record</v>
      </c>
      <c r="AU295" s="3" t="s">
        <v>3930</v>
      </c>
      <c r="AV295" s="3" t="s">
        <v>3931</v>
      </c>
      <c r="AW295" s="3" t="s">
        <v>3932</v>
      </c>
      <c r="AX295" s="3" t="s">
        <v>3932</v>
      </c>
      <c r="AY295" s="3" t="s">
        <v>3933</v>
      </c>
      <c r="AZ295" s="3" t="s">
        <v>74</v>
      </c>
      <c r="BB295" s="3" t="s">
        <v>3934</v>
      </c>
      <c r="BC295" s="3" t="s">
        <v>3935</v>
      </c>
      <c r="BD295" s="3" t="s">
        <v>3936</v>
      </c>
    </row>
    <row r="296" spans="1:56" ht="57.75" customHeight="1" x14ac:dyDescent="0.25">
      <c r="A296" s="7" t="s">
        <v>58</v>
      </c>
      <c r="B296" s="2" t="s">
        <v>3937</v>
      </c>
      <c r="C296" s="2" t="s">
        <v>3938</v>
      </c>
      <c r="D296" s="2" t="s">
        <v>3939</v>
      </c>
      <c r="F296" s="3" t="s">
        <v>58</v>
      </c>
      <c r="G296" s="3" t="s">
        <v>59</v>
      </c>
      <c r="H296" s="3" t="s">
        <v>58</v>
      </c>
      <c r="I296" s="3" t="s">
        <v>58</v>
      </c>
      <c r="J296" s="3" t="s">
        <v>60</v>
      </c>
      <c r="K296" s="2" t="s">
        <v>3940</v>
      </c>
      <c r="L296" s="2" t="s">
        <v>3941</v>
      </c>
      <c r="M296" s="3" t="s">
        <v>3099</v>
      </c>
      <c r="O296" s="3" t="s">
        <v>64</v>
      </c>
      <c r="P296" s="3" t="s">
        <v>412</v>
      </c>
      <c r="Q296" s="2" t="s">
        <v>3942</v>
      </c>
      <c r="R296" s="3" t="s">
        <v>3084</v>
      </c>
      <c r="S296" s="4">
        <v>4</v>
      </c>
      <c r="T296" s="4">
        <v>4</v>
      </c>
      <c r="U296" s="5" t="s">
        <v>3943</v>
      </c>
      <c r="V296" s="5" t="s">
        <v>3943</v>
      </c>
      <c r="W296" s="5" t="s">
        <v>2039</v>
      </c>
      <c r="X296" s="5" t="s">
        <v>2039</v>
      </c>
      <c r="Y296" s="4">
        <v>503</v>
      </c>
      <c r="Z296" s="4">
        <v>351</v>
      </c>
      <c r="AA296" s="4">
        <v>365</v>
      </c>
      <c r="AB296" s="4">
        <v>3</v>
      </c>
      <c r="AC296" s="4">
        <v>3</v>
      </c>
      <c r="AD296" s="4">
        <v>20</v>
      </c>
      <c r="AE296" s="4">
        <v>20</v>
      </c>
      <c r="AF296" s="4">
        <v>8</v>
      </c>
      <c r="AG296" s="4">
        <v>8</v>
      </c>
      <c r="AH296" s="4">
        <v>6</v>
      </c>
      <c r="AI296" s="4">
        <v>6</v>
      </c>
      <c r="AJ296" s="4">
        <v>8</v>
      </c>
      <c r="AK296" s="4">
        <v>8</v>
      </c>
      <c r="AL296" s="4">
        <v>2</v>
      </c>
      <c r="AM296" s="4">
        <v>2</v>
      </c>
      <c r="AN296" s="4">
        <v>0</v>
      </c>
      <c r="AO296" s="4">
        <v>0</v>
      </c>
      <c r="AP296" s="3" t="s">
        <v>58</v>
      </c>
      <c r="AQ296" s="3" t="s">
        <v>58</v>
      </c>
      <c r="AS296" s="6" t="str">
        <f>HYPERLINK("https://creighton-primo.hosted.exlibrisgroup.com/primo-explore/search?tab=default_tab&amp;search_scope=EVERYTHING&amp;vid=01CRU&amp;lang=en_US&amp;offset=0&amp;query=any,contains,991002612129702656","Catalog Record")</f>
        <v>Catalog Record</v>
      </c>
      <c r="AT296" s="6" t="str">
        <f>HYPERLINK("http://www.worldcat.org/oclc/34243399","WorldCat Record")</f>
        <v>WorldCat Record</v>
      </c>
      <c r="AU296" s="3" t="s">
        <v>3944</v>
      </c>
      <c r="AV296" s="3" t="s">
        <v>3945</v>
      </c>
      <c r="AW296" s="3" t="s">
        <v>3946</v>
      </c>
      <c r="AX296" s="3" t="s">
        <v>3946</v>
      </c>
      <c r="AY296" s="3" t="s">
        <v>3947</v>
      </c>
      <c r="AZ296" s="3" t="s">
        <v>74</v>
      </c>
      <c r="BB296" s="3" t="s">
        <v>3948</v>
      </c>
      <c r="BC296" s="3" t="s">
        <v>3949</v>
      </c>
      <c r="BD296" s="3" t="s">
        <v>3950</v>
      </c>
    </row>
    <row r="297" spans="1:56" ht="57.75" customHeight="1" x14ac:dyDescent="0.25">
      <c r="A297" s="7" t="s">
        <v>58</v>
      </c>
      <c r="B297" s="2" t="s">
        <v>3951</v>
      </c>
      <c r="C297" s="2" t="s">
        <v>3952</v>
      </c>
      <c r="D297" s="2" t="s">
        <v>3953</v>
      </c>
      <c r="F297" s="3" t="s">
        <v>58</v>
      </c>
      <c r="G297" s="3" t="s">
        <v>59</v>
      </c>
      <c r="H297" s="3" t="s">
        <v>58</v>
      </c>
      <c r="I297" s="3" t="s">
        <v>58</v>
      </c>
      <c r="J297" s="3" t="s">
        <v>60</v>
      </c>
      <c r="L297" s="2" t="s">
        <v>3954</v>
      </c>
      <c r="M297" s="3" t="s">
        <v>496</v>
      </c>
      <c r="O297" s="3" t="s">
        <v>64</v>
      </c>
      <c r="P297" s="3" t="s">
        <v>278</v>
      </c>
      <c r="R297" s="3" t="s">
        <v>3084</v>
      </c>
      <c r="S297" s="4">
        <v>3</v>
      </c>
      <c r="T297" s="4">
        <v>3</v>
      </c>
      <c r="U297" s="5" t="s">
        <v>3955</v>
      </c>
      <c r="V297" s="5" t="s">
        <v>3955</v>
      </c>
      <c r="W297" s="5" t="s">
        <v>2697</v>
      </c>
      <c r="X297" s="5" t="s">
        <v>2697</v>
      </c>
      <c r="Y297" s="4">
        <v>842</v>
      </c>
      <c r="Z297" s="4">
        <v>695</v>
      </c>
      <c r="AA297" s="4">
        <v>696</v>
      </c>
      <c r="AB297" s="4">
        <v>7</v>
      </c>
      <c r="AC297" s="4">
        <v>7</v>
      </c>
      <c r="AD297" s="4">
        <v>36</v>
      </c>
      <c r="AE297" s="4">
        <v>36</v>
      </c>
      <c r="AF297" s="4">
        <v>16</v>
      </c>
      <c r="AG297" s="4">
        <v>16</v>
      </c>
      <c r="AH297" s="4">
        <v>9</v>
      </c>
      <c r="AI297" s="4">
        <v>9</v>
      </c>
      <c r="AJ297" s="4">
        <v>18</v>
      </c>
      <c r="AK297" s="4">
        <v>18</v>
      </c>
      <c r="AL297" s="4">
        <v>5</v>
      </c>
      <c r="AM297" s="4">
        <v>5</v>
      </c>
      <c r="AN297" s="4">
        <v>0</v>
      </c>
      <c r="AO297" s="4">
        <v>0</v>
      </c>
      <c r="AP297" s="3" t="s">
        <v>58</v>
      </c>
      <c r="AQ297" s="3" t="s">
        <v>58</v>
      </c>
      <c r="AS297" s="6" t="str">
        <f>HYPERLINK("https://creighton-primo.hosted.exlibrisgroup.com/primo-explore/search?tab=default_tab&amp;search_scope=EVERYTHING&amp;vid=01CRU&amp;lang=en_US&amp;offset=0&amp;query=any,contains,991004525329702656","Catalog Record")</f>
        <v>Catalog Record</v>
      </c>
      <c r="AT297" s="6" t="str">
        <f>HYPERLINK("http://www.worldcat.org/oclc/3843195","WorldCat Record")</f>
        <v>WorldCat Record</v>
      </c>
      <c r="AU297" s="3" t="s">
        <v>3956</v>
      </c>
      <c r="AV297" s="3" t="s">
        <v>3957</v>
      </c>
      <c r="AW297" s="3" t="s">
        <v>3958</v>
      </c>
      <c r="AX297" s="3" t="s">
        <v>3958</v>
      </c>
      <c r="AY297" s="3" t="s">
        <v>3959</v>
      </c>
      <c r="AZ297" s="3" t="s">
        <v>74</v>
      </c>
      <c r="BB297" s="3" t="s">
        <v>3960</v>
      </c>
      <c r="BC297" s="3" t="s">
        <v>3961</v>
      </c>
      <c r="BD297" s="3" t="s">
        <v>3962</v>
      </c>
    </row>
    <row r="298" spans="1:56" ht="57.75" customHeight="1" x14ac:dyDescent="0.25">
      <c r="A298" s="7" t="s">
        <v>58</v>
      </c>
      <c r="B298" s="2" t="s">
        <v>3963</v>
      </c>
      <c r="C298" s="2" t="s">
        <v>3964</v>
      </c>
      <c r="D298" s="2" t="s">
        <v>3965</v>
      </c>
      <c r="F298" s="3" t="s">
        <v>58</v>
      </c>
      <c r="G298" s="3" t="s">
        <v>59</v>
      </c>
      <c r="H298" s="3" t="s">
        <v>58</v>
      </c>
      <c r="I298" s="3" t="s">
        <v>58</v>
      </c>
      <c r="J298" s="3" t="s">
        <v>60</v>
      </c>
      <c r="L298" s="2" t="s">
        <v>3966</v>
      </c>
      <c r="M298" s="3" t="s">
        <v>577</v>
      </c>
      <c r="O298" s="3" t="s">
        <v>64</v>
      </c>
      <c r="P298" s="3" t="s">
        <v>3858</v>
      </c>
      <c r="R298" s="3" t="s">
        <v>3084</v>
      </c>
      <c r="S298" s="4">
        <v>1</v>
      </c>
      <c r="T298" s="4">
        <v>1</v>
      </c>
      <c r="U298" s="5" t="s">
        <v>3967</v>
      </c>
      <c r="V298" s="5" t="s">
        <v>3967</v>
      </c>
      <c r="W298" s="5" t="s">
        <v>1858</v>
      </c>
      <c r="X298" s="5" t="s">
        <v>1858</v>
      </c>
      <c r="Y298" s="4">
        <v>856</v>
      </c>
      <c r="Z298" s="4">
        <v>727</v>
      </c>
      <c r="AA298" s="4">
        <v>729</v>
      </c>
      <c r="AB298" s="4">
        <v>4</v>
      </c>
      <c r="AC298" s="4">
        <v>4</v>
      </c>
      <c r="AD298" s="4">
        <v>34</v>
      </c>
      <c r="AE298" s="4">
        <v>34</v>
      </c>
      <c r="AF298" s="4">
        <v>13</v>
      </c>
      <c r="AG298" s="4">
        <v>13</v>
      </c>
      <c r="AH298" s="4">
        <v>9</v>
      </c>
      <c r="AI298" s="4">
        <v>9</v>
      </c>
      <c r="AJ298" s="4">
        <v>18</v>
      </c>
      <c r="AK298" s="4">
        <v>18</v>
      </c>
      <c r="AL298" s="4">
        <v>3</v>
      </c>
      <c r="AM298" s="4">
        <v>3</v>
      </c>
      <c r="AN298" s="4">
        <v>0</v>
      </c>
      <c r="AO298" s="4">
        <v>0</v>
      </c>
      <c r="AP298" s="3" t="s">
        <v>58</v>
      </c>
      <c r="AQ298" s="3" t="s">
        <v>58</v>
      </c>
      <c r="AS298" s="6" t="str">
        <f>HYPERLINK("https://creighton-primo.hosted.exlibrisgroup.com/primo-explore/search?tab=default_tab&amp;search_scope=EVERYTHING&amp;vid=01CRU&amp;lang=en_US&amp;offset=0&amp;query=any,contains,991004127569702656","Catalog Record")</f>
        <v>Catalog Record</v>
      </c>
      <c r="AT298" s="6" t="str">
        <f>HYPERLINK("http://www.worldcat.org/oclc/2462661","WorldCat Record")</f>
        <v>WorldCat Record</v>
      </c>
      <c r="AU298" s="3" t="s">
        <v>3968</v>
      </c>
      <c r="AV298" s="3" t="s">
        <v>3969</v>
      </c>
      <c r="AW298" s="3" t="s">
        <v>3970</v>
      </c>
      <c r="AX298" s="3" t="s">
        <v>3970</v>
      </c>
      <c r="AY298" s="3" t="s">
        <v>3971</v>
      </c>
      <c r="AZ298" s="3" t="s">
        <v>74</v>
      </c>
      <c r="BB298" s="3" t="s">
        <v>3972</v>
      </c>
      <c r="BC298" s="3" t="s">
        <v>3973</v>
      </c>
      <c r="BD298" s="3" t="s">
        <v>3974</v>
      </c>
    </row>
    <row r="299" spans="1:56" ht="57.75" customHeight="1" x14ac:dyDescent="0.25">
      <c r="A299" s="7" t="s">
        <v>58</v>
      </c>
      <c r="B299" s="2" t="s">
        <v>3975</v>
      </c>
      <c r="C299" s="2" t="s">
        <v>3976</v>
      </c>
      <c r="D299" s="2" t="s">
        <v>3977</v>
      </c>
      <c r="F299" s="3" t="s">
        <v>58</v>
      </c>
      <c r="G299" s="3" t="s">
        <v>59</v>
      </c>
      <c r="H299" s="3" t="s">
        <v>58</v>
      </c>
      <c r="I299" s="3" t="s">
        <v>58</v>
      </c>
      <c r="J299" s="3" t="s">
        <v>60</v>
      </c>
      <c r="K299" s="2" t="s">
        <v>3978</v>
      </c>
      <c r="L299" s="2" t="s">
        <v>3979</v>
      </c>
      <c r="M299" s="3" t="s">
        <v>138</v>
      </c>
      <c r="O299" s="3" t="s">
        <v>64</v>
      </c>
      <c r="P299" s="3" t="s">
        <v>453</v>
      </c>
      <c r="R299" s="3" t="s">
        <v>3084</v>
      </c>
      <c r="S299" s="4">
        <v>3</v>
      </c>
      <c r="T299" s="4">
        <v>3</v>
      </c>
      <c r="U299" s="5" t="s">
        <v>1637</v>
      </c>
      <c r="V299" s="5" t="s">
        <v>1637</v>
      </c>
      <c r="W299" s="5" t="s">
        <v>2697</v>
      </c>
      <c r="X299" s="5" t="s">
        <v>2697</v>
      </c>
      <c r="Y299" s="4">
        <v>312</v>
      </c>
      <c r="Z299" s="4">
        <v>264</v>
      </c>
      <c r="AA299" s="4">
        <v>404</v>
      </c>
      <c r="AB299" s="4">
        <v>3</v>
      </c>
      <c r="AC299" s="4">
        <v>4</v>
      </c>
      <c r="AD299" s="4">
        <v>17</v>
      </c>
      <c r="AE299" s="4">
        <v>25</v>
      </c>
      <c r="AF299" s="4">
        <v>6</v>
      </c>
      <c r="AG299" s="4">
        <v>11</v>
      </c>
      <c r="AH299" s="4">
        <v>3</v>
      </c>
      <c r="AI299" s="4">
        <v>3</v>
      </c>
      <c r="AJ299" s="4">
        <v>9</v>
      </c>
      <c r="AK299" s="4">
        <v>13</v>
      </c>
      <c r="AL299" s="4">
        <v>2</v>
      </c>
      <c r="AM299" s="4">
        <v>3</v>
      </c>
      <c r="AN299" s="4">
        <v>0</v>
      </c>
      <c r="AO299" s="4">
        <v>0</v>
      </c>
      <c r="AP299" s="3" t="s">
        <v>58</v>
      </c>
      <c r="AQ299" s="3" t="s">
        <v>69</v>
      </c>
      <c r="AR299" s="6" t="str">
        <f>HYPERLINK("http://catalog.hathitrust.org/Record/101898943","HathiTrust Record")</f>
        <v>HathiTrust Record</v>
      </c>
      <c r="AS299" s="6" t="str">
        <f>HYPERLINK("https://creighton-primo.hosted.exlibrisgroup.com/primo-explore/search?tab=default_tab&amp;search_scope=EVERYTHING&amp;vid=01CRU&amp;lang=en_US&amp;offset=0&amp;query=any,contains,991005071539702656","Catalog Record")</f>
        <v>Catalog Record</v>
      </c>
      <c r="AT299" s="6" t="str">
        <f>HYPERLINK("http://www.worldcat.org/oclc/7031993","WorldCat Record")</f>
        <v>WorldCat Record</v>
      </c>
      <c r="AU299" s="3" t="s">
        <v>3980</v>
      </c>
      <c r="AV299" s="3" t="s">
        <v>3981</v>
      </c>
      <c r="AW299" s="3" t="s">
        <v>3982</v>
      </c>
      <c r="AX299" s="3" t="s">
        <v>3982</v>
      </c>
      <c r="AY299" s="3" t="s">
        <v>3983</v>
      </c>
      <c r="AZ299" s="3" t="s">
        <v>74</v>
      </c>
      <c r="BB299" s="3" t="s">
        <v>3984</v>
      </c>
      <c r="BC299" s="3" t="s">
        <v>3985</v>
      </c>
      <c r="BD299" s="3" t="s">
        <v>3986</v>
      </c>
    </row>
    <row r="300" spans="1:56" ht="57.75" customHeight="1" x14ac:dyDescent="0.25">
      <c r="A300" s="7" t="s">
        <v>58</v>
      </c>
      <c r="B300" s="2" t="s">
        <v>3987</v>
      </c>
      <c r="C300" s="2" t="s">
        <v>3988</v>
      </c>
      <c r="D300" s="2" t="s">
        <v>3989</v>
      </c>
      <c r="F300" s="3" t="s">
        <v>58</v>
      </c>
      <c r="G300" s="3" t="s">
        <v>59</v>
      </c>
      <c r="H300" s="3" t="s">
        <v>58</v>
      </c>
      <c r="I300" s="3" t="s">
        <v>58</v>
      </c>
      <c r="J300" s="3" t="s">
        <v>60</v>
      </c>
      <c r="L300" s="2" t="s">
        <v>3990</v>
      </c>
      <c r="M300" s="3" t="s">
        <v>636</v>
      </c>
      <c r="O300" s="3" t="s">
        <v>64</v>
      </c>
      <c r="P300" s="3" t="s">
        <v>3991</v>
      </c>
      <c r="R300" s="3" t="s">
        <v>3084</v>
      </c>
      <c r="S300" s="4">
        <v>1</v>
      </c>
      <c r="T300" s="4">
        <v>1</v>
      </c>
      <c r="U300" s="5" t="s">
        <v>3992</v>
      </c>
      <c r="V300" s="5" t="s">
        <v>3992</v>
      </c>
      <c r="W300" s="5" t="s">
        <v>3819</v>
      </c>
      <c r="X300" s="5" t="s">
        <v>3819</v>
      </c>
      <c r="Y300" s="4">
        <v>140</v>
      </c>
      <c r="Z300" s="4">
        <v>106</v>
      </c>
      <c r="AA300" s="4">
        <v>108</v>
      </c>
      <c r="AB300" s="4">
        <v>1</v>
      </c>
      <c r="AC300" s="4">
        <v>1</v>
      </c>
      <c r="AD300" s="4">
        <v>7</v>
      </c>
      <c r="AE300" s="4">
        <v>7</v>
      </c>
      <c r="AF300" s="4">
        <v>2</v>
      </c>
      <c r="AG300" s="4">
        <v>2</v>
      </c>
      <c r="AH300" s="4">
        <v>3</v>
      </c>
      <c r="AI300" s="4">
        <v>3</v>
      </c>
      <c r="AJ300" s="4">
        <v>4</v>
      </c>
      <c r="AK300" s="4">
        <v>4</v>
      </c>
      <c r="AL300" s="4">
        <v>0</v>
      </c>
      <c r="AM300" s="4">
        <v>0</v>
      </c>
      <c r="AN300" s="4">
        <v>0</v>
      </c>
      <c r="AO300" s="4">
        <v>0</v>
      </c>
      <c r="AP300" s="3" t="s">
        <v>58</v>
      </c>
      <c r="AQ300" s="3" t="s">
        <v>69</v>
      </c>
      <c r="AR300" s="6" t="str">
        <f>HYPERLINK("http://catalog.hathitrust.org/Record/004210692","HathiTrust Record")</f>
        <v>HathiTrust Record</v>
      </c>
      <c r="AS300" s="6" t="str">
        <f>HYPERLINK("https://creighton-primo.hosted.exlibrisgroup.com/primo-explore/search?tab=default_tab&amp;search_scope=EVERYTHING&amp;vid=01CRU&amp;lang=en_US&amp;offset=0&amp;query=any,contains,991003774319702656","Catalog Record")</f>
        <v>Catalog Record</v>
      </c>
      <c r="AT300" s="6" t="str">
        <f>HYPERLINK("http://www.worldcat.org/oclc/48531944","WorldCat Record")</f>
        <v>WorldCat Record</v>
      </c>
      <c r="AU300" s="3" t="s">
        <v>3993</v>
      </c>
      <c r="AV300" s="3" t="s">
        <v>3994</v>
      </c>
      <c r="AW300" s="3" t="s">
        <v>3995</v>
      </c>
      <c r="AX300" s="3" t="s">
        <v>3995</v>
      </c>
      <c r="AY300" s="3" t="s">
        <v>3996</v>
      </c>
      <c r="AZ300" s="3" t="s">
        <v>74</v>
      </c>
      <c r="BB300" s="3" t="s">
        <v>3997</v>
      </c>
      <c r="BC300" s="3" t="s">
        <v>3998</v>
      </c>
      <c r="BD300" s="3" t="s">
        <v>3999</v>
      </c>
    </row>
    <row r="301" spans="1:56" ht="57.75" customHeight="1" x14ac:dyDescent="0.25">
      <c r="A301" s="7" t="s">
        <v>58</v>
      </c>
      <c r="B301" s="2" t="s">
        <v>4000</v>
      </c>
      <c r="C301" s="2" t="s">
        <v>4001</v>
      </c>
      <c r="D301" s="2" t="s">
        <v>4002</v>
      </c>
      <c r="F301" s="3" t="s">
        <v>58</v>
      </c>
      <c r="G301" s="3" t="s">
        <v>59</v>
      </c>
      <c r="H301" s="3" t="s">
        <v>58</v>
      </c>
      <c r="I301" s="3" t="s">
        <v>58</v>
      </c>
      <c r="J301" s="3" t="s">
        <v>60</v>
      </c>
      <c r="K301" s="2" t="s">
        <v>4003</v>
      </c>
      <c r="L301" s="2" t="s">
        <v>4004</v>
      </c>
      <c r="M301" s="3" t="s">
        <v>847</v>
      </c>
      <c r="O301" s="3" t="s">
        <v>64</v>
      </c>
      <c r="P301" s="3" t="s">
        <v>65</v>
      </c>
      <c r="R301" s="3" t="s">
        <v>3084</v>
      </c>
      <c r="S301" s="4">
        <v>3</v>
      </c>
      <c r="T301" s="4">
        <v>3</v>
      </c>
      <c r="U301" s="5" t="s">
        <v>4005</v>
      </c>
      <c r="V301" s="5" t="s">
        <v>4005</v>
      </c>
      <c r="W301" s="5" t="s">
        <v>2697</v>
      </c>
      <c r="X301" s="5" t="s">
        <v>2697</v>
      </c>
      <c r="Y301" s="4">
        <v>631</v>
      </c>
      <c r="Z301" s="4">
        <v>499</v>
      </c>
      <c r="AA301" s="4">
        <v>506</v>
      </c>
      <c r="AB301" s="4">
        <v>5</v>
      </c>
      <c r="AC301" s="4">
        <v>5</v>
      </c>
      <c r="AD301" s="4">
        <v>25</v>
      </c>
      <c r="AE301" s="4">
        <v>25</v>
      </c>
      <c r="AF301" s="4">
        <v>9</v>
      </c>
      <c r="AG301" s="4">
        <v>9</v>
      </c>
      <c r="AH301" s="4">
        <v>7</v>
      </c>
      <c r="AI301" s="4">
        <v>7</v>
      </c>
      <c r="AJ301" s="4">
        <v>13</v>
      </c>
      <c r="AK301" s="4">
        <v>13</v>
      </c>
      <c r="AL301" s="4">
        <v>4</v>
      </c>
      <c r="AM301" s="4">
        <v>4</v>
      </c>
      <c r="AN301" s="4">
        <v>0</v>
      </c>
      <c r="AO301" s="4">
        <v>0</v>
      </c>
      <c r="AP301" s="3" t="s">
        <v>58</v>
      </c>
      <c r="AQ301" s="3" t="s">
        <v>69</v>
      </c>
      <c r="AR301" s="6" t="str">
        <f>HYPERLINK("http://catalog.hathitrust.org/Record/000239426","HathiTrust Record")</f>
        <v>HathiTrust Record</v>
      </c>
      <c r="AS301" s="6" t="str">
        <f>HYPERLINK("https://creighton-primo.hosted.exlibrisgroup.com/primo-explore/search?tab=default_tab&amp;search_scope=EVERYTHING&amp;vid=01CRU&amp;lang=en_US&amp;offset=0&amp;query=any,contains,991000116969702656","Catalog Record")</f>
        <v>Catalog Record</v>
      </c>
      <c r="AT301" s="6" t="str">
        <f>HYPERLINK("http://www.worldcat.org/oclc/9043089","WorldCat Record")</f>
        <v>WorldCat Record</v>
      </c>
      <c r="AU301" s="3" t="s">
        <v>4006</v>
      </c>
      <c r="AV301" s="3" t="s">
        <v>4007</v>
      </c>
      <c r="AW301" s="3" t="s">
        <v>4008</v>
      </c>
      <c r="AX301" s="3" t="s">
        <v>4008</v>
      </c>
      <c r="AY301" s="3" t="s">
        <v>4009</v>
      </c>
      <c r="AZ301" s="3" t="s">
        <v>74</v>
      </c>
      <c r="BB301" s="3" t="s">
        <v>4010</v>
      </c>
      <c r="BC301" s="3" t="s">
        <v>4011</v>
      </c>
      <c r="BD301" s="3" t="s">
        <v>4012</v>
      </c>
    </row>
    <row r="302" spans="1:56" ht="57.75" customHeight="1" x14ac:dyDescent="0.25">
      <c r="A302" s="7" t="s">
        <v>58</v>
      </c>
      <c r="B302" s="2" t="s">
        <v>4013</v>
      </c>
      <c r="C302" s="2" t="s">
        <v>4014</v>
      </c>
      <c r="D302" s="2" t="s">
        <v>4015</v>
      </c>
      <c r="F302" s="3" t="s">
        <v>58</v>
      </c>
      <c r="G302" s="3" t="s">
        <v>59</v>
      </c>
      <c r="H302" s="3" t="s">
        <v>58</v>
      </c>
      <c r="I302" s="3" t="s">
        <v>58</v>
      </c>
      <c r="J302" s="3" t="s">
        <v>60</v>
      </c>
      <c r="L302" s="2" t="s">
        <v>4016</v>
      </c>
      <c r="M302" s="3" t="s">
        <v>191</v>
      </c>
      <c r="O302" s="3" t="s">
        <v>64</v>
      </c>
      <c r="P302" s="3" t="s">
        <v>4017</v>
      </c>
      <c r="Q302" s="2" t="s">
        <v>4018</v>
      </c>
      <c r="R302" s="3" t="s">
        <v>3084</v>
      </c>
      <c r="S302" s="4">
        <v>5</v>
      </c>
      <c r="T302" s="4">
        <v>5</v>
      </c>
      <c r="U302" s="5" t="s">
        <v>4019</v>
      </c>
      <c r="V302" s="5" t="s">
        <v>4019</v>
      </c>
      <c r="W302" s="5" t="s">
        <v>4020</v>
      </c>
      <c r="X302" s="5" t="s">
        <v>4020</v>
      </c>
      <c r="Y302" s="4">
        <v>131</v>
      </c>
      <c r="Z302" s="4">
        <v>78</v>
      </c>
      <c r="AA302" s="4">
        <v>117</v>
      </c>
      <c r="AB302" s="4">
        <v>2</v>
      </c>
      <c r="AC302" s="4">
        <v>2</v>
      </c>
      <c r="AD302" s="4">
        <v>3</v>
      </c>
      <c r="AE302" s="4">
        <v>4</v>
      </c>
      <c r="AF302" s="4">
        <v>0</v>
      </c>
      <c r="AG302" s="4">
        <v>0</v>
      </c>
      <c r="AH302" s="4">
        <v>2</v>
      </c>
      <c r="AI302" s="4">
        <v>2</v>
      </c>
      <c r="AJ302" s="4">
        <v>0</v>
      </c>
      <c r="AK302" s="4">
        <v>1</v>
      </c>
      <c r="AL302" s="4">
        <v>1</v>
      </c>
      <c r="AM302" s="4">
        <v>1</v>
      </c>
      <c r="AN302" s="4">
        <v>0</v>
      </c>
      <c r="AO302" s="4">
        <v>0</v>
      </c>
      <c r="AP302" s="3" t="s">
        <v>58</v>
      </c>
      <c r="AQ302" s="3" t="s">
        <v>69</v>
      </c>
      <c r="AR302" s="6" t="str">
        <f>HYPERLINK("http://catalog.hathitrust.org/Record/000273143","HathiTrust Record")</f>
        <v>HathiTrust Record</v>
      </c>
      <c r="AS302" s="6" t="str">
        <f>HYPERLINK("https://creighton-primo.hosted.exlibrisgroup.com/primo-explore/search?tab=default_tab&amp;search_scope=EVERYTHING&amp;vid=01CRU&amp;lang=en_US&amp;offset=0&amp;query=any,contains,991000457249702656","Catalog Record")</f>
        <v>Catalog Record</v>
      </c>
      <c r="AT302" s="6" t="str">
        <f>HYPERLINK("http://www.worldcat.org/oclc/10914761","WorldCat Record")</f>
        <v>WorldCat Record</v>
      </c>
      <c r="AU302" s="3" t="s">
        <v>4021</v>
      </c>
      <c r="AV302" s="3" t="s">
        <v>4022</v>
      </c>
      <c r="AW302" s="3" t="s">
        <v>4023</v>
      </c>
      <c r="AX302" s="3" t="s">
        <v>4023</v>
      </c>
      <c r="AY302" s="3" t="s">
        <v>4024</v>
      </c>
      <c r="AZ302" s="3" t="s">
        <v>74</v>
      </c>
      <c r="BB302" s="3" t="s">
        <v>4025</v>
      </c>
      <c r="BC302" s="3" t="s">
        <v>4026</v>
      </c>
      <c r="BD302" s="3" t="s">
        <v>4027</v>
      </c>
    </row>
    <row r="303" spans="1:56" ht="57.75" customHeight="1" x14ac:dyDescent="0.25">
      <c r="A303" s="7" t="s">
        <v>58</v>
      </c>
      <c r="B303" s="2" t="s">
        <v>4028</v>
      </c>
      <c r="C303" s="2" t="s">
        <v>4029</v>
      </c>
      <c r="D303" s="2" t="s">
        <v>4030</v>
      </c>
      <c r="F303" s="3" t="s">
        <v>58</v>
      </c>
      <c r="G303" s="3" t="s">
        <v>59</v>
      </c>
      <c r="H303" s="3" t="s">
        <v>58</v>
      </c>
      <c r="I303" s="3" t="s">
        <v>58</v>
      </c>
      <c r="J303" s="3" t="s">
        <v>60</v>
      </c>
      <c r="L303" s="2" t="s">
        <v>651</v>
      </c>
      <c r="M303" s="3" t="s">
        <v>233</v>
      </c>
      <c r="O303" s="3" t="s">
        <v>64</v>
      </c>
      <c r="P303" s="3" t="s">
        <v>278</v>
      </c>
      <c r="R303" s="3" t="s">
        <v>3084</v>
      </c>
      <c r="S303" s="4">
        <v>2</v>
      </c>
      <c r="T303" s="4">
        <v>2</v>
      </c>
      <c r="U303" s="5" t="s">
        <v>4031</v>
      </c>
      <c r="V303" s="5" t="s">
        <v>4031</v>
      </c>
      <c r="W303" s="5" t="s">
        <v>4032</v>
      </c>
      <c r="X303" s="5" t="s">
        <v>4032</v>
      </c>
      <c r="Y303" s="4">
        <v>582</v>
      </c>
      <c r="Z303" s="4">
        <v>424</v>
      </c>
      <c r="AA303" s="4">
        <v>424</v>
      </c>
      <c r="AB303" s="4">
        <v>3</v>
      </c>
      <c r="AC303" s="4">
        <v>3</v>
      </c>
      <c r="AD303" s="4">
        <v>26</v>
      </c>
      <c r="AE303" s="4">
        <v>26</v>
      </c>
      <c r="AF303" s="4">
        <v>11</v>
      </c>
      <c r="AG303" s="4">
        <v>11</v>
      </c>
      <c r="AH303" s="4">
        <v>5</v>
      </c>
      <c r="AI303" s="4">
        <v>5</v>
      </c>
      <c r="AJ303" s="4">
        <v>12</v>
      </c>
      <c r="AK303" s="4">
        <v>12</v>
      </c>
      <c r="AL303" s="4">
        <v>2</v>
      </c>
      <c r="AM303" s="4">
        <v>2</v>
      </c>
      <c r="AN303" s="4">
        <v>0</v>
      </c>
      <c r="AO303" s="4">
        <v>0</v>
      </c>
      <c r="AP303" s="3" t="s">
        <v>58</v>
      </c>
      <c r="AQ303" s="3" t="s">
        <v>58</v>
      </c>
      <c r="AS303" s="6" t="str">
        <f>HYPERLINK("https://creighton-primo.hosted.exlibrisgroup.com/primo-explore/search?tab=default_tab&amp;search_scope=EVERYTHING&amp;vid=01CRU&amp;lang=en_US&amp;offset=0&amp;query=any,contains,991004023219702656","Catalog Record")</f>
        <v>Catalog Record</v>
      </c>
      <c r="AT303" s="6" t="str">
        <f>HYPERLINK("http://www.worldcat.org/oclc/29956225","WorldCat Record")</f>
        <v>WorldCat Record</v>
      </c>
      <c r="AU303" s="3" t="s">
        <v>4033</v>
      </c>
      <c r="AV303" s="3" t="s">
        <v>4034</v>
      </c>
      <c r="AW303" s="3" t="s">
        <v>4035</v>
      </c>
      <c r="AX303" s="3" t="s">
        <v>4035</v>
      </c>
      <c r="AY303" s="3" t="s">
        <v>4036</v>
      </c>
      <c r="AZ303" s="3" t="s">
        <v>74</v>
      </c>
      <c r="BB303" s="3" t="s">
        <v>4037</v>
      </c>
      <c r="BC303" s="3" t="s">
        <v>4038</v>
      </c>
      <c r="BD303" s="3" t="s">
        <v>4039</v>
      </c>
    </row>
    <row r="304" spans="1:56" ht="57.75" customHeight="1" x14ac:dyDescent="0.25">
      <c r="A304" s="7" t="s">
        <v>58</v>
      </c>
      <c r="B304" s="2" t="s">
        <v>4040</v>
      </c>
      <c r="C304" s="2" t="s">
        <v>4041</v>
      </c>
      <c r="D304" s="2" t="s">
        <v>4042</v>
      </c>
      <c r="F304" s="3" t="s">
        <v>58</v>
      </c>
      <c r="G304" s="3" t="s">
        <v>59</v>
      </c>
      <c r="H304" s="3" t="s">
        <v>58</v>
      </c>
      <c r="I304" s="3" t="s">
        <v>58</v>
      </c>
      <c r="J304" s="3" t="s">
        <v>60</v>
      </c>
      <c r="K304" s="2" t="s">
        <v>4043</v>
      </c>
      <c r="L304" s="2" t="s">
        <v>4044</v>
      </c>
      <c r="M304" s="3" t="s">
        <v>1061</v>
      </c>
      <c r="O304" s="3" t="s">
        <v>64</v>
      </c>
      <c r="P304" s="3" t="s">
        <v>540</v>
      </c>
      <c r="R304" s="3" t="s">
        <v>3084</v>
      </c>
      <c r="S304" s="4">
        <v>3</v>
      </c>
      <c r="T304" s="4">
        <v>3</v>
      </c>
      <c r="U304" s="5" t="s">
        <v>4045</v>
      </c>
      <c r="V304" s="5" t="s">
        <v>4045</v>
      </c>
      <c r="W304" s="5" t="s">
        <v>4045</v>
      </c>
      <c r="X304" s="5" t="s">
        <v>4045</v>
      </c>
      <c r="Y304" s="4">
        <v>478</v>
      </c>
      <c r="Z304" s="4">
        <v>346</v>
      </c>
      <c r="AA304" s="4">
        <v>347</v>
      </c>
      <c r="AB304" s="4">
        <v>4</v>
      </c>
      <c r="AC304" s="4">
        <v>4</v>
      </c>
      <c r="AD304" s="4">
        <v>17</v>
      </c>
      <c r="AE304" s="4">
        <v>17</v>
      </c>
      <c r="AF304" s="4">
        <v>2</v>
      </c>
      <c r="AG304" s="4">
        <v>2</v>
      </c>
      <c r="AH304" s="4">
        <v>7</v>
      </c>
      <c r="AI304" s="4">
        <v>7</v>
      </c>
      <c r="AJ304" s="4">
        <v>9</v>
      </c>
      <c r="AK304" s="4">
        <v>9</v>
      </c>
      <c r="AL304" s="4">
        <v>2</v>
      </c>
      <c r="AM304" s="4">
        <v>2</v>
      </c>
      <c r="AN304" s="4">
        <v>0</v>
      </c>
      <c r="AO304" s="4">
        <v>0</v>
      </c>
      <c r="AP304" s="3" t="s">
        <v>58</v>
      </c>
      <c r="AQ304" s="3" t="s">
        <v>58</v>
      </c>
      <c r="AS304" s="6" t="str">
        <f>HYPERLINK("https://creighton-primo.hosted.exlibrisgroup.com/primo-explore/search?tab=default_tab&amp;search_scope=EVERYTHING&amp;vid=01CRU&amp;lang=en_US&amp;offset=0&amp;query=any,contains,991004776049702656","Catalog Record")</f>
        <v>Catalog Record</v>
      </c>
      <c r="AT304" s="6" t="str">
        <f>HYPERLINK("http://www.worldcat.org/oclc/50155472","WorldCat Record")</f>
        <v>WorldCat Record</v>
      </c>
      <c r="AU304" s="3" t="s">
        <v>4046</v>
      </c>
      <c r="AV304" s="3" t="s">
        <v>4047</v>
      </c>
      <c r="AW304" s="3" t="s">
        <v>4048</v>
      </c>
      <c r="AX304" s="3" t="s">
        <v>4048</v>
      </c>
      <c r="AY304" s="3" t="s">
        <v>4049</v>
      </c>
      <c r="AZ304" s="3" t="s">
        <v>74</v>
      </c>
      <c r="BB304" s="3" t="s">
        <v>4050</v>
      </c>
      <c r="BC304" s="3" t="s">
        <v>4051</v>
      </c>
      <c r="BD304" s="3" t="s">
        <v>4052</v>
      </c>
    </row>
    <row r="305" spans="1:56" ht="57.75" customHeight="1" x14ac:dyDescent="0.25">
      <c r="A305" s="7" t="s">
        <v>58</v>
      </c>
      <c r="B305" s="2" t="s">
        <v>4053</v>
      </c>
      <c r="C305" s="2" t="s">
        <v>4054</v>
      </c>
      <c r="D305" s="2" t="s">
        <v>4055</v>
      </c>
      <c r="F305" s="3" t="s">
        <v>58</v>
      </c>
      <c r="G305" s="3" t="s">
        <v>59</v>
      </c>
      <c r="H305" s="3" t="s">
        <v>58</v>
      </c>
      <c r="I305" s="3" t="s">
        <v>58</v>
      </c>
      <c r="J305" s="3" t="s">
        <v>60</v>
      </c>
      <c r="L305" s="2" t="s">
        <v>4056</v>
      </c>
      <c r="M305" s="3" t="s">
        <v>277</v>
      </c>
      <c r="N305" s="2" t="s">
        <v>4057</v>
      </c>
      <c r="O305" s="3" t="s">
        <v>64</v>
      </c>
      <c r="P305" s="3" t="s">
        <v>65</v>
      </c>
      <c r="R305" s="3" t="s">
        <v>3084</v>
      </c>
      <c r="S305" s="4">
        <v>4</v>
      </c>
      <c r="T305" s="4">
        <v>4</v>
      </c>
      <c r="U305" s="5" t="s">
        <v>4058</v>
      </c>
      <c r="V305" s="5" t="s">
        <v>4058</v>
      </c>
      <c r="W305" s="5" t="s">
        <v>2697</v>
      </c>
      <c r="X305" s="5" t="s">
        <v>2697</v>
      </c>
      <c r="Y305" s="4">
        <v>109</v>
      </c>
      <c r="Z305" s="4">
        <v>90</v>
      </c>
      <c r="AA305" s="4">
        <v>481</v>
      </c>
      <c r="AB305" s="4">
        <v>1</v>
      </c>
      <c r="AC305" s="4">
        <v>3</v>
      </c>
      <c r="AD305" s="4">
        <v>5</v>
      </c>
      <c r="AE305" s="4">
        <v>23</v>
      </c>
      <c r="AF305" s="4">
        <v>1</v>
      </c>
      <c r="AG305" s="4">
        <v>10</v>
      </c>
      <c r="AH305" s="4">
        <v>1</v>
      </c>
      <c r="AI305" s="4">
        <v>5</v>
      </c>
      <c r="AJ305" s="4">
        <v>3</v>
      </c>
      <c r="AK305" s="4">
        <v>12</v>
      </c>
      <c r="AL305" s="4">
        <v>0</v>
      </c>
      <c r="AM305" s="4">
        <v>2</v>
      </c>
      <c r="AN305" s="4">
        <v>0</v>
      </c>
      <c r="AO305" s="4">
        <v>0</v>
      </c>
      <c r="AP305" s="3" t="s">
        <v>58</v>
      </c>
      <c r="AQ305" s="3" t="s">
        <v>58</v>
      </c>
      <c r="AS305" s="6" t="str">
        <f>HYPERLINK("https://creighton-primo.hosted.exlibrisgroup.com/primo-explore/search?tab=default_tab&amp;search_scope=EVERYTHING&amp;vid=01CRU&amp;lang=en_US&amp;offset=0&amp;query=any,contains,991001217039702656","Catalog Record")</f>
        <v>Catalog Record</v>
      </c>
      <c r="AT305" s="6" t="str">
        <f>HYPERLINK("http://www.worldcat.org/oclc/17439133","WorldCat Record")</f>
        <v>WorldCat Record</v>
      </c>
      <c r="AU305" s="3" t="s">
        <v>4059</v>
      </c>
      <c r="AV305" s="3" t="s">
        <v>4060</v>
      </c>
      <c r="AW305" s="3" t="s">
        <v>4061</v>
      </c>
      <c r="AX305" s="3" t="s">
        <v>4061</v>
      </c>
      <c r="AY305" s="3" t="s">
        <v>4062</v>
      </c>
      <c r="AZ305" s="3" t="s">
        <v>74</v>
      </c>
      <c r="BB305" s="3" t="s">
        <v>4063</v>
      </c>
      <c r="BC305" s="3" t="s">
        <v>4064</v>
      </c>
      <c r="BD305" s="3" t="s">
        <v>4065</v>
      </c>
    </row>
    <row r="306" spans="1:56" ht="57.75" customHeight="1" x14ac:dyDescent="0.25">
      <c r="A306" s="7" t="s">
        <v>58</v>
      </c>
      <c r="B306" s="2" t="s">
        <v>4066</v>
      </c>
      <c r="C306" s="2" t="s">
        <v>4067</v>
      </c>
      <c r="D306" s="2" t="s">
        <v>4068</v>
      </c>
      <c r="F306" s="3" t="s">
        <v>58</v>
      </c>
      <c r="G306" s="3" t="s">
        <v>59</v>
      </c>
      <c r="H306" s="3" t="s">
        <v>58</v>
      </c>
      <c r="I306" s="3" t="s">
        <v>58</v>
      </c>
      <c r="J306" s="3" t="s">
        <v>60</v>
      </c>
      <c r="K306" s="2" t="s">
        <v>4069</v>
      </c>
      <c r="L306" s="2" t="s">
        <v>276</v>
      </c>
      <c r="M306" s="3" t="s">
        <v>277</v>
      </c>
      <c r="O306" s="3" t="s">
        <v>64</v>
      </c>
      <c r="P306" s="3" t="s">
        <v>278</v>
      </c>
      <c r="R306" s="3" t="s">
        <v>3084</v>
      </c>
      <c r="S306" s="4">
        <v>1</v>
      </c>
      <c r="T306" s="4">
        <v>1</v>
      </c>
      <c r="U306" s="5" t="s">
        <v>4070</v>
      </c>
      <c r="V306" s="5" t="s">
        <v>4070</v>
      </c>
      <c r="W306" s="5" t="s">
        <v>4071</v>
      </c>
      <c r="X306" s="5" t="s">
        <v>4071</v>
      </c>
      <c r="Y306" s="4">
        <v>736</v>
      </c>
      <c r="Z306" s="4">
        <v>569</v>
      </c>
      <c r="AA306" s="4">
        <v>594</v>
      </c>
      <c r="AB306" s="4">
        <v>4</v>
      </c>
      <c r="AC306" s="4">
        <v>4</v>
      </c>
      <c r="AD306" s="4">
        <v>29</v>
      </c>
      <c r="AE306" s="4">
        <v>29</v>
      </c>
      <c r="AF306" s="4">
        <v>13</v>
      </c>
      <c r="AG306" s="4">
        <v>13</v>
      </c>
      <c r="AH306" s="4">
        <v>8</v>
      </c>
      <c r="AI306" s="4">
        <v>8</v>
      </c>
      <c r="AJ306" s="4">
        <v>15</v>
      </c>
      <c r="AK306" s="4">
        <v>15</v>
      </c>
      <c r="AL306" s="4">
        <v>2</v>
      </c>
      <c r="AM306" s="4">
        <v>2</v>
      </c>
      <c r="AN306" s="4">
        <v>0</v>
      </c>
      <c r="AO306" s="4">
        <v>0</v>
      </c>
      <c r="AP306" s="3" t="s">
        <v>58</v>
      </c>
      <c r="AQ306" s="3" t="s">
        <v>58</v>
      </c>
      <c r="AS306" s="6" t="str">
        <f>HYPERLINK("https://creighton-primo.hosted.exlibrisgroup.com/primo-explore/search?tab=default_tab&amp;search_scope=EVERYTHING&amp;vid=01CRU&amp;lang=en_US&amp;offset=0&amp;query=any,contains,991001378129702656","Catalog Record")</f>
        <v>Catalog Record</v>
      </c>
      <c r="AT306" s="6" t="str">
        <f>HYPERLINK("http://www.worldcat.org/oclc/18629266","WorldCat Record")</f>
        <v>WorldCat Record</v>
      </c>
      <c r="AU306" s="3" t="s">
        <v>4072</v>
      </c>
      <c r="AV306" s="3" t="s">
        <v>4073</v>
      </c>
      <c r="AW306" s="3" t="s">
        <v>4074</v>
      </c>
      <c r="AX306" s="3" t="s">
        <v>4074</v>
      </c>
      <c r="AY306" s="3" t="s">
        <v>4075</v>
      </c>
      <c r="AZ306" s="3" t="s">
        <v>74</v>
      </c>
      <c r="BB306" s="3" t="s">
        <v>4076</v>
      </c>
      <c r="BC306" s="3" t="s">
        <v>4077</v>
      </c>
      <c r="BD306" s="3" t="s">
        <v>4078</v>
      </c>
    </row>
    <row r="307" spans="1:56" ht="57.75" customHeight="1" x14ac:dyDescent="0.25">
      <c r="A307" s="7" t="s">
        <v>58</v>
      </c>
      <c r="B307" s="2" t="s">
        <v>4079</v>
      </c>
      <c r="C307" s="2" t="s">
        <v>4080</v>
      </c>
      <c r="D307" s="2" t="s">
        <v>4081</v>
      </c>
      <c r="F307" s="3" t="s">
        <v>58</v>
      </c>
      <c r="G307" s="3" t="s">
        <v>59</v>
      </c>
      <c r="H307" s="3" t="s">
        <v>58</v>
      </c>
      <c r="I307" s="3" t="s">
        <v>58</v>
      </c>
      <c r="J307" s="3" t="s">
        <v>60</v>
      </c>
      <c r="K307" s="2" t="s">
        <v>4082</v>
      </c>
      <c r="L307" s="2" t="s">
        <v>4083</v>
      </c>
      <c r="M307" s="3" t="s">
        <v>636</v>
      </c>
      <c r="O307" s="3" t="s">
        <v>64</v>
      </c>
      <c r="P307" s="3" t="s">
        <v>540</v>
      </c>
      <c r="R307" s="3" t="s">
        <v>3084</v>
      </c>
      <c r="S307" s="4">
        <v>1</v>
      </c>
      <c r="T307" s="4">
        <v>1</v>
      </c>
      <c r="U307" s="5" t="s">
        <v>4084</v>
      </c>
      <c r="V307" s="5" t="s">
        <v>4084</v>
      </c>
      <c r="W307" s="5" t="s">
        <v>4084</v>
      </c>
      <c r="X307" s="5" t="s">
        <v>4084</v>
      </c>
      <c r="Y307" s="4">
        <v>376</v>
      </c>
      <c r="Z307" s="4">
        <v>326</v>
      </c>
      <c r="AA307" s="4">
        <v>348</v>
      </c>
      <c r="AB307" s="4">
        <v>3</v>
      </c>
      <c r="AC307" s="4">
        <v>3</v>
      </c>
      <c r="AD307" s="4">
        <v>18</v>
      </c>
      <c r="AE307" s="4">
        <v>18</v>
      </c>
      <c r="AF307" s="4">
        <v>8</v>
      </c>
      <c r="AG307" s="4">
        <v>8</v>
      </c>
      <c r="AH307" s="4">
        <v>5</v>
      </c>
      <c r="AI307" s="4">
        <v>5</v>
      </c>
      <c r="AJ307" s="4">
        <v>8</v>
      </c>
      <c r="AK307" s="4">
        <v>8</v>
      </c>
      <c r="AL307" s="4">
        <v>2</v>
      </c>
      <c r="AM307" s="4">
        <v>2</v>
      </c>
      <c r="AN307" s="4">
        <v>0</v>
      </c>
      <c r="AO307" s="4">
        <v>0</v>
      </c>
      <c r="AP307" s="3" t="s">
        <v>58</v>
      </c>
      <c r="AQ307" s="3" t="s">
        <v>58</v>
      </c>
      <c r="AS307" s="6" t="str">
        <f>HYPERLINK("https://creighton-primo.hosted.exlibrisgroup.com/primo-explore/search?tab=default_tab&amp;search_scope=EVERYTHING&amp;vid=01CRU&amp;lang=en_US&amp;offset=0&amp;query=any,contains,991004033769702656","Catalog Record")</f>
        <v>Catalog Record</v>
      </c>
      <c r="AT307" s="6" t="str">
        <f>HYPERLINK("http://www.worldcat.org/oclc/44811766","WorldCat Record")</f>
        <v>WorldCat Record</v>
      </c>
      <c r="AU307" s="3" t="s">
        <v>4085</v>
      </c>
      <c r="AV307" s="3" t="s">
        <v>4086</v>
      </c>
      <c r="AW307" s="3" t="s">
        <v>4087</v>
      </c>
      <c r="AX307" s="3" t="s">
        <v>4087</v>
      </c>
      <c r="AY307" s="3" t="s">
        <v>4088</v>
      </c>
      <c r="AZ307" s="3" t="s">
        <v>74</v>
      </c>
      <c r="BB307" s="3" t="s">
        <v>4089</v>
      </c>
      <c r="BC307" s="3" t="s">
        <v>4090</v>
      </c>
      <c r="BD307" s="3" t="s">
        <v>4091</v>
      </c>
    </row>
    <row r="308" spans="1:56" ht="57.75" customHeight="1" x14ac:dyDescent="0.25">
      <c r="A308" s="7" t="s">
        <v>58</v>
      </c>
      <c r="B308" s="2" t="s">
        <v>4092</v>
      </c>
      <c r="C308" s="2" t="s">
        <v>4093</v>
      </c>
      <c r="D308" s="2" t="s">
        <v>4094</v>
      </c>
      <c r="F308" s="3" t="s">
        <v>58</v>
      </c>
      <c r="G308" s="3" t="s">
        <v>59</v>
      </c>
      <c r="H308" s="3" t="s">
        <v>58</v>
      </c>
      <c r="I308" s="3" t="s">
        <v>58</v>
      </c>
      <c r="J308" s="3" t="s">
        <v>60</v>
      </c>
      <c r="L308" s="2" t="s">
        <v>4095</v>
      </c>
      <c r="M308" s="3" t="s">
        <v>138</v>
      </c>
      <c r="O308" s="3" t="s">
        <v>64</v>
      </c>
      <c r="P308" s="3" t="s">
        <v>234</v>
      </c>
      <c r="R308" s="3" t="s">
        <v>3084</v>
      </c>
      <c r="S308" s="4">
        <v>3</v>
      </c>
      <c r="T308" s="4">
        <v>3</v>
      </c>
      <c r="U308" s="5" t="s">
        <v>4096</v>
      </c>
      <c r="V308" s="5" t="s">
        <v>4096</v>
      </c>
      <c r="W308" s="5" t="s">
        <v>2697</v>
      </c>
      <c r="X308" s="5" t="s">
        <v>2697</v>
      </c>
      <c r="Y308" s="4">
        <v>908</v>
      </c>
      <c r="Z308" s="4">
        <v>774</v>
      </c>
      <c r="AA308" s="4">
        <v>804</v>
      </c>
      <c r="AB308" s="4">
        <v>6</v>
      </c>
      <c r="AC308" s="4">
        <v>6</v>
      </c>
      <c r="AD308" s="4">
        <v>31</v>
      </c>
      <c r="AE308" s="4">
        <v>31</v>
      </c>
      <c r="AF308" s="4">
        <v>14</v>
      </c>
      <c r="AG308" s="4">
        <v>14</v>
      </c>
      <c r="AH308" s="4">
        <v>7</v>
      </c>
      <c r="AI308" s="4">
        <v>7</v>
      </c>
      <c r="AJ308" s="4">
        <v>14</v>
      </c>
      <c r="AK308" s="4">
        <v>14</v>
      </c>
      <c r="AL308" s="4">
        <v>4</v>
      </c>
      <c r="AM308" s="4">
        <v>4</v>
      </c>
      <c r="AN308" s="4">
        <v>0</v>
      </c>
      <c r="AO308" s="4">
        <v>0</v>
      </c>
      <c r="AP308" s="3" t="s">
        <v>58</v>
      </c>
      <c r="AQ308" s="3" t="s">
        <v>58</v>
      </c>
      <c r="AS308" s="6" t="str">
        <f>HYPERLINK("https://creighton-primo.hosted.exlibrisgroup.com/primo-explore/search?tab=default_tab&amp;search_scope=EVERYTHING&amp;vid=01CRU&amp;lang=en_US&amp;offset=0&amp;query=any,contains,991004961159702656","Catalog Record")</f>
        <v>Catalog Record</v>
      </c>
      <c r="AT308" s="6" t="str">
        <f>HYPERLINK("http://www.worldcat.org/oclc/6305106","WorldCat Record")</f>
        <v>WorldCat Record</v>
      </c>
      <c r="AU308" s="3" t="s">
        <v>4097</v>
      </c>
      <c r="AV308" s="3" t="s">
        <v>4098</v>
      </c>
      <c r="AW308" s="3" t="s">
        <v>4099</v>
      </c>
      <c r="AX308" s="3" t="s">
        <v>4099</v>
      </c>
      <c r="AY308" s="3" t="s">
        <v>4100</v>
      </c>
      <c r="AZ308" s="3" t="s">
        <v>74</v>
      </c>
      <c r="BB308" s="3" t="s">
        <v>4101</v>
      </c>
      <c r="BC308" s="3" t="s">
        <v>4102</v>
      </c>
      <c r="BD308" s="3" t="s">
        <v>4103</v>
      </c>
    </row>
    <row r="309" spans="1:56" ht="57.75" customHeight="1" x14ac:dyDescent="0.25">
      <c r="A309" s="7" t="s">
        <v>58</v>
      </c>
      <c r="B309" s="2" t="s">
        <v>4104</v>
      </c>
      <c r="C309" s="2" t="s">
        <v>4105</v>
      </c>
      <c r="D309" s="2" t="s">
        <v>4106</v>
      </c>
      <c r="F309" s="3" t="s">
        <v>58</v>
      </c>
      <c r="G309" s="3" t="s">
        <v>59</v>
      </c>
      <c r="H309" s="3" t="s">
        <v>58</v>
      </c>
      <c r="I309" s="3" t="s">
        <v>58</v>
      </c>
      <c r="J309" s="3" t="s">
        <v>60</v>
      </c>
      <c r="L309" s="2" t="s">
        <v>4107</v>
      </c>
      <c r="M309" s="3" t="s">
        <v>293</v>
      </c>
      <c r="O309" s="3" t="s">
        <v>64</v>
      </c>
      <c r="P309" s="3" t="s">
        <v>65</v>
      </c>
      <c r="R309" s="3" t="s">
        <v>3084</v>
      </c>
      <c r="S309" s="4">
        <v>1</v>
      </c>
      <c r="T309" s="4">
        <v>1</v>
      </c>
      <c r="U309" s="5" t="s">
        <v>4096</v>
      </c>
      <c r="V309" s="5" t="s">
        <v>4096</v>
      </c>
      <c r="W309" s="5" t="s">
        <v>1858</v>
      </c>
      <c r="X309" s="5" t="s">
        <v>1858</v>
      </c>
      <c r="Y309" s="4">
        <v>1649</v>
      </c>
      <c r="Z309" s="4">
        <v>1541</v>
      </c>
      <c r="AA309" s="4">
        <v>1555</v>
      </c>
      <c r="AB309" s="4">
        <v>13</v>
      </c>
      <c r="AC309" s="4">
        <v>13</v>
      </c>
      <c r="AD309" s="4">
        <v>43</v>
      </c>
      <c r="AE309" s="4">
        <v>43</v>
      </c>
      <c r="AF309" s="4">
        <v>17</v>
      </c>
      <c r="AG309" s="4">
        <v>17</v>
      </c>
      <c r="AH309" s="4">
        <v>7</v>
      </c>
      <c r="AI309" s="4">
        <v>7</v>
      </c>
      <c r="AJ309" s="4">
        <v>18</v>
      </c>
      <c r="AK309" s="4">
        <v>18</v>
      </c>
      <c r="AL309" s="4">
        <v>8</v>
      </c>
      <c r="AM309" s="4">
        <v>8</v>
      </c>
      <c r="AN309" s="4">
        <v>0</v>
      </c>
      <c r="AO309" s="4">
        <v>0</v>
      </c>
      <c r="AP309" s="3" t="s">
        <v>58</v>
      </c>
      <c r="AQ309" s="3" t="s">
        <v>69</v>
      </c>
      <c r="AR309" s="6" t="str">
        <f>HYPERLINK("http://catalog.hathitrust.org/Record/001472923","HathiTrust Record")</f>
        <v>HathiTrust Record</v>
      </c>
      <c r="AS309" s="6" t="str">
        <f>HYPERLINK("https://creighton-primo.hosted.exlibrisgroup.com/primo-explore/search?tab=default_tab&amp;search_scope=EVERYTHING&amp;vid=01CRU&amp;lang=en_US&amp;offset=0&amp;query=any,contains,991000613469702656","Catalog Record")</f>
        <v>Catalog Record</v>
      </c>
      <c r="AT309" s="6" t="str">
        <f>HYPERLINK("http://www.worldcat.org/oclc/101007","WorldCat Record")</f>
        <v>WorldCat Record</v>
      </c>
      <c r="AU309" s="3" t="s">
        <v>4108</v>
      </c>
      <c r="AV309" s="3" t="s">
        <v>4109</v>
      </c>
      <c r="AW309" s="3" t="s">
        <v>4110</v>
      </c>
      <c r="AX309" s="3" t="s">
        <v>4110</v>
      </c>
      <c r="AY309" s="3" t="s">
        <v>4111</v>
      </c>
      <c r="AZ309" s="3" t="s">
        <v>74</v>
      </c>
      <c r="BB309" s="3" t="s">
        <v>4112</v>
      </c>
      <c r="BC309" s="3" t="s">
        <v>4113</v>
      </c>
      <c r="BD309" s="3" t="s">
        <v>4114</v>
      </c>
    </row>
    <row r="310" spans="1:56" ht="57.75" customHeight="1" x14ac:dyDescent="0.25">
      <c r="A310" s="7" t="s">
        <v>58</v>
      </c>
      <c r="B310" s="2" t="s">
        <v>4115</v>
      </c>
      <c r="C310" s="2" t="s">
        <v>4116</v>
      </c>
      <c r="D310" s="2" t="s">
        <v>4117</v>
      </c>
      <c r="F310" s="3" t="s">
        <v>58</v>
      </c>
      <c r="G310" s="3" t="s">
        <v>59</v>
      </c>
      <c r="H310" s="3" t="s">
        <v>58</v>
      </c>
      <c r="I310" s="3" t="s">
        <v>58</v>
      </c>
      <c r="J310" s="3" t="s">
        <v>60</v>
      </c>
      <c r="K310" s="2" t="s">
        <v>4118</v>
      </c>
      <c r="L310" s="2" t="s">
        <v>4119</v>
      </c>
      <c r="M310" s="3" t="s">
        <v>1061</v>
      </c>
      <c r="O310" s="3" t="s">
        <v>64</v>
      </c>
      <c r="P310" s="3" t="s">
        <v>453</v>
      </c>
      <c r="R310" s="3" t="s">
        <v>3084</v>
      </c>
      <c r="S310" s="4">
        <v>1</v>
      </c>
      <c r="T310" s="4">
        <v>1</v>
      </c>
      <c r="U310" s="5" t="s">
        <v>4120</v>
      </c>
      <c r="V310" s="5" t="s">
        <v>4120</v>
      </c>
      <c r="W310" s="5" t="s">
        <v>4120</v>
      </c>
      <c r="X310" s="5" t="s">
        <v>4120</v>
      </c>
      <c r="Y310" s="4">
        <v>292</v>
      </c>
      <c r="Z310" s="4">
        <v>207</v>
      </c>
      <c r="AA310" s="4">
        <v>226</v>
      </c>
      <c r="AB310" s="4">
        <v>4</v>
      </c>
      <c r="AC310" s="4">
        <v>4</v>
      </c>
      <c r="AD310" s="4">
        <v>9</v>
      </c>
      <c r="AE310" s="4">
        <v>9</v>
      </c>
      <c r="AF310" s="4">
        <v>1</v>
      </c>
      <c r="AG310" s="4">
        <v>1</v>
      </c>
      <c r="AH310" s="4">
        <v>2</v>
      </c>
      <c r="AI310" s="4">
        <v>2</v>
      </c>
      <c r="AJ310" s="4">
        <v>4</v>
      </c>
      <c r="AK310" s="4">
        <v>4</v>
      </c>
      <c r="AL310" s="4">
        <v>3</v>
      </c>
      <c r="AM310" s="4">
        <v>3</v>
      </c>
      <c r="AN310" s="4">
        <v>0</v>
      </c>
      <c r="AO310" s="4">
        <v>0</v>
      </c>
      <c r="AP310" s="3" t="s">
        <v>58</v>
      </c>
      <c r="AQ310" s="3" t="s">
        <v>58</v>
      </c>
      <c r="AS310" s="6" t="str">
        <f>HYPERLINK("https://creighton-primo.hosted.exlibrisgroup.com/primo-explore/search?tab=default_tab&amp;search_scope=EVERYTHING&amp;vid=01CRU&amp;lang=en_US&amp;offset=0&amp;query=any,contains,991005299229702656","Catalog Record")</f>
        <v>Catalog Record</v>
      </c>
      <c r="AT310" s="6" t="str">
        <f>HYPERLINK("http://www.worldcat.org/oclc/50583397","WorldCat Record")</f>
        <v>WorldCat Record</v>
      </c>
      <c r="AU310" s="3" t="s">
        <v>4121</v>
      </c>
      <c r="AV310" s="3" t="s">
        <v>4122</v>
      </c>
      <c r="AW310" s="3" t="s">
        <v>4123</v>
      </c>
      <c r="AX310" s="3" t="s">
        <v>4123</v>
      </c>
      <c r="AY310" s="3" t="s">
        <v>4124</v>
      </c>
      <c r="AZ310" s="3" t="s">
        <v>74</v>
      </c>
      <c r="BB310" s="3" t="s">
        <v>4125</v>
      </c>
      <c r="BC310" s="3" t="s">
        <v>4126</v>
      </c>
      <c r="BD310" s="3" t="s">
        <v>4127</v>
      </c>
    </row>
    <row r="311" spans="1:56" ht="57.75" customHeight="1" x14ac:dyDescent="0.25">
      <c r="A311" s="7" t="s">
        <v>58</v>
      </c>
      <c r="B311" s="2" t="s">
        <v>4128</v>
      </c>
      <c r="C311" s="2" t="s">
        <v>4129</v>
      </c>
      <c r="D311" s="2" t="s">
        <v>4130</v>
      </c>
      <c r="F311" s="3" t="s">
        <v>58</v>
      </c>
      <c r="G311" s="3" t="s">
        <v>59</v>
      </c>
      <c r="H311" s="3" t="s">
        <v>58</v>
      </c>
      <c r="I311" s="3" t="s">
        <v>58</v>
      </c>
      <c r="J311" s="3" t="s">
        <v>60</v>
      </c>
      <c r="K311" s="2" t="s">
        <v>4131</v>
      </c>
      <c r="L311" s="2" t="s">
        <v>4132</v>
      </c>
      <c r="M311" s="3" t="s">
        <v>916</v>
      </c>
      <c r="N311" s="2" t="s">
        <v>4133</v>
      </c>
      <c r="O311" s="3" t="s">
        <v>338</v>
      </c>
      <c r="P311" s="3" t="s">
        <v>339</v>
      </c>
      <c r="Q311" s="2" t="s">
        <v>4134</v>
      </c>
      <c r="R311" s="3" t="s">
        <v>3084</v>
      </c>
      <c r="S311" s="4">
        <v>1</v>
      </c>
      <c r="T311" s="4">
        <v>1</v>
      </c>
      <c r="U311" s="5" t="s">
        <v>4135</v>
      </c>
      <c r="V311" s="5" t="s">
        <v>4135</v>
      </c>
      <c r="W311" s="5" t="s">
        <v>2697</v>
      </c>
      <c r="X311" s="5" t="s">
        <v>2697</v>
      </c>
      <c r="Y311" s="4">
        <v>217</v>
      </c>
      <c r="Z311" s="4">
        <v>163</v>
      </c>
      <c r="AA311" s="4">
        <v>164</v>
      </c>
      <c r="AB311" s="4">
        <v>3</v>
      </c>
      <c r="AC311" s="4">
        <v>3</v>
      </c>
      <c r="AD311" s="4">
        <v>10</v>
      </c>
      <c r="AE311" s="4">
        <v>10</v>
      </c>
      <c r="AF311" s="4">
        <v>2</v>
      </c>
      <c r="AG311" s="4">
        <v>2</v>
      </c>
      <c r="AH311" s="4">
        <v>5</v>
      </c>
      <c r="AI311" s="4">
        <v>5</v>
      </c>
      <c r="AJ311" s="4">
        <v>4</v>
      </c>
      <c r="AK311" s="4">
        <v>4</v>
      </c>
      <c r="AL311" s="4">
        <v>2</v>
      </c>
      <c r="AM311" s="4">
        <v>2</v>
      </c>
      <c r="AN311" s="4">
        <v>0</v>
      </c>
      <c r="AO311" s="4">
        <v>0</v>
      </c>
      <c r="AP311" s="3" t="s">
        <v>58</v>
      </c>
      <c r="AQ311" s="3" t="s">
        <v>69</v>
      </c>
      <c r="AR311" s="6" t="str">
        <f>HYPERLINK("http://catalog.hathitrust.org/Record/000106209","HathiTrust Record")</f>
        <v>HathiTrust Record</v>
      </c>
      <c r="AS311" s="6" t="str">
        <f>HYPERLINK("https://creighton-primo.hosted.exlibrisgroup.com/primo-explore/search?tab=default_tab&amp;search_scope=EVERYTHING&amp;vid=01CRU&amp;lang=en_US&amp;offset=0&amp;query=any,contains,991000019289702656","Catalog Record")</f>
        <v>Catalog Record</v>
      </c>
      <c r="AT311" s="6" t="str">
        <f>HYPERLINK("http://www.worldcat.org/oclc/8554365","WorldCat Record")</f>
        <v>WorldCat Record</v>
      </c>
      <c r="AU311" s="3" t="s">
        <v>4136</v>
      </c>
      <c r="AV311" s="3" t="s">
        <v>4137</v>
      </c>
      <c r="AW311" s="3" t="s">
        <v>4138</v>
      </c>
      <c r="AX311" s="3" t="s">
        <v>4138</v>
      </c>
      <c r="AY311" s="3" t="s">
        <v>4139</v>
      </c>
      <c r="AZ311" s="3" t="s">
        <v>74</v>
      </c>
      <c r="BB311" s="3" t="s">
        <v>4140</v>
      </c>
      <c r="BC311" s="3" t="s">
        <v>4141</v>
      </c>
      <c r="BD311" s="3" t="s">
        <v>4142</v>
      </c>
    </row>
    <row r="312" spans="1:56" ht="57.75" customHeight="1" x14ac:dyDescent="0.25">
      <c r="A312" s="7" t="s">
        <v>58</v>
      </c>
      <c r="B312" s="2" t="s">
        <v>4143</v>
      </c>
      <c r="C312" s="2" t="s">
        <v>4144</v>
      </c>
      <c r="D312" s="2" t="s">
        <v>4145</v>
      </c>
      <c r="F312" s="3" t="s">
        <v>58</v>
      </c>
      <c r="G312" s="3" t="s">
        <v>59</v>
      </c>
      <c r="H312" s="3" t="s">
        <v>58</v>
      </c>
      <c r="I312" s="3" t="s">
        <v>58</v>
      </c>
      <c r="J312" s="3" t="s">
        <v>60</v>
      </c>
      <c r="K312" s="2" t="s">
        <v>4146</v>
      </c>
      <c r="L312" s="2" t="s">
        <v>4147</v>
      </c>
      <c r="M312" s="3" t="s">
        <v>1774</v>
      </c>
      <c r="O312" s="3" t="s">
        <v>338</v>
      </c>
      <c r="P312" s="3" t="s">
        <v>339</v>
      </c>
      <c r="R312" s="3" t="s">
        <v>3084</v>
      </c>
      <c r="S312" s="4">
        <v>1</v>
      </c>
      <c r="T312" s="4">
        <v>1</v>
      </c>
      <c r="U312" s="5" t="s">
        <v>4148</v>
      </c>
      <c r="V312" s="5" t="s">
        <v>4148</v>
      </c>
      <c r="W312" s="5" t="s">
        <v>4148</v>
      </c>
      <c r="X312" s="5" t="s">
        <v>4148</v>
      </c>
      <c r="Y312" s="4">
        <v>103</v>
      </c>
      <c r="Z312" s="4">
        <v>62</v>
      </c>
      <c r="AA312" s="4">
        <v>84</v>
      </c>
      <c r="AB312" s="4">
        <v>2</v>
      </c>
      <c r="AC312" s="4">
        <v>2</v>
      </c>
      <c r="AD312" s="4">
        <v>2</v>
      </c>
      <c r="AE312" s="4">
        <v>2</v>
      </c>
      <c r="AF312" s="4">
        <v>1</v>
      </c>
      <c r="AG312" s="4">
        <v>1</v>
      </c>
      <c r="AH312" s="4">
        <v>0</v>
      </c>
      <c r="AI312" s="4">
        <v>0</v>
      </c>
      <c r="AJ312" s="4">
        <v>0</v>
      </c>
      <c r="AK312" s="4">
        <v>0</v>
      </c>
      <c r="AL312" s="4">
        <v>1</v>
      </c>
      <c r="AM312" s="4">
        <v>1</v>
      </c>
      <c r="AN312" s="4">
        <v>0</v>
      </c>
      <c r="AO312" s="4">
        <v>0</v>
      </c>
      <c r="AP312" s="3" t="s">
        <v>58</v>
      </c>
      <c r="AQ312" s="3" t="s">
        <v>58</v>
      </c>
      <c r="AS312" s="6" t="str">
        <f>HYPERLINK("https://creighton-primo.hosted.exlibrisgroup.com/primo-explore/search?tab=default_tab&amp;search_scope=EVERYTHING&amp;vid=01CRU&amp;lang=en_US&amp;offset=0&amp;query=any,contains,991004345369702656","Catalog Record")</f>
        <v>Catalog Record</v>
      </c>
      <c r="AT312" s="6" t="str">
        <f>HYPERLINK("http://www.worldcat.org/oclc/34546548","WorldCat Record")</f>
        <v>WorldCat Record</v>
      </c>
      <c r="AU312" s="3" t="s">
        <v>4149</v>
      </c>
      <c r="AV312" s="3" t="s">
        <v>4150</v>
      </c>
      <c r="AW312" s="3" t="s">
        <v>4151</v>
      </c>
      <c r="AX312" s="3" t="s">
        <v>4151</v>
      </c>
      <c r="AY312" s="3" t="s">
        <v>4152</v>
      </c>
      <c r="AZ312" s="3" t="s">
        <v>74</v>
      </c>
      <c r="BB312" s="3" t="s">
        <v>4153</v>
      </c>
      <c r="BC312" s="3" t="s">
        <v>4154</v>
      </c>
      <c r="BD312" s="3" t="s">
        <v>4155</v>
      </c>
    </row>
    <row r="313" spans="1:56" ht="57.75" customHeight="1" x14ac:dyDescent="0.25">
      <c r="A313" s="7" t="s">
        <v>58</v>
      </c>
      <c r="B313" s="2" t="s">
        <v>4156</v>
      </c>
      <c r="C313" s="2" t="s">
        <v>4157</v>
      </c>
      <c r="D313" s="2" t="s">
        <v>4158</v>
      </c>
      <c r="F313" s="3" t="s">
        <v>58</v>
      </c>
      <c r="G313" s="3" t="s">
        <v>59</v>
      </c>
      <c r="H313" s="3" t="s">
        <v>58</v>
      </c>
      <c r="I313" s="3" t="s">
        <v>58</v>
      </c>
      <c r="J313" s="3" t="s">
        <v>60</v>
      </c>
      <c r="K313" s="2" t="s">
        <v>4159</v>
      </c>
      <c r="L313" s="2" t="s">
        <v>4160</v>
      </c>
      <c r="M313" s="3" t="s">
        <v>1986</v>
      </c>
      <c r="O313" s="3" t="s">
        <v>64</v>
      </c>
      <c r="P313" s="3" t="s">
        <v>65</v>
      </c>
      <c r="Q313" s="2" t="s">
        <v>2421</v>
      </c>
      <c r="R313" s="3" t="s">
        <v>3084</v>
      </c>
      <c r="S313" s="4">
        <v>2</v>
      </c>
      <c r="T313" s="4">
        <v>2</v>
      </c>
      <c r="U313" s="5" t="s">
        <v>4161</v>
      </c>
      <c r="V313" s="5" t="s">
        <v>4161</v>
      </c>
      <c r="W313" s="5" t="s">
        <v>4162</v>
      </c>
      <c r="X313" s="5" t="s">
        <v>4162</v>
      </c>
      <c r="Y313" s="4">
        <v>1063</v>
      </c>
      <c r="Z313" s="4">
        <v>886</v>
      </c>
      <c r="AA313" s="4">
        <v>889</v>
      </c>
      <c r="AB313" s="4">
        <v>8</v>
      </c>
      <c r="AC313" s="4">
        <v>8</v>
      </c>
      <c r="AD313" s="4">
        <v>28</v>
      </c>
      <c r="AE313" s="4">
        <v>28</v>
      </c>
      <c r="AF313" s="4">
        <v>11</v>
      </c>
      <c r="AG313" s="4">
        <v>11</v>
      </c>
      <c r="AH313" s="4">
        <v>4</v>
      </c>
      <c r="AI313" s="4">
        <v>4</v>
      </c>
      <c r="AJ313" s="4">
        <v>11</v>
      </c>
      <c r="AK313" s="4">
        <v>11</v>
      </c>
      <c r="AL313" s="4">
        <v>6</v>
      </c>
      <c r="AM313" s="4">
        <v>6</v>
      </c>
      <c r="AN313" s="4">
        <v>0</v>
      </c>
      <c r="AO313" s="4">
        <v>0</v>
      </c>
      <c r="AP313" s="3" t="s">
        <v>58</v>
      </c>
      <c r="AQ313" s="3" t="s">
        <v>58</v>
      </c>
      <c r="AS313" s="6" t="str">
        <f>HYPERLINK("https://creighton-primo.hosted.exlibrisgroup.com/primo-explore/search?tab=default_tab&amp;search_scope=EVERYTHING&amp;vid=01CRU&amp;lang=en_US&amp;offset=0&amp;query=any,contains,991003010569702656","Catalog Record")</f>
        <v>Catalog Record</v>
      </c>
      <c r="AT313" s="6" t="str">
        <f>HYPERLINK("http://www.worldcat.org/oclc/40859158","WorldCat Record")</f>
        <v>WorldCat Record</v>
      </c>
      <c r="AU313" s="3" t="s">
        <v>4163</v>
      </c>
      <c r="AV313" s="3" t="s">
        <v>4164</v>
      </c>
      <c r="AW313" s="3" t="s">
        <v>4165</v>
      </c>
      <c r="AX313" s="3" t="s">
        <v>4165</v>
      </c>
      <c r="AY313" s="3" t="s">
        <v>4166</v>
      </c>
      <c r="AZ313" s="3" t="s">
        <v>74</v>
      </c>
      <c r="BB313" s="3" t="s">
        <v>4167</v>
      </c>
      <c r="BC313" s="3" t="s">
        <v>4168</v>
      </c>
      <c r="BD313" s="3" t="s">
        <v>4169</v>
      </c>
    </row>
    <row r="314" spans="1:56" ht="57.75" customHeight="1" x14ac:dyDescent="0.25">
      <c r="A314" s="7" t="s">
        <v>58</v>
      </c>
      <c r="B314" s="2" t="s">
        <v>4170</v>
      </c>
      <c r="C314" s="2" t="s">
        <v>4171</v>
      </c>
      <c r="D314" s="2" t="s">
        <v>4172</v>
      </c>
      <c r="F314" s="3" t="s">
        <v>58</v>
      </c>
      <c r="G314" s="3" t="s">
        <v>59</v>
      </c>
      <c r="H314" s="3" t="s">
        <v>58</v>
      </c>
      <c r="I314" s="3" t="s">
        <v>58</v>
      </c>
      <c r="J314" s="3" t="s">
        <v>60</v>
      </c>
      <c r="L314" s="2" t="s">
        <v>4173</v>
      </c>
      <c r="M314" s="3" t="s">
        <v>636</v>
      </c>
      <c r="O314" s="3" t="s">
        <v>64</v>
      </c>
      <c r="P314" s="3" t="s">
        <v>4174</v>
      </c>
      <c r="R314" s="3" t="s">
        <v>3084</v>
      </c>
      <c r="S314" s="4">
        <v>2</v>
      </c>
      <c r="T314" s="4">
        <v>2</v>
      </c>
      <c r="U314" s="5" t="s">
        <v>4175</v>
      </c>
      <c r="V314" s="5" t="s">
        <v>4175</v>
      </c>
      <c r="W314" s="5" t="s">
        <v>4176</v>
      </c>
      <c r="X314" s="5" t="s">
        <v>4176</v>
      </c>
      <c r="Y314" s="4">
        <v>300</v>
      </c>
      <c r="Z314" s="4">
        <v>239</v>
      </c>
      <c r="AA314" s="4">
        <v>934</v>
      </c>
      <c r="AB314" s="4">
        <v>2</v>
      </c>
      <c r="AC314" s="4">
        <v>34</v>
      </c>
      <c r="AD314" s="4">
        <v>9</v>
      </c>
      <c r="AE314" s="4">
        <v>35</v>
      </c>
      <c r="AF314" s="4">
        <v>1</v>
      </c>
      <c r="AG314" s="4">
        <v>10</v>
      </c>
      <c r="AH314" s="4">
        <v>5</v>
      </c>
      <c r="AI314" s="4">
        <v>7</v>
      </c>
      <c r="AJ314" s="4">
        <v>4</v>
      </c>
      <c r="AK314" s="4">
        <v>8</v>
      </c>
      <c r="AL314" s="4">
        <v>1</v>
      </c>
      <c r="AM314" s="4">
        <v>15</v>
      </c>
      <c r="AN314" s="4">
        <v>0</v>
      </c>
      <c r="AO314" s="4">
        <v>0</v>
      </c>
      <c r="AP314" s="3" t="s">
        <v>58</v>
      </c>
      <c r="AQ314" s="3" t="s">
        <v>58</v>
      </c>
      <c r="AS314" s="6" t="str">
        <f>HYPERLINK("https://creighton-primo.hosted.exlibrisgroup.com/primo-explore/search?tab=default_tab&amp;search_scope=EVERYTHING&amp;vid=01CRU&amp;lang=en_US&amp;offset=0&amp;query=any,contains,991003741579702656","Catalog Record")</f>
        <v>Catalog Record</v>
      </c>
      <c r="AT314" s="6" t="str">
        <f>HYPERLINK("http://www.worldcat.org/oclc/48788252","WorldCat Record")</f>
        <v>WorldCat Record</v>
      </c>
      <c r="AU314" s="3" t="s">
        <v>4177</v>
      </c>
      <c r="AV314" s="3" t="s">
        <v>4178</v>
      </c>
      <c r="AW314" s="3" t="s">
        <v>4179</v>
      </c>
      <c r="AX314" s="3" t="s">
        <v>4179</v>
      </c>
      <c r="AY314" s="3" t="s">
        <v>4180</v>
      </c>
      <c r="AZ314" s="3" t="s">
        <v>74</v>
      </c>
      <c r="BB314" s="3" t="s">
        <v>4181</v>
      </c>
      <c r="BC314" s="3" t="s">
        <v>4182</v>
      </c>
      <c r="BD314" s="3" t="s">
        <v>4183</v>
      </c>
    </row>
    <row r="315" spans="1:56" ht="57.75" customHeight="1" x14ac:dyDescent="0.25">
      <c r="A315" s="7" t="s">
        <v>58</v>
      </c>
      <c r="B315" s="2" t="s">
        <v>4184</v>
      </c>
      <c r="C315" s="2" t="s">
        <v>4185</v>
      </c>
      <c r="D315" s="2" t="s">
        <v>4186</v>
      </c>
      <c r="F315" s="3" t="s">
        <v>58</v>
      </c>
      <c r="G315" s="3" t="s">
        <v>59</v>
      </c>
      <c r="H315" s="3" t="s">
        <v>58</v>
      </c>
      <c r="I315" s="3" t="s">
        <v>58</v>
      </c>
      <c r="J315" s="3" t="s">
        <v>60</v>
      </c>
      <c r="L315" s="2" t="s">
        <v>4187</v>
      </c>
      <c r="M315" s="3" t="s">
        <v>2578</v>
      </c>
      <c r="O315" s="3" t="s">
        <v>64</v>
      </c>
      <c r="P315" s="3" t="s">
        <v>4188</v>
      </c>
      <c r="R315" s="3" t="s">
        <v>3084</v>
      </c>
      <c r="S315" s="4">
        <v>3</v>
      </c>
      <c r="T315" s="4">
        <v>3</v>
      </c>
      <c r="U315" s="5" t="s">
        <v>4189</v>
      </c>
      <c r="V315" s="5" t="s">
        <v>4189</v>
      </c>
      <c r="W315" s="5" t="s">
        <v>4190</v>
      </c>
      <c r="X315" s="5" t="s">
        <v>4190</v>
      </c>
      <c r="Y315" s="4">
        <v>239</v>
      </c>
      <c r="Z315" s="4">
        <v>199</v>
      </c>
      <c r="AA315" s="4">
        <v>220</v>
      </c>
      <c r="AB315" s="4">
        <v>2</v>
      </c>
      <c r="AC315" s="4">
        <v>2</v>
      </c>
      <c r="AD315" s="4">
        <v>8</v>
      </c>
      <c r="AE315" s="4">
        <v>9</v>
      </c>
      <c r="AF315" s="4">
        <v>3</v>
      </c>
      <c r="AG315" s="4">
        <v>3</v>
      </c>
      <c r="AH315" s="4">
        <v>2</v>
      </c>
      <c r="AI315" s="4">
        <v>3</v>
      </c>
      <c r="AJ315" s="4">
        <v>3</v>
      </c>
      <c r="AK315" s="4">
        <v>4</v>
      </c>
      <c r="AL315" s="4">
        <v>1</v>
      </c>
      <c r="AM315" s="4">
        <v>1</v>
      </c>
      <c r="AN315" s="4">
        <v>0</v>
      </c>
      <c r="AO315" s="4">
        <v>0</v>
      </c>
      <c r="AP315" s="3" t="s">
        <v>58</v>
      </c>
      <c r="AQ315" s="3" t="s">
        <v>58</v>
      </c>
      <c r="AS315" s="6" t="str">
        <f>HYPERLINK("https://creighton-primo.hosted.exlibrisgroup.com/primo-explore/search?tab=default_tab&amp;search_scope=EVERYTHING&amp;vid=01CRU&amp;lang=en_US&amp;offset=0&amp;query=any,contains,991002320039702656","Catalog Record")</f>
        <v>Catalog Record</v>
      </c>
      <c r="AT315" s="6" t="str">
        <f>HYPERLINK("http://www.worldcat.org/oclc/30094911","WorldCat Record")</f>
        <v>WorldCat Record</v>
      </c>
      <c r="AU315" s="3" t="s">
        <v>4191</v>
      </c>
      <c r="AV315" s="3" t="s">
        <v>4192</v>
      </c>
      <c r="AW315" s="3" t="s">
        <v>4193</v>
      </c>
      <c r="AX315" s="3" t="s">
        <v>4193</v>
      </c>
      <c r="AY315" s="3" t="s">
        <v>4194</v>
      </c>
      <c r="AZ315" s="3" t="s">
        <v>74</v>
      </c>
      <c r="BC315" s="3" t="s">
        <v>4195</v>
      </c>
      <c r="BD315" s="3" t="s">
        <v>4196</v>
      </c>
    </row>
    <row r="316" spans="1:56" ht="57.75" customHeight="1" x14ac:dyDescent="0.25">
      <c r="A316" s="7" t="s">
        <v>58</v>
      </c>
      <c r="B316" s="2" t="s">
        <v>4197</v>
      </c>
      <c r="C316" s="2" t="s">
        <v>4198</v>
      </c>
      <c r="D316" s="2" t="s">
        <v>4199</v>
      </c>
      <c r="F316" s="3" t="s">
        <v>58</v>
      </c>
      <c r="G316" s="3" t="s">
        <v>59</v>
      </c>
      <c r="H316" s="3" t="s">
        <v>58</v>
      </c>
      <c r="I316" s="3" t="s">
        <v>58</v>
      </c>
      <c r="J316" s="3" t="s">
        <v>60</v>
      </c>
      <c r="K316" s="2" t="s">
        <v>4200</v>
      </c>
      <c r="L316" s="2" t="s">
        <v>4201</v>
      </c>
      <c r="M316" s="3" t="s">
        <v>3020</v>
      </c>
      <c r="O316" s="3" t="s">
        <v>64</v>
      </c>
      <c r="P316" s="3" t="s">
        <v>234</v>
      </c>
      <c r="R316" s="3" t="s">
        <v>3084</v>
      </c>
      <c r="S316" s="4">
        <v>3</v>
      </c>
      <c r="T316" s="4">
        <v>3</v>
      </c>
      <c r="U316" s="5" t="s">
        <v>371</v>
      </c>
      <c r="V316" s="5" t="s">
        <v>371</v>
      </c>
      <c r="W316" s="5" t="s">
        <v>1858</v>
      </c>
      <c r="X316" s="5" t="s">
        <v>1858</v>
      </c>
      <c r="Y316" s="4">
        <v>789</v>
      </c>
      <c r="Z316" s="4">
        <v>670</v>
      </c>
      <c r="AA316" s="4">
        <v>671</v>
      </c>
      <c r="AB316" s="4">
        <v>2</v>
      </c>
      <c r="AC316" s="4">
        <v>2</v>
      </c>
      <c r="AD316" s="4">
        <v>20</v>
      </c>
      <c r="AE316" s="4">
        <v>20</v>
      </c>
      <c r="AF316" s="4">
        <v>8</v>
      </c>
      <c r="AG316" s="4">
        <v>8</v>
      </c>
      <c r="AH316" s="4">
        <v>5</v>
      </c>
      <c r="AI316" s="4">
        <v>5</v>
      </c>
      <c r="AJ316" s="4">
        <v>13</v>
      </c>
      <c r="AK316" s="4">
        <v>13</v>
      </c>
      <c r="AL316" s="4">
        <v>1</v>
      </c>
      <c r="AM316" s="4">
        <v>1</v>
      </c>
      <c r="AN316" s="4">
        <v>0</v>
      </c>
      <c r="AO316" s="4">
        <v>0</v>
      </c>
      <c r="AP316" s="3" t="s">
        <v>58</v>
      </c>
      <c r="AQ316" s="3" t="s">
        <v>69</v>
      </c>
      <c r="AR316" s="6" t="str">
        <f>HYPERLINK("http://catalog.hathitrust.org/Record/000016107","HathiTrust Record")</f>
        <v>HathiTrust Record</v>
      </c>
      <c r="AS316" s="6" t="str">
        <f>HYPERLINK("https://creighton-primo.hosted.exlibrisgroup.com/primo-explore/search?tab=default_tab&amp;search_scope=EVERYTHING&amp;vid=01CRU&amp;lang=en_US&amp;offset=0&amp;query=any,contains,991003450419702656","Catalog Record")</f>
        <v>Catalog Record</v>
      </c>
      <c r="AT316" s="6" t="str">
        <f>HYPERLINK("http://www.worldcat.org/oclc/987916","WorldCat Record")</f>
        <v>WorldCat Record</v>
      </c>
      <c r="AU316" s="3" t="s">
        <v>4202</v>
      </c>
      <c r="AV316" s="3" t="s">
        <v>4203</v>
      </c>
      <c r="AW316" s="3" t="s">
        <v>4204</v>
      </c>
      <c r="AX316" s="3" t="s">
        <v>4204</v>
      </c>
      <c r="AY316" s="3" t="s">
        <v>4205</v>
      </c>
      <c r="AZ316" s="3" t="s">
        <v>74</v>
      </c>
      <c r="BB316" s="3" t="s">
        <v>4206</v>
      </c>
      <c r="BC316" s="3" t="s">
        <v>4207</v>
      </c>
      <c r="BD316" s="3" t="s">
        <v>4208</v>
      </c>
    </row>
    <row r="317" spans="1:56" ht="57.75" customHeight="1" x14ac:dyDescent="0.25">
      <c r="A317" s="7" t="s">
        <v>58</v>
      </c>
      <c r="B317" s="2" t="s">
        <v>4209</v>
      </c>
      <c r="C317" s="2" t="s">
        <v>4210</v>
      </c>
      <c r="D317" s="2" t="s">
        <v>4211</v>
      </c>
      <c r="F317" s="3" t="s">
        <v>58</v>
      </c>
      <c r="G317" s="3" t="s">
        <v>59</v>
      </c>
      <c r="H317" s="3" t="s">
        <v>58</v>
      </c>
      <c r="I317" s="3" t="s">
        <v>58</v>
      </c>
      <c r="J317" s="3" t="s">
        <v>60</v>
      </c>
      <c r="K317" s="2" t="s">
        <v>4212</v>
      </c>
      <c r="L317" s="2" t="s">
        <v>4213</v>
      </c>
      <c r="M317" s="3" t="s">
        <v>1886</v>
      </c>
      <c r="O317" s="3" t="s">
        <v>64</v>
      </c>
      <c r="P317" s="3" t="s">
        <v>278</v>
      </c>
      <c r="Q317" s="2" t="s">
        <v>4214</v>
      </c>
      <c r="R317" s="3" t="s">
        <v>3084</v>
      </c>
      <c r="S317" s="4">
        <v>2</v>
      </c>
      <c r="T317" s="4">
        <v>2</v>
      </c>
      <c r="U317" s="5" t="s">
        <v>4215</v>
      </c>
      <c r="V317" s="5" t="s">
        <v>4215</v>
      </c>
      <c r="W317" s="5" t="s">
        <v>4216</v>
      </c>
      <c r="X317" s="5" t="s">
        <v>4216</v>
      </c>
      <c r="Y317" s="4">
        <v>531</v>
      </c>
      <c r="Z317" s="4">
        <v>442</v>
      </c>
      <c r="AA317" s="4">
        <v>443</v>
      </c>
      <c r="AB317" s="4">
        <v>3</v>
      </c>
      <c r="AC317" s="4">
        <v>3</v>
      </c>
      <c r="AD317" s="4">
        <v>13</v>
      </c>
      <c r="AE317" s="4">
        <v>13</v>
      </c>
      <c r="AF317" s="4">
        <v>1</v>
      </c>
      <c r="AG317" s="4">
        <v>1</v>
      </c>
      <c r="AH317" s="4">
        <v>4</v>
      </c>
      <c r="AI317" s="4">
        <v>4</v>
      </c>
      <c r="AJ317" s="4">
        <v>7</v>
      </c>
      <c r="AK317" s="4">
        <v>7</v>
      </c>
      <c r="AL317" s="4">
        <v>2</v>
      </c>
      <c r="AM317" s="4">
        <v>2</v>
      </c>
      <c r="AN317" s="4">
        <v>0</v>
      </c>
      <c r="AO317" s="4">
        <v>0</v>
      </c>
      <c r="AP317" s="3" t="s">
        <v>58</v>
      </c>
      <c r="AQ317" s="3" t="s">
        <v>58</v>
      </c>
      <c r="AS317" s="6" t="str">
        <f>HYPERLINK("https://creighton-primo.hosted.exlibrisgroup.com/primo-explore/search?tab=default_tab&amp;search_scope=EVERYTHING&amp;vid=01CRU&amp;lang=en_US&amp;offset=0&amp;query=any,contains,991000677169702656","Catalog Record")</f>
        <v>Catalog Record</v>
      </c>
      <c r="AT317" s="6" t="str">
        <f>HYPERLINK("http://www.worldcat.org/oclc/12369976","WorldCat Record")</f>
        <v>WorldCat Record</v>
      </c>
      <c r="AU317" s="3" t="s">
        <v>4217</v>
      </c>
      <c r="AV317" s="3" t="s">
        <v>4218</v>
      </c>
      <c r="AW317" s="3" t="s">
        <v>4219</v>
      </c>
      <c r="AX317" s="3" t="s">
        <v>4219</v>
      </c>
      <c r="AY317" s="3" t="s">
        <v>4220</v>
      </c>
      <c r="AZ317" s="3" t="s">
        <v>74</v>
      </c>
      <c r="BB317" s="3" t="s">
        <v>4221</v>
      </c>
      <c r="BC317" s="3" t="s">
        <v>4222</v>
      </c>
      <c r="BD317" s="3" t="s">
        <v>4223</v>
      </c>
    </row>
    <row r="318" spans="1:56" ht="57.75" customHeight="1" x14ac:dyDescent="0.25">
      <c r="A318" s="7" t="s">
        <v>58</v>
      </c>
      <c r="B318" s="2" t="s">
        <v>4224</v>
      </c>
      <c r="C318" s="2" t="s">
        <v>4225</v>
      </c>
      <c r="D318" s="2" t="s">
        <v>4226</v>
      </c>
      <c r="F318" s="3" t="s">
        <v>58</v>
      </c>
      <c r="G318" s="3" t="s">
        <v>59</v>
      </c>
      <c r="H318" s="3" t="s">
        <v>58</v>
      </c>
      <c r="I318" s="3" t="s">
        <v>58</v>
      </c>
      <c r="J318" s="3" t="s">
        <v>60</v>
      </c>
      <c r="K318" s="2" t="s">
        <v>4227</v>
      </c>
      <c r="L318" s="2" t="s">
        <v>4228</v>
      </c>
      <c r="M318" s="3" t="s">
        <v>621</v>
      </c>
      <c r="O318" s="3" t="s">
        <v>64</v>
      </c>
      <c r="P318" s="3" t="s">
        <v>412</v>
      </c>
      <c r="Q318" s="2" t="s">
        <v>4229</v>
      </c>
      <c r="R318" s="3" t="s">
        <v>3084</v>
      </c>
      <c r="S318" s="4">
        <v>15</v>
      </c>
      <c r="T318" s="4">
        <v>15</v>
      </c>
      <c r="U318" s="5" t="s">
        <v>4230</v>
      </c>
      <c r="V318" s="5" t="s">
        <v>4230</v>
      </c>
      <c r="W318" s="5" t="s">
        <v>4231</v>
      </c>
      <c r="X318" s="5" t="s">
        <v>4231</v>
      </c>
      <c r="Y318" s="4">
        <v>902</v>
      </c>
      <c r="Z318" s="4">
        <v>672</v>
      </c>
      <c r="AA318" s="4">
        <v>717</v>
      </c>
      <c r="AB318" s="4">
        <v>5</v>
      </c>
      <c r="AC318" s="4">
        <v>5</v>
      </c>
      <c r="AD318" s="4">
        <v>28</v>
      </c>
      <c r="AE318" s="4">
        <v>28</v>
      </c>
      <c r="AF318" s="4">
        <v>13</v>
      </c>
      <c r="AG318" s="4">
        <v>13</v>
      </c>
      <c r="AH318" s="4">
        <v>7</v>
      </c>
      <c r="AI318" s="4">
        <v>7</v>
      </c>
      <c r="AJ318" s="4">
        <v>12</v>
      </c>
      <c r="AK318" s="4">
        <v>12</v>
      </c>
      <c r="AL318" s="4">
        <v>4</v>
      </c>
      <c r="AM318" s="4">
        <v>4</v>
      </c>
      <c r="AN318" s="4">
        <v>0</v>
      </c>
      <c r="AO318" s="4">
        <v>0</v>
      </c>
      <c r="AP318" s="3" t="s">
        <v>58</v>
      </c>
      <c r="AQ318" s="3" t="s">
        <v>69</v>
      </c>
      <c r="AR318" s="6" t="str">
        <f>HYPERLINK("http://catalog.hathitrust.org/Record/001472956","HathiTrust Record")</f>
        <v>HathiTrust Record</v>
      </c>
      <c r="AS318" s="6" t="str">
        <f>HYPERLINK("https://creighton-primo.hosted.exlibrisgroup.com/primo-explore/search?tab=default_tab&amp;search_scope=EVERYTHING&amp;vid=01CRU&amp;lang=en_US&amp;offset=0&amp;query=any,contains,991002667049702656","Catalog Record")</f>
        <v>Catalog Record</v>
      </c>
      <c r="AT318" s="6" t="str">
        <f>HYPERLINK("http://www.worldcat.org/oclc/393776","WorldCat Record")</f>
        <v>WorldCat Record</v>
      </c>
      <c r="AU318" s="3" t="s">
        <v>4232</v>
      </c>
      <c r="AV318" s="3" t="s">
        <v>4233</v>
      </c>
      <c r="AW318" s="3" t="s">
        <v>4234</v>
      </c>
      <c r="AX318" s="3" t="s">
        <v>4234</v>
      </c>
      <c r="AY318" s="3" t="s">
        <v>4235</v>
      </c>
      <c r="AZ318" s="3" t="s">
        <v>74</v>
      </c>
      <c r="BB318" s="3" t="s">
        <v>4236</v>
      </c>
      <c r="BC318" s="3" t="s">
        <v>4237</v>
      </c>
      <c r="BD318" s="3" t="s">
        <v>4238</v>
      </c>
    </row>
    <row r="319" spans="1:56" ht="57.75" customHeight="1" x14ac:dyDescent="0.25">
      <c r="A319" s="7" t="s">
        <v>58</v>
      </c>
      <c r="B319" s="2" t="s">
        <v>4239</v>
      </c>
      <c r="C319" s="2" t="s">
        <v>4240</v>
      </c>
      <c r="D319" s="2" t="s">
        <v>4241</v>
      </c>
      <c r="F319" s="3" t="s">
        <v>58</v>
      </c>
      <c r="G319" s="3" t="s">
        <v>59</v>
      </c>
      <c r="H319" s="3" t="s">
        <v>58</v>
      </c>
      <c r="I319" s="3" t="s">
        <v>58</v>
      </c>
      <c r="J319" s="3" t="s">
        <v>60</v>
      </c>
      <c r="L319" s="2" t="s">
        <v>4242</v>
      </c>
      <c r="M319" s="3" t="s">
        <v>1120</v>
      </c>
      <c r="O319" s="3" t="s">
        <v>64</v>
      </c>
      <c r="P319" s="3" t="s">
        <v>1759</v>
      </c>
      <c r="Q319" s="2" t="s">
        <v>4243</v>
      </c>
      <c r="R319" s="3" t="s">
        <v>3084</v>
      </c>
      <c r="S319" s="4">
        <v>5</v>
      </c>
      <c r="T319" s="4">
        <v>5</v>
      </c>
      <c r="U319" s="5" t="s">
        <v>4244</v>
      </c>
      <c r="V319" s="5" t="s">
        <v>4244</v>
      </c>
      <c r="W319" s="5" t="s">
        <v>4245</v>
      </c>
      <c r="X319" s="5" t="s">
        <v>4245</v>
      </c>
      <c r="Y319" s="4">
        <v>510</v>
      </c>
      <c r="Z319" s="4">
        <v>402</v>
      </c>
      <c r="AA319" s="4">
        <v>413</v>
      </c>
      <c r="AB319" s="4">
        <v>4</v>
      </c>
      <c r="AC319" s="4">
        <v>4</v>
      </c>
      <c r="AD319" s="4">
        <v>10</v>
      </c>
      <c r="AE319" s="4">
        <v>10</v>
      </c>
      <c r="AF319" s="4">
        <v>3</v>
      </c>
      <c r="AG319" s="4">
        <v>3</v>
      </c>
      <c r="AH319" s="4">
        <v>2</v>
      </c>
      <c r="AI319" s="4">
        <v>2</v>
      </c>
      <c r="AJ319" s="4">
        <v>5</v>
      </c>
      <c r="AK319" s="4">
        <v>5</v>
      </c>
      <c r="AL319" s="4">
        <v>2</v>
      </c>
      <c r="AM319" s="4">
        <v>2</v>
      </c>
      <c r="AN319" s="4">
        <v>0</v>
      </c>
      <c r="AO319" s="4">
        <v>0</v>
      </c>
      <c r="AP319" s="3" t="s">
        <v>58</v>
      </c>
      <c r="AQ319" s="3" t="s">
        <v>69</v>
      </c>
      <c r="AR319" s="6" t="str">
        <f>HYPERLINK("http://catalog.hathitrust.org/Record/000350820","HathiTrust Record")</f>
        <v>HathiTrust Record</v>
      </c>
      <c r="AS319" s="6" t="str">
        <f>HYPERLINK("https://creighton-primo.hosted.exlibrisgroup.com/primo-explore/search?tab=default_tab&amp;search_scope=EVERYTHING&amp;vid=01CRU&amp;lang=en_US&amp;offset=0&amp;query=any,contains,991000558789702656","Catalog Record")</f>
        <v>Catalog Record</v>
      </c>
      <c r="AT319" s="6" t="str">
        <f>HYPERLINK("http://www.worldcat.org/oclc/11574075","WorldCat Record")</f>
        <v>WorldCat Record</v>
      </c>
      <c r="AU319" s="3" t="s">
        <v>4246</v>
      </c>
      <c r="AV319" s="3" t="s">
        <v>4247</v>
      </c>
      <c r="AW319" s="3" t="s">
        <v>4248</v>
      </c>
      <c r="AX319" s="3" t="s">
        <v>4248</v>
      </c>
      <c r="AY319" s="3" t="s">
        <v>4249</v>
      </c>
      <c r="AZ319" s="3" t="s">
        <v>74</v>
      </c>
      <c r="BB319" s="3" t="s">
        <v>4250</v>
      </c>
      <c r="BC319" s="3" t="s">
        <v>4251</v>
      </c>
      <c r="BD319" s="3" t="s">
        <v>4252</v>
      </c>
    </row>
    <row r="320" spans="1:56" ht="57.75" customHeight="1" x14ac:dyDescent="0.25">
      <c r="A320" s="7" t="s">
        <v>58</v>
      </c>
      <c r="B320" s="2" t="s">
        <v>4253</v>
      </c>
      <c r="C320" s="2" t="s">
        <v>4254</v>
      </c>
      <c r="D320" s="2" t="s">
        <v>4255</v>
      </c>
      <c r="F320" s="3" t="s">
        <v>58</v>
      </c>
      <c r="G320" s="3" t="s">
        <v>59</v>
      </c>
      <c r="H320" s="3" t="s">
        <v>58</v>
      </c>
      <c r="I320" s="3" t="s">
        <v>58</v>
      </c>
      <c r="J320" s="3" t="s">
        <v>60</v>
      </c>
      <c r="K320" s="2" t="s">
        <v>4256</v>
      </c>
      <c r="L320" s="2" t="s">
        <v>4257</v>
      </c>
      <c r="M320" s="3" t="s">
        <v>678</v>
      </c>
      <c r="O320" s="3" t="s">
        <v>64</v>
      </c>
      <c r="P320" s="3" t="s">
        <v>453</v>
      </c>
      <c r="Q320" s="2" t="s">
        <v>4258</v>
      </c>
      <c r="R320" s="3" t="s">
        <v>3084</v>
      </c>
      <c r="S320" s="4">
        <v>10</v>
      </c>
      <c r="T320" s="4">
        <v>10</v>
      </c>
      <c r="U320" s="5" t="s">
        <v>4259</v>
      </c>
      <c r="V320" s="5" t="s">
        <v>4259</v>
      </c>
      <c r="W320" s="5" t="s">
        <v>2697</v>
      </c>
      <c r="X320" s="5" t="s">
        <v>2697</v>
      </c>
      <c r="Y320" s="4">
        <v>617</v>
      </c>
      <c r="Z320" s="4">
        <v>511</v>
      </c>
      <c r="AA320" s="4">
        <v>517</v>
      </c>
      <c r="AB320" s="4">
        <v>3</v>
      </c>
      <c r="AC320" s="4">
        <v>3</v>
      </c>
      <c r="AD320" s="4">
        <v>21</v>
      </c>
      <c r="AE320" s="4">
        <v>21</v>
      </c>
      <c r="AF320" s="4">
        <v>8</v>
      </c>
      <c r="AG320" s="4">
        <v>8</v>
      </c>
      <c r="AH320" s="4">
        <v>4</v>
      </c>
      <c r="AI320" s="4">
        <v>4</v>
      </c>
      <c r="AJ320" s="4">
        <v>14</v>
      </c>
      <c r="AK320" s="4">
        <v>14</v>
      </c>
      <c r="AL320" s="4">
        <v>2</v>
      </c>
      <c r="AM320" s="4">
        <v>2</v>
      </c>
      <c r="AN320" s="4">
        <v>0</v>
      </c>
      <c r="AO320" s="4">
        <v>0</v>
      </c>
      <c r="AP320" s="3" t="s">
        <v>58</v>
      </c>
      <c r="AQ320" s="3" t="s">
        <v>69</v>
      </c>
      <c r="AR320" s="6" t="str">
        <f>HYPERLINK("http://catalog.hathitrust.org/Record/000280292","HathiTrust Record")</f>
        <v>HathiTrust Record</v>
      </c>
      <c r="AS320" s="6" t="str">
        <f>HYPERLINK("https://creighton-primo.hosted.exlibrisgroup.com/primo-explore/search?tab=default_tab&amp;search_scope=EVERYTHING&amp;vid=01CRU&amp;lang=en_US&amp;offset=0&amp;query=any,contains,991000250579702656","Catalog Record")</f>
        <v>Catalog Record</v>
      </c>
      <c r="AT320" s="6" t="str">
        <f>HYPERLINK("http://www.worldcat.org/oclc/9756738","WorldCat Record")</f>
        <v>WorldCat Record</v>
      </c>
      <c r="AU320" s="3" t="s">
        <v>4260</v>
      </c>
      <c r="AV320" s="3" t="s">
        <v>4261</v>
      </c>
      <c r="AW320" s="3" t="s">
        <v>4262</v>
      </c>
      <c r="AX320" s="3" t="s">
        <v>4262</v>
      </c>
      <c r="AY320" s="3" t="s">
        <v>4263</v>
      </c>
      <c r="AZ320" s="3" t="s">
        <v>74</v>
      </c>
      <c r="BB320" s="3" t="s">
        <v>4264</v>
      </c>
      <c r="BC320" s="3" t="s">
        <v>4265</v>
      </c>
      <c r="BD320" s="3" t="s">
        <v>4266</v>
      </c>
    </row>
    <row r="321" spans="1:56" ht="57.75" customHeight="1" x14ac:dyDescent="0.25">
      <c r="A321" s="7" t="s">
        <v>58</v>
      </c>
      <c r="B321" s="2" t="s">
        <v>4267</v>
      </c>
      <c r="C321" s="2" t="s">
        <v>4268</v>
      </c>
      <c r="D321" s="2" t="s">
        <v>4269</v>
      </c>
      <c r="F321" s="3" t="s">
        <v>58</v>
      </c>
      <c r="G321" s="3" t="s">
        <v>59</v>
      </c>
      <c r="H321" s="3" t="s">
        <v>58</v>
      </c>
      <c r="I321" s="3" t="s">
        <v>58</v>
      </c>
      <c r="J321" s="3" t="s">
        <v>60</v>
      </c>
      <c r="K321" s="2" t="s">
        <v>4270</v>
      </c>
      <c r="L321" s="2" t="s">
        <v>4271</v>
      </c>
      <c r="M321" s="3" t="s">
        <v>847</v>
      </c>
      <c r="O321" s="3" t="s">
        <v>64</v>
      </c>
      <c r="P321" s="3" t="s">
        <v>4272</v>
      </c>
      <c r="R321" s="3" t="s">
        <v>3084</v>
      </c>
      <c r="S321" s="4">
        <v>8</v>
      </c>
      <c r="T321" s="4">
        <v>8</v>
      </c>
      <c r="U321" s="5" t="s">
        <v>4273</v>
      </c>
      <c r="V321" s="5" t="s">
        <v>4273</v>
      </c>
      <c r="W321" s="5" t="s">
        <v>4274</v>
      </c>
      <c r="X321" s="5" t="s">
        <v>4274</v>
      </c>
      <c r="Y321" s="4">
        <v>425</v>
      </c>
      <c r="Z321" s="4">
        <v>338</v>
      </c>
      <c r="AA321" s="4">
        <v>342</v>
      </c>
      <c r="AB321" s="4">
        <v>4</v>
      </c>
      <c r="AC321" s="4">
        <v>4</v>
      </c>
      <c r="AD321" s="4">
        <v>15</v>
      </c>
      <c r="AE321" s="4">
        <v>15</v>
      </c>
      <c r="AF321" s="4">
        <v>5</v>
      </c>
      <c r="AG321" s="4">
        <v>5</v>
      </c>
      <c r="AH321" s="4">
        <v>6</v>
      </c>
      <c r="AI321" s="4">
        <v>6</v>
      </c>
      <c r="AJ321" s="4">
        <v>6</v>
      </c>
      <c r="AK321" s="4">
        <v>6</v>
      </c>
      <c r="AL321" s="4">
        <v>2</v>
      </c>
      <c r="AM321" s="4">
        <v>2</v>
      </c>
      <c r="AN321" s="4">
        <v>0</v>
      </c>
      <c r="AO321" s="4">
        <v>0</v>
      </c>
      <c r="AP321" s="3" t="s">
        <v>58</v>
      </c>
      <c r="AQ321" s="3" t="s">
        <v>69</v>
      </c>
      <c r="AR321" s="6" t="str">
        <f>HYPERLINK("http://catalog.hathitrust.org/Record/000196483","HathiTrust Record")</f>
        <v>HathiTrust Record</v>
      </c>
      <c r="AS321" s="6" t="str">
        <f>HYPERLINK("https://creighton-primo.hosted.exlibrisgroup.com/primo-explore/search?tab=default_tab&amp;search_scope=EVERYTHING&amp;vid=01CRU&amp;lang=en_US&amp;offset=0&amp;query=any,contains,991000066429702656","Catalog Record")</f>
        <v>Catalog Record</v>
      </c>
      <c r="AT321" s="6" t="str">
        <f>HYPERLINK("http://www.worldcat.org/oclc/8763854","WorldCat Record")</f>
        <v>WorldCat Record</v>
      </c>
      <c r="AU321" s="3" t="s">
        <v>4275</v>
      </c>
      <c r="AV321" s="3" t="s">
        <v>4276</v>
      </c>
      <c r="AW321" s="3" t="s">
        <v>4277</v>
      </c>
      <c r="AX321" s="3" t="s">
        <v>4277</v>
      </c>
      <c r="AY321" s="3" t="s">
        <v>4278</v>
      </c>
      <c r="AZ321" s="3" t="s">
        <v>74</v>
      </c>
      <c r="BB321" s="3" t="s">
        <v>4279</v>
      </c>
      <c r="BC321" s="3" t="s">
        <v>4280</v>
      </c>
      <c r="BD321" s="3" t="s">
        <v>4281</v>
      </c>
    </row>
    <row r="322" spans="1:56" ht="57.75" customHeight="1" x14ac:dyDescent="0.25">
      <c r="A322" s="7" t="s">
        <v>58</v>
      </c>
      <c r="B322" s="2" t="s">
        <v>4282</v>
      </c>
      <c r="C322" s="2" t="s">
        <v>4283</v>
      </c>
      <c r="D322" s="2" t="s">
        <v>4284</v>
      </c>
      <c r="F322" s="3" t="s">
        <v>58</v>
      </c>
      <c r="G322" s="3" t="s">
        <v>59</v>
      </c>
      <c r="H322" s="3" t="s">
        <v>58</v>
      </c>
      <c r="I322" s="3" t="s">
        <v>58</v>
      </c>
      <c r="J322" s="3" t="s">
        <v>60</v>
      </c>
      <c r="K322" s="2" t="s">
        <v>4285</v>
      </c>
      <c r="L322" s="2" t="s">
        <v>4286</v>
      </c>
      <c r="M322" s="3" t="s">
        <v>564</v>
      </c>
      <c r="O322" s="3" t="s">
        <v>64</v>
      </c>
      <c r="P322" s="3" t="s">
        <v>540</v>
      </c>
      <c r="Q322" s="2" t="s">
        <v>4287</v>
      </c>
      <c r="R322" s="3" t="s">
        <v>3084</v>
      </c>
      <c r="S322" s="4">
        <v>5</v>
      </c>
      <c r="T322" s="4">
        <v>5</v>
      </c>
      <c r="U322" s="5" t="s">
        <v>4244</v>
      </c>
      <c r="V322" s="5" t="s">
        <v>4244</v>
      </c>
      <c r="W322" s="5" t="s">
        <v>2606</v>
      </c>
      <c r="X322" s="5" t="s">
        <v>2606</v>
      </c>
      <c r="Y322" s="4">
        <v>636</v>
      </c>
      <c r="Z322" s="4">
        <v>533</v>
      </c>
      <c r="AA322" s="4">
        <v>580</v>
      </c>
      <c r="AB322" s="4">
        <v>3</v>
      </c>
      <c r="AC322" s="4">
        <v>3</v>
      </c>
      <c r="AD322" s="4">
        <v>13</v>
      </c>
      <c r="AE322" s="4">
        <v>13</v>
      </c>
      <c r="AF322" s="4">
        <v>3</v>
      </c>
      <c r="AG322" s="4">
        <v>3</v>
      </c>
      <c r="AH322" s="4">
        <v>5</v>
      </c>
      <c r="AI322" s="4">
        <v>5</v>
      </c>
      <c r="AJ322" s="4">
        <v>7</v>
      </c>
      <c r="AK322" s="4">
        <v>7</v>
      </c>
      <c r="AL322" s="4">
        <v>1</v>
      </c>
      <c r="AM322" s="4">
        <v>1</v>
      </c>
      <c r="AN322" s="4">
        <v>0</v>
      </c>
      <c r="AO322" s="4">
        <v>0</v>
      </c>
      <c r="AP322" s="3" t="s">
        <v>58</v>
      </c>
      <c r="AQ322" s="3" t="s">
        <v>69</v>
      </c>
      <c r="AR322" s="6" t="str">
        <f>HYPERLINK("http://catalog.hathitrust.org/Record/001472960","HathiTrust Record")</f>
        <v>HathiTrust Record</v>
      </c>
      <c r="AS322" s="6" t="str">
        <f>HYPERLINK("https://creighton-primo.hosted.exlibrisgroup.com/primo-explore/search?tab=default_tab&amp;search_scope=EVERYTHING&amp;vid=01CRU&amp;lang=en_US&amp;offset=0&amp;query=any,contains,991000798469702656","Catalog Record")</f>
        <v>Catalog Record</v>
      </c>
      <c r="AT322" s="6" t="str">
        <f>HYPERLINK("http://www.worldcat.org/oclc/138044","WorldCat Record")</f>
        <v>WorldCat Record</v>
      </c>
      <c r="AU322" s="3" t="s">
        <v>4288</v>
      </c>
      <c r="AV322" s="3" t="s">
        <v>4289</v>
      </c>
      <c r="AW322" s="3" t="s">
        <v>4290</v>
      </c>
      <c r="AX322" s="3" t="s">
        <v>4290</v>
      </c>
      <c r="AY322" s="3" t="s">
        <v>4291</v>
      </c>
      <c r="AZ322" s="3" t="s">
        <v>74</v>
      </c>
      <c r="BB322" s="3" t="s">
        <v>4292</v>
      </c>
      <c r="BC322" s="3" t="s">
        <v>4293</v>
      </c>
      <c r="BD322" s="3" t="s">
        <v>4294</v>
      </c>
    </row>
    <row r="323" spans="1:56" ht="57.75" customHeight="1" x14ac:dyDescent="0.25">
      <c r="A323" s="7" t="s">
        <v>58</v>
      </c>
      <c r="B323" s="2" t="s">
        <v>4295</v>
      </c>
      <c r="C323" s="2" t="s">
        <v>4296</v>
      </c>
      <c r="D323" s="2" t="s">
        <v>4297</v>
      </c>
      <c r="F323" s="3" t="s">
        <v>58</v>
      </c>
      <c r="G323" s="3" t="s">
        <v>59</v>
      </c>
      <c r="H323" s="3" t="s">
        <v>58</v>
      </c>
      <c r="I323" s="3" t="s">
        <v>58</v>
      </c>
      <c r="J323" s="3" t="s">
        <v>60</v>
      </c>
      <c r="K323" s="2" t="s">
        <v>4298</v>
      </c>
      <c r="L323" s="2" t="s">
        <v>4299</v>
      </c>
      <c r="M323" s="3" t="s">
        <v>138</v>
      </c>
      <c r="O323" s="3" t="s">
        <v>64</v>
      </c>
      <c r="P323" s="3" t="s">
        <v>1759</v>
      </c>
      <c r="Q323" s="2" t="s">
        <v>4300</v>
      </c>
      <c r="R323" s="3" t="s">
        <v>3084</v>
      </c>
      <c r="S323" s="4">
        <v>4</v>
      </c>
      <c r="T323" s="4">
        <v>4</v>
      </c>
      <c r="U323" s="5" t="s">
        <v>4244</v>
      </c>
      <c r="V323" s="5" t="s">
        <v>4244</v>
      </c>
      <c r="W323" s="5" t="s">
        <v>2697</v>
      </c>
      <c r="X323" s="5" t="s">
        <v>2697</v>
      </c>
      <c r="Y323" s="4">
        <v>302</v>
      </c>
      <c r="Z323" s="4">
        <v>214</v>
      </c>
      <c r="AA323" s="4">
        <v>307</v>
      </c>
      <c r="AB323" s="4">
        <v>2</v>
      </c>
      <c r="AC323" s="4">
        <v>2</v>
      </c>
      <c r="AD323" s="4">
        <v>6</v>
      </c>
      <c r="AE323" s="4">
        <v>7</v>
      </c>
      <c r="AF323" s="4">
        <v>2</v>
      </c>
      <c r="AG323" s="4">
        <v>3</v>
      </c>
      <c r="AH323" s="4">
        <v>1</v>
      </c>
      <c r="AI323" s="4">
        <v>1</v>
      </c>
      <c r="AJ323" s="4">
        <v>4</v>
      </c>
      <c r="AK323" s="4">
        <v>4</v>
      </c>
      <c r="AL323" s="4">
        <v>1</v>
      </c>
      <c r="AM323" s="4">
        <v>1</v>
      </c>
      <c r="AN323" s="4">
        <v>0</v>
      </c>
      <c r="AO323" s="4">
        <v>0</v>
      </c>
      <c r="AP323" s="3" t="s">
        <v>58</v>
      </c>
      <c r="AQ323" s="3" t="s">
        <v>58</v>
      </c>
      <c r="AS323" s="6" t="str">
        <f>HYPERLINK("https://creighton-primo.hosted.exlibrisgroup.com/primo-explore/search?tab=default_tab&amp;search_scope=EVERYTHING&amp;vid=01CRU&amp;lang=en_US&amp;offset=0&amp;query=any,contains,991005057389702656","Catalog Record")</f>
        <v>Catalog Record</v>
      </c>
      <c r="AT323" s="6" t="str">
        <f>HYPERLINK("http://www.worldcat.org/oclc/6909046","WorldCat Record")</f>
        <v>WorldCat Record</v>
      </c>
      <c r="AU323" s="3" t="s">
        <v>4301</v>
      </c>
      <c r="AV323" s="3" t="s">
        <v>4302</v>
      </c>
      <c r="AW323" s="3" t="s">
        <v>4303</v>
      </c>
      <c r="AX323" s="3" t="s">
        <v>4303</v>
      </c>
      <c r="AY323" s="3" t="s">
        <v>4304</v>
      </c>
      <c r="AZ323" s="3" t="s">
        <v>74</v>
      </c>
      <c r="BC323" s="3" t="s">
        <v>4305</v>
      </c>
      <c r="BD323" s="3" t="s">
        <v>4306</v>
      </c>
    </row>
    <row r="324" spans="1:56" ht="57.75" customHeight="1" x14ac:dyDescent="0.25">
      <c r="A324" s="7" t="s">
        <v>58</v>
      </c>
      <c r="B324" s="2" t="s">
        <v>4307</v>
      </c>
      <c r="C324" s="2" t="s">
        <v>4308</v>
      </c>
      <c r="D324" s="2" t="s">
        <v>4309</v>
      </c>
      <c r="F324" s="3" t="s">
        <v>58</v>
      </c>
      <c r="G324" s="3" t="s">
        <v>59</v>
      </c>
      <c r="H324" s="3" t="s">
        <v>58</v>
      </c>
      <c r="I324" s="3" t="s">
        <v>58</v>
      </c>
      <c r="J324" s="3" t="s">
        <v>60</v>
      </c>
      <c r="K324" s="2" t="s">
        <v>4310</v>
      </c>
      <c r="L324" s="2" t="s">
        <v>4311</v>
      </c>
      <c r="M324" s="3" t="s">
        <v>1886</v>
      </c>
      <c r="O324" s="3" t="s">
        <v>64</v>
      </c>
      <c r="P324" s="3" t="s">
        <v>1841</v>
      </c>
      <c r="R324" s="3" t="s">
        <v>3084</v>
      </c>
      <c r="S324" s="4">
        <v>5</v>
      </c>
      <c r="T324" s="4">
        <v>5</v>
      </c>
      <c r="U324" s="5" t="s">
        <v>4312</v>
      </c>
      <c r="V324" s="5" t="s">
        <v>4312</v>
      </c>
      <c r="W324" s="5" t="s">
        <v>3317</v>
      </c>
      <c r="X324" s="5" t="s">
        <v>3317</v>
      </c>
      <c r="Y324" s="4">
        <v>703</v>
      </c>
      <c r="Z324" s="4">
        <v>515</v>
      </c>
      <c r="AA324" s="4">
        <v>593</v>
      </c>
      <c r="AB324" s="4">
        <v>3</v>
      </c>
      <c r="AC324" s="4">
        <v>3</v>
      </c>
      <c r="AD324" s="4">
        <v>28</v>
      </c>
      <c r="AE324" s="4">
        <v>31</v>
      </c>
      <c r="AF324" s="4">
        <v>11</v>
      </c>
      <c r="AG324" s="4">
        <v>12</v>
      </c>
      <c r="AH324" s="4">
        <v>9</v>
      </c>
      <c r="AI324" s="4">
        <v>9</v>
      </c>
      <c r="AJ324" s="4">
        <v>16</v>
      </c>
      <c r="AK324" s="4">
        <v>19</v>
      </c>
      <c r="AL324" s="4">
        <v>2</v>
      </c>
      <c r="AM324" s="4">
        <v>2</v>
      </c>
      <c r="AN324" s="4">
        <v>0</v>
      </c>
      <c r="AO324" s="4">
        <v>0</v>
      </c>
      <c r="AP324" s="3" t="s">
        <v>58</v>
      </c>
      <c r="AQ324" s="3" t="s">
        <v>58</v>
      </c>
      <c r="AS324" s="6" t="str">
        <f>HYPERLINK("https://creighton-primo.hosted.exlibrisgroup.com/primo-explore/search?tab=default_tab&amp;search_scope=EVERYTHING&amp;vid=01CRU&amp;lang=en_US&amp;offset=0&amp;query=any,contains,991000799309702656","Catalog Record")</f>
        <v>Catalog Record</v>
      </c>
      <c r="AT324" s="6" t="str">
        <f>HYPERLINK("http://www.worldcat.org/oclc/13217823","WorldCat Record")</f>
        <v>WorldCat Record</v>
      </c>
      <c r="AU324" s="3" t="s">
        <v>4313</v>
      </c>
      <c r="AV324" s="3" t="s">
        <v>4314</v>
      </c>
      <c r="AW324" s="3" t="s">
        <v>4315</v>
      </c>
      <c r="AX324" s="3" t="s">
        <v>4315</v>
      </c>
      <c r="AY324" s="3" t="s">
        <v>4316</v>
      </c>
      <c r="AZ324" s="3" t="s">
        <v>74</v>
      </c>
      <c r="BB324" s="3" t="s">
        <v>4317</v>
      </c>
      <c r="BC324" s="3" t="s">
        <v>4318</v>
      </c>
      <c r="BD324" s="3" t="s">
        <v>4319</v>
      </c>
    </row>
    <row r="325" spans="1:56" ht="57.75" customHeight="1" x14ac:dyDescent="0.25">
      <c r="A325" s="7" t="s">
        <v>58</v>
      </c>
      <c r="B325" s="2" t="s">
        <v>4320</v>
      </c>
      <c r="C325" s="2" t="s">
        <v>4321</v>
      </c>
      <c r="D325" s="2" t="s">
        <v>4322</v>
      </c>
      <c r="F325" s="3" t="s">
        <v>58</v>
      </c>
      <c r="G325" s="3" t="s">
        <v>59</v>
      </c>
      <c r="H325" s="3" t="s">
        <v>58</v>
      </c>
      <c r="I325" s="3" t="s">
        <v>58</v>
      </c>
      <c r="J325" s="3" t="s">
        <v>60</v>
      </c>
      <c r="K325" s="2" t="s">
        <v>4323</v>
      </c>
      <c r="L325" s="2" t="s">
        <v>4324</v>
      </c>
      <c r="M325" s="3" t="s">
        <v>205</v>
      </c>
      <c r="N325" s="2" t="s">
        <v>861</v>
      </c>
      <c r="O325" s="3" t="s">
        <v>64</v>
      </c>
      <c r="P325" s="3" t="s">
        <v>65</v>
      </c>
      <c r="Q325" s="2" t="s">
        <v>2171</v>
      </c>
      <c r="R325" s="3" t="s">
        <v>3084</v>
      </c>
      <c r="S325" s="4">
        <v>8</v>
      </c>
      <c r="T325" s="4">
        <v>8</v>
      </c>
      <c r="U325" s="5" t="s">
        <v>3495</v>
      </c>
      <c r="V325" s="5" t="s">
        <v>3495</v>
      </c>
      <c r="W325" s="5" t="s">
        <v>2893</v>
      </c>
      <c r="X325" s="5" t="s">
        <v>2893</v>
      </c>
      <c r="Y325" s="4">
        <v>1123</v>
      </c>
      <c r="Z325" s="4">
        <v>1024</v>
      </c>
      <c r="AA325" s="4">
        <v>1424</v>
      </c>
      <c r="AB325" s="4">
        <v>6</v>
      </c>
      <c r="AC325" s="4">
        <v>9</v>
      </c>
      <c r="AD325" s="4">
        <v>40</v>
      </c>
      <c r="AE325" s="4">
        <v>45</v>
      </c>
      <c r="AF325" s="4">
        <v>19</v>
      </c>
      <c r="AG325" s="4">
        <v>20</v>
      </c>
      <c r="AH325" s="4">
        <v>7</v>
      </c>
      <c r="AI325" s="4">
        <v>8</v>
      </c>
      <c r="AJ325" s="4">
        <v>20</v>
      </c>
      <c r="AK325" s="4">
        <v>21</v>
      </c>
      <c r="AL325" s="4">
        <v>4</v>
      </c>
      <c r="AM325" s="4">
        <v>7</v>
      </c>
      <c r="AN325" s="4">
        <v>0</v>
      </c>
      <c r="AO325" s="4">
        <v>0</v>
      </c>
      <c r="AP325" s="3" t="s">
        <v>58</v>
      </c>
      <c r="AQ325" s="3" t="s">
        <v>69</v>
      </c>
      <c r="AR325" s="6" t="str">
        <f>HYPERLINK("http://catalog.hathitrust.org/Record/000027067","HathiTrust Record")</f>
        <v>HathiTrust Record</v>
      </c>
      <c r="AS325" s="6" t="str">
        <f>HYPERLINK("https://creighton-primo.hosted.exlibrisgroup.com/primo-explore/search?tab=default_tab&amp;search_scope=EVERYTHING&amp;vid=01CRU&amp;lang=en_US&amp;offset=0&amp;query=any,contains,991004800039702656","Catalog Record")</f>
        <v>Catalog Record</v>
      </c>
      <c r="AT325" s="6" t="str">
        <f>HYPERLINK("http://www.worldcat.org/oclc/5208691","WorldCat Record")</f>
        <v>WorldCat Record</v>
      </c>
      <c r="AU325" s="3" t="s">
        <v>4325</v>
      </c>
      <c r="AV325" s="3" t="s">
        <v>4326</v>
      </c>
      <c r="AW325" s="3" t="s">
        <v>4327</v>
      </c>
      <c r="AX325" s="3" t="s">
        <v>4327</v>
      </c>
      <c r="AY325" s="3" t="s">
        <v>4328</v>
      </c>
      <c r="AZ325" s="3" t="s">
        <v>74</v>
      </c>
      <c r="BB325" s="3" t="s">
        <v>4329</v>
      </c>
      <c r="BC325" s="3" t="s">
        <v>4330</v>
      </c>
      <c r="BD325" s="3" t="s">
        <v>4331</v>
      </c>
    </row>
    <row r="326" spans="1:56" ht="57.75" customHeight="1" x14ac:dyDescent="0.25">
      <c r="A326" s="7" t="s">
        <v>58</v>
      </c>
      <c r="B326" s="2" t="s">
        <v>4332</v>
      </c>
      <c r="C326" s="2" t="s">
        <v>4333</v>
      </c>
      <c r="D326" s="2" t="s">
        <v>4334</v>
      </c>
      <c r="F326" s="3" t="s">
        <v>58</v>
      </c>
      <c r="G326" s="3" t="s">
        <v>59</v>
      </c>
      <c r="H326" s="3" t="s">
        <v>58</v>
      </c>
      <c r="I326" s="3" t="s">
        <v>58</v>
      </c>
      <c r="J326" s="3" t="s">
        <v>60</v>
      </c>
      <c r="K326" s="2" t="s">
        <v>4335</v>
      </c>
      <c r="L326" s="2" t="s">
        <v>4336</v>
      </c>
      <c r="M326" s="3" t="s">
        <v>496</v>
      </c>
      <c r="O326" s="3" t="s">
        <v>64</v>
      </c>
      <c r="P326" s="3" t="s">
        <v>385</v>
      </c>
      <c r="R326" s="3" t="s">
        <v>3084</v>
      </c>
      <c r="S326" s="4">
        <v>6</v>
      </c>
      <c r="T326" s="4">
        <v>6</v>
      </c>
      <c r="U326" s="5" t="s">
        <v>4337</v>
      </c>
      <c r="V326" s="5" t="s">
        <v>4337</v>
      </c>
      <c r="W326" s="5" t="s">
        <v>2697</v>
      </c>
      <c r="X326" s="5" t="s">
        <v>2697</v>
      </c>
      <c r="Y326" s="4">
        <v>645</v>
      </c>
      <c r="Z326" s="4">
        <v>598</v>
      </c>
      <c r="AA326" s="4">
        <v>730</v>
      </c>
      <c r="AB326" s="4">
        <v>4</v>
      </c>
      <c r="AC326" s="4">
        <v>5</v>
      </c>
      <c r="AD326" s="4">
        <v>14</v>
      </c>
      <c r="AE326" s="4">
        <v>18</v>
      </c>
      <c r="AF326" s="4">
        <v>5</v>
      </c>
      <c r="AG326" s="4">
        <v>6</v>
      </c>
      <c r="AH326" s="4">
        <v>3</v>
      </c>
      <c r="AI326" s="4">
        <v>5</v>
      </c>
      <c r="AJ326" s="4">
        <v>7</v>
      </c>
      <c r="AK326" s="4">
        <v>8</v>
      </c>
      <c r="AL326" s="4">
        <v>2</v>
      </c>
      <c r="AM326" s="4">
        <v>3</v>
      </c>
      <c r="AN326" s="4">
        <v>0</v>
      </c>
      <c r="AO326" s="4">
        <v>0</v>
      </c>
      <c r="AP326" s="3" t="s">
        <v>58</v>
      </c>
      <c r="AQ326" s="3" t="s">
        <v>69</v>
      </c>
      <c r="AR326" s="6" t="str">
        <f>HYPERLINK("http://catalog.hathitrust.org/Record/000174215","HathiTrust Record")</f>
        <v>HathiTrust Record</v>
      </c>
      <c r="AS326" s="6" t="str">
        <f>HYPERLINK("https://creighton-primo.hosted.exlibrisgroup.com/primo-explore/search?tab=default_tab&amp;search_scope=EVERYTHING&amp;vid=01CRU&amp;lang=en_US&amp;offset=0&amp;query=any,contains,991004522069702656","Catalog Record")</f>
        <v>Catalog Record</v>
      </c>
      <c r="AT326" s="6" t="str">
        <f>HYPERLINK("http://www.worldcat.org/oclc/3915195","WorldCat Record")</f>
        <v>WorldCat Record</v>
      </c>
      <c r="AU326" s="3" t="s">
        <v>4338</v>
      </c>
      <c r="AV326" s="3" t="s">
        <v>4339</v>
      </c>
      <c r="AW326" s="3" t="s">
        <v>4340</v>
      </c>
      <c r="AX326" s="3" t="s">
        <v>4340</v>
      </c>
      <c r="AY326" s="3" t="s">
        <v>4341</v>
      </c>
      <c r="AZ326" s="3" t="s">
        <v>74</v>
      </c>
      <c r="BB326" s="3" t="s">
        <v>4342</v>
      </c>
      <c r="BC326" s="3" t="s">
        <v>4343</v>
      </c>
      <c r="BD326" s="3" t="s">
        <v>4344</v>
      </c>
    </row>
    <row r="327" spans="1:56" ht="57.75" customHeight="1" x14ac:dyDescent="0.25">
      <c r="A327" s="7" t="s">
        <v>58</v>
      </c>
      <c r="B327" s="2" t="s">
        <v>4345</v>
      </c>
      <c r="C327" s="2" t="s">
        <v>4346</v>
      </c>
      <c r="D327" s="2" t="s">
        <v>4347</v>
      </c>
      <c r="F327" s="3" t="s">
        <v>58</v>
      </c>
      <c r="G327" s="3" t="s">
        <v>59</v>
      </c>
      <c r="H327" s="3" t="s">
        <v>58</v>
      </c>
      <c r="I327" s="3" t="s">
        <v>58</v>
      </c>
      <c r="J327" s="3" t="s">
        <v>60</v>
      </c>
      <c r="K327" s="2" t="s">
        <v>4348</v>
      </c>
      <c r="L327" s="2" t="s">
        <v>4349</v>
      </c>
      <c r="M327" s="3" t="s">
        <v>205</v>
      </c>
      <c r="O327" s="3" t="s">
        <v>64</v>
      </c>
      <c r="P327" s="3" t="s">
        <v>4350</v>
      </c>
      <c r="R327" s="3" t="s">
        <v>3084</v>
      </c>
      <c r="S327" s="4">
        <v>10</v>
      </c>
      <c r="T327" s="4">
        <v>10</v>
      </c>
      <c r="U327" s="5" t="s">
        <v>4351</v>
      </c>
      <c r="V327" s="5" t="s">
        <v>4351</v>
      </c>
      <c r="W327" s="5" t="s">
        <v>2697</v>
      </c>
      <c r="X327" s="5" t="s">
        <v>2697</v>
      </c>
      <c r="Y327" s="4">
        <v>658</v>
      </c>
      <c r="Z327" s="4">
        <v>532</v>
      </c>
      <c r="AA327" s="4">
        <v>535</v>
      </c>
      <c r="AB327" s="4">
        <v>5</v>
      </c>
      <c r="AC327" s="4">
        <v>5</v>
      </c>
      <c r="AD327" s="4">
        <v>19</v>
      </c>
      <c r="AE327" s="4">
        <v>19</v>
      </c>
      <c r="AF327" s="4">
        <v>4</v>
      </c>
      <c r="AG327" s="4">
        <v>4</v>
      </c>
      <c r="AH327" s="4">
        <v>5</v>
      </c>
      <c r="AI327" s="4">
        <v>5</v>
      </c>
      <c r="AJ327" s="4">
        <v>11</v>
      </c>
      <c r="AK327" s="4">
        <v>11</v>
      </c>
      <c r="AL327" s="4">
        <v>3</v>
      </c>
      <c r="AM327" s="4">
        <v>3</v>
      </c>
      <c r="AN327" s="4">
        <v>0</v>
      </c>
      <c r="AO327" s="4">
        <v>0</v>
      </c>
      <c r="AP327" s="3" t="s">
        <v>58</v>
      </c>
      <c r="AQ327" s="3" t="s">
        <v>69</v>
      </c>
      <c r="AR327" s="6" t="str">
        <f>HYPERLINK("http://catalog.hathitrust.org/Record/000763509","HathiTrust Record")</f>
        <v>HathiTrust Record</v>
      </c>
      <c r="AS327" s="6" t="str">
        <f>HYPERLINK("https://creighton-primo.hosted.exlibrisgroup.com/primo-explore/search?tab=default_tab&amp;search_scope=EVERYTHING&amp;vid=01CRU&amp;lang=en_US&amp;offset=0&amp;query=any,contains,991004853889702656","Catalog Record")</f>
        <v>Catalog Record</v>
      </c>
      <c r="AT327" s="6" t="str">
        <f>HYPERLINK("http://www.worldcat.org/oclc/5655402","WorldCat Record")</f>
        <v>WorldCat Record</v>
      </c>
      <c r="AU327" s="3" t="s">
        <v>4352</v>
      </c>
      <c r="AV327" s="3" t="s">
        <v>4353</v>
      </c>
      <c r="AW327" s="3" t="s">
        <v>4354</v>
      </c>
      <c r="AX327" s="3" t="s">
        <v>4354</v>
      </c>
      <c r="AY327" s="3" t="s">
        <v>4355</v>
      </c>
      <c r="AZ327" s="3" t="s">
        <v>74</v>
      </c>
      <c r="BB327" s="3" t="s">
        <v>4356</v>
      </c>
      <c r="BC327" s="3" t="s">
        <v>4357</v>
      </c>
      <c r="BD327" s="3" t="s">
        <v>4358</v>
      </c>
    </row>
    <row r="328" spans="1:56" ht="57.75" customHeight="1" x14ac:dyDescent="0.25">
      <c r="A328" s="7" t="s">
        <v>58</v>
      </c>
      <c r="B328" s="2" t="s">
        <v>4359</v>
      </c>
      <c r="C328" s="2" t="s">
        <v>4360</v>
      </c>
      <c r="D328" s="2" t="s">
        <v>4361</v>
      </c>
      <c r="F328" s="3" t="s">
        <v>58</v>
      </c>
      <c r="G328" s="3" t="s">
        <v>59</v>
      </c>
      <c r="H328" s="3" t="s">
        <v>58</v>
      </c>
      <c r="I328" s="3" t="s">
        <v>58</v>
      </c>
      <c r="J328" s="3" t="s">
        <v>60</v>
      </c>
      <c r="K328" s="2" t="s">
        <v>4285</v>
      </c>
      <c r="L328" s="2" t="s">
        <v>4362</v>
      </c>
      <c r="M328" s="3" t="s">
        <v>293</v>
      </c>
      <c r="O328" s="3" t="s">
        <v>64</v>
      </c>
      <c r="P328" s="3" t="s">
        <v>540</v>
      </c>
      <c r="Q328" s="2" t="s">
        <v>4287</v>
      </c>
      <c r="R328" s="3" t="s">
        <v>3084</v>
      </c>
      <c r="S328" s="4">
        <v>7</v>
      </c>
      <c r="T328" s="4">
        <v>7</v>
      </c>
      <c r="U328" s="5" t="s">
        <v>4363</v>
      </c>
      <c r="V328" s="5" t="s">
        <v>4363</v>
      </c>
      <c r="W328" s="5" t="s">
        <v>4364</v>
      </c>
      <c r="X328" s="5" t="s">
        <v>4364</v>
      </c>
      <c r="Y328" s="4">
        <v>742</v>
      </c>
      <c r="Z328" s="4">
        <v>627</v>
      </c>
      <c r="AA328" s="4">
        <v>628</v>
      </c>
      <c r="AB328" s="4">
        <v>4</v>
      </c>
      <c r="AC328" s="4">
        <v>4</v>
      </c>
      <c r="AD328" s="4">
        <v>18</v>
      </c>
      <c r="AE328" s="4">
        <v>18</v>
      </c>
      <c r="AF328" s="4">
        <v>5</v>
      </c>
      <c r="AG328" s="4">
        <v>5</v>
      </c>
      <c r="AH328" s="4">
        <v>5</v>
      </c>
      <c r="AI328" s="4">
        <v>5</v>
      </c>
      <c r="AJ328" s="4">
        <v>11</v>
      </c>
      <c r="AK328" s="4">
        <v>11</v>
      </c>
      <c r="AL328" s="4">
        <v>2</v>
      </c>
      <c r="AM328" s="4">
        <v>2</v>
      </c>
      <c r="AN328" s="4">
        <v>0</v>
      </c>
      <c r="AO328" s="4">
        <v>0</v>
      </c>
      <c r="AP328" s="3" t="s">
        <v>58</v>
      </c>
      <c r="AQ328" s="3" t="s">
        <v>69</v>
      </c>
      <c r="AR328" s="6" t="str">
        <f>HYPERLINK("http://catalog.hathitrust.org/Record/001472991","HathiTrust Record")</f>
        <v>HathiTrust Record</v>
      </c>
      <c r="AS328" s="6" t="str">
        <f>HYPERLINK("https://creighton-primo.hosted.exlibrisgroup.com/primo-explore/search?tab=default_tab&amp;search_scope=EVERYTHING&amp;vid=01CRU&amp;lang=en_US&amp;offset=0&amp;query=any,contains,991000599939702656","Catalog Record")</f>
        <v>Catalog Record</v>
      </c>
      <c r="AT328" s="6" t="str">
        <f>HYPERLINK("http://www.worldcat.org/oclc/98274","WorldCat Record")</f>
        <v>WorldCat Record</v>
      </c>
      <c r="AU328" s="3" t="s">
        <v>4365</v>
      </c>
      <c r="AV328" s="3" t="s">
        <v>4366</v>
      </c>
      <c r="AW328" s="3" t="s">
        <v>4367</v>
      </c>
      <c r="AX328" s="3" t="s">
        <v>4367</v>
      </c>
      <c r="AY328" s="3" t="s">
        <v>4368</v>
      </c>
      <c r="AZ328" s="3" t="s">
        <v>74</v>
      </c>
      <c r="BB328" s="3" t="s">
        <v>4369</v>
      </c>
      <c r="BC328" s="3" t="s">
        <v>4370</v>
      </c>
      <c r="BD328" s="3" t="s">
        <v>4371</v>
      </c>
    </row>
    <row r="329" spans="1:56" ht="57.75" customHeight="1" x14ac:dyDescent="0.25">
      <c r="A329" s="7" t="s">
        <v>58</v>
      </c>
      <c r="B329" s="2" t="s">
        <v>4372</v>
      </c>
      <c r="C329" s="2" t="s">
        <v>4373</v>
      </c>
      <c r="D329" s="2" t="s">
        <v>4374</v>
      </c>
      <c r="F329" s="3" t="s">
        <v>58</v>
      </c>
      <c r="G329" s="3" t="s">
        <v>59</v>
      </c>
      <c r="H329" s="3" t="s">
        <v>58</v>
      </c>
      <c r="I329" s="3" t="s">
        <v>58</v>
      </c>
      <c r="J329" s="3" t="s">
        <v>60</v>
      </c>
      <c r="K329" s="2" t="s">
        <v>4375</v>
      </c>
      <c r="L329" s="2" t="s">
        <v>4376</v>
      </c>
      <c r="M329" s="3" t="s">
        <v>63</v>
      </c>
      <c r="N329" s="2" t="s">
        <v>606</v>
      </c>
      <c r="O329" s="3" t="s">
        <v>64</v>
      </c>
      <c r="P329" s="3" t="s">
        <v>65</v>
      </c>
      <c r="R329" s="3" t="s">
        <v>3084</v>
      </c>
      <c r="S329" s="4">
        <v>9</v>
      </c>
      <c r="T329" s="4">
        <v>9</v>
      </c>
      <c r="U329" s="5" t="s">
        <v>4351</v>
      </c>
      <c r="V329" s="5" t="s">
        <v>4351</v>
      </c>
      <c r="W329" s="5" t="s">
        <v>4377</v>
      </c>
      <c r="X329" s="5" t="s">
        <v>4377</v>
      </c>
      <c r="Y329" s="4">
        <v>647</v>
      </c>
      <c r="Z329" s="4">
        <v>519</v>
      </c>
      <c r="AA329" s="4">
        <v>522</v>
      </c>
      <c r="AB329" s="4">
        <v>4</v>
      </c>
      <c r="AC329" s="4">
        <v>4</v>
      </c>
      <c r="AD329" s="4">
        <v>25</v>
      </c>
      <c r="AE329" s="4">
        <v>25</v>
      </c>
      <c r="AF329" s="4">
        <v>12</v>
      </c>
      <c r="AG329" s="4">
        <v>12</v>
      </c>
      <c r="AH329" s="4">
        <v>7</v>
      </c>
      <c r="AI329" s="4">
        <v>7</v>
      </c>
      <c r="AJ329" s="4">
        <v>13</v>
      </c>
      <c r="AK329" s="4">
        <v>13</v>
      </c>
      <c r="AL329" s="4">
        <v>3</v>
      </c>
      <c r="AM329" s="4">
        <v>3</v>
      </c>
      <c r="AN329" s="4">
        <v>0</v>
      </c>
      <c r="AO329" s="4">
        <v>0</v>
      </c>
      <c r="AP329" s="3" t="s">
        <v>58</v>
      </c>
      <c r="AQ329" s="3" t="s">
        <v>69</v>
      </c>
      <c r="AR329" s="6" t="str">
        <f>HYPERLINK("http://catalog.hathitrust.org/Record/000250366","HathiTrust Record")</f>
        <v>HathiTrust Record</v>
      </c>
      <c r="AS329" s="6" t="str">
        <f>HYPERLINK("https://creighton-primo.hosted.exlibrisgroup.com/primo-explore/search?tab=default_tab&amp;search_scope=EVERYTHING&amp;vid=01CRU&amp;lang=en_US&amp;offset=0&amp;query=any,contains,991004306679702656","Catalog Record")</f>
        <v>Catalog Record</v>
      </c>
      <c r="AT329" s="6" t="str">
        <f>HYPERLINK("http://www.worldcat.org/oclc/2984182","WorldCat Record")</f>
        <v>WorldCat Record</v>
      </c>
      <c r="AU329" s="3" t="s">
        <v>4378</v>
      </c>
      <c r="AV329" s="3" t="s">
        <v>4379</v>
      </c>
      <c r="AW329" s="3" t="s">
        <v>4380</v>
      </c>
      <c r="AX329" s="3" t="s">
        <v>4380</v>
      </c>
      <c r="AY329" s="3" t="s">
        <v>4381</v>
      </c>
      <c r="AZ329" s="3" t="s">
        <v>74</v>
      </c>
      <c r="BB329" s="3" t="s">
        <v>4382</v>
      </c>
      <c r="BC329" s="3" t="s">
        <v>4383</v>
      </c>
      <c r="BD329" s="3" t="s">
        <v>4384</v>
      </c>
    </row>
    <row r="330" spans="1:56" ht="57.75" customHeight="1" x14ac:dyDescent="0.25">
      <c r="A330" s="7" t="s">
        <v>58</v>
      </c>
      <c r="B330" s="2" t="s">
        <v>4385</v>
      </c>
      <c r="C330" s="2" t="s">
        <v>4386</v>
      </c>
      <c r="D330" s="2" t="s">
        <v>4387</v>
      </c>
      <c r="F330" s="3" t="s">
        <v>58</v>
      </c>
      <c r="G330" s="3" t="s">
        <v>59</v>
      </c>
      <c r="H330" s="3" t="s">
        <v>58</v>
      </c>
      <c r="I330" s="3" t="s">
        <v>58</v>
      </c>
      <c r="J330" s="3" t="s">
        <v>60</v>
      </c>
      <c r="K330" s="2" t="s">
        <v>4388</v>
      </c>
      <c r="L330" s="2" t="s">
        <v>4389</v>
      </c>
      <c r="M330" s="3" t="s">
        <v>564</v>
      </c>
      <c r="O330" s="3" t="s">
        <v>64</v>
      </c>
      <c r="P330" s="3" t="s">
        <v>65</v>
      </c>
      <c r="R330" s="3" t="s">
        <v>3084</v>
      </c>
      <c r="S330" s="4">
        <v>9</v>
      </c>
      <c r="T330" s="4">
        <v>9</v>
      </c>
      <c r="U330" s="5" t="s">
        <v>4390</v>
      </c>
      <c r="V330" s="5" t="s">
        <v>4390</v>
      </c>
      <c r="W330" s="5" t="s">
        <v>957</v>
      </c>
      <c r="X330" s="5" t="s">
        <v>957</v>
      </c>
      <c r="Y330" s="4">
        <v>731</v>
      </c>
      <c r="Z330" s="4">
        <v>688</v>
      </c>
      <c r="AA330" s="4">
        <v>725</v>
      </c>
      <c r="AB330" s="4">
        <v>6</v>
      </c>
      <c r="AC330" s="4">
        <v>6</v>
      </c>
      <c r="AD330" s="4">
        <v>24</v>
      </c>
      <c r="AE330" s="4">
        <v>26</v>
      </c>
      <c r="AF330" s="4">
        <v>8</v>
      </c>
      <c r="AG330" s="4">
        <v>8</v>
      </c>
      <c r="AH330" s="4">
        <v>5</v>
      </c>
      <c r="AI330" s="4">
        <v>6</v>
      </c>
      <c r="AJ330" s="4">
        <v>9</v>
      </c>
      <c r="AK330" s="4">
        <v>10</v>
      </c>
      <c r="AL330" s="4">
        <v>5</v>
      </c>
      <c r="AM330" s="4">
        <v>5</v>
      </c>
      <c r="AN330" s="4">
        <v>0</v>
      </c>
      <c r="AO330" s="4">
        <v>0</v>
      </c>
      <c r="AP330" s="3" t="s">
        <v>58</v>
      </c>
      <c r="AQ330" s="3" t="s">
        <v>58</v>
      </c>
      <c r="AS330" s="6" t="str">
        <f>HYPERLINK("https://creighton-primo.hosted.exlibrisgroup.com/primo-explore/search?tab=default_tab&amp;search_scope=EVERYTHING&amp;vid=01CRU&amp;lang=en_US&amp;offset=0&amp;query=any,contains,991003103199702656","Catalog Record")</f>
        <v>Catalog Record</v>
      </c>
      <c r="AT330" s="6" t="str">
        <f>HYPERLINK("http://www.worldcat.org/oclc/652449","WorldCat Record")</f>
        <v>WorldCat Record</v>
      </c>
      <c r="AU330" s="3" t="s">
        <v>4391</v>
      </c>
      <c r="AV330" s="3" t="s">
        <v>4392</v>
      </c>
      <c r="AW330" s="3" t="s">
        <v>4393</v>
      </c>
      <c r="AX330" s="3" t="s">
        <v>4393</v>
      </c>
      <c r="AY330" s="3" t="s">
        <v>4394</v>
      </c>
      <c r="AZ330" s="3" t="s">
        <v>74</v>
      </c>
      <c r="BC330" s="3" t="s">
        <v>4395</v>
      </c>
      <c r="BD330" s="3" t="s">
        <v>4396</v>
      </c>
    </row>
    <row r="331" spans="1:56" ht="57.75" customHeight="1" x14ac:dyDescent="0.25">
      <c r="A331" s="7" t="s">
        <v>58</v>
      </c>
      <c r="B331" s="2" t="s">
        <v>4397</v>
      </c>
      <c r="C331" s="2" t="s">
        <v>4398</v>
      </c>
      <c r="D331" s="2" t="s">
        <v>4399</v>
      </c>
      <c r="F331" s="3" t="s">
        <v>58</v>
      </c>
      <c r="G331" s="3" t="s">
        <v>59</v>
      </c>
      <c r="H331" s="3" t="s">
        <v>58</v>
      </c>
      <c r="I331" s="3" t="s">
        <v>58</v>
      </c>
      <c r="J331" s="3" t="s">
        <v>60</v>
      </c>
      <c r="K331" s="2" t="s">
        <v>4400</v>
      </c>
      <c r="L331" s="2" t="s">
        <v>4401</v>
      </c>
      <c r="M331" s="3" t="s">
        <v>875</v>
      </c>
      <c r="O331" s="3" t="s">
        <v>64</v>
      </c>
      <c r="P331" s="3" t="s">
        <v>1841</v>
      </c>
      <c r="R331" s="3" t="s">
        <v>3084</v>
      </c>
      <c r="S331" s="4">
        <v>5</v>
      </c>
      <c r="T331" s="4">
        <v>5</v>
      </c>
      <c r="U331" s="5" t="s">
        <v>4402</v>
      </c>
      <c r="V331" s="5" t="s">
        <v>4402</v>
      </c>
      <c r="W331" s="5" t="s">
        <v>208</v>
      </c>
      <c r="X331" s="5" t="s">
        <v>208</v>
      </c>
      <c r="Y331" s="4">
        <v>242</v>
      </c>
      <c r="Z331" s="4">
        <v>213</v>
      </c>
      <c r="AA331" s="4">
        <v>260</v>
      </c>
      <c r="AB331" s="4">
        <v>3</v>
      </c>
      <c r="AC331" s="4">
        <v>3</v>
      </c>
      <c r="AD331" s="4">
        <v>12</v>
      </c>
      <c r="AE331" s="4">
        <v>14</v>
      </c>
      <c r="AF331" s="4">
        <v>4</v>
      </c>
      <c r="AG331" s="4">
        <v>4</v>
      </c>
      <c r="AH331" s="4">
        <v>3</v>
      </c>
      <c r="AI331" s="4">
        <v>3</v>
      </c>
      <c r="AJ331" s="4">
        <v>6</v>
      </c>
      <c r="AK331" s="4">
        <v>8</v>
      </c>
      <c r="AL331" s="4">
        <v>2</v>
      </c>
      <c r="AM331" s="4">
        <v>2</v>
      </c>
      <c r="AN331" s="4">
        <v>0</v>
      </c>
      <c r="AO331" s="4">
        <v>0</v>
      </c>
      <c r="AP331" s="3" t="s">
        <v>58</v>
      </c>
      <c r="AQ331" s="3" t="s">
        <v>69</v>
      </c>
      <c r="AR331" s="6" t="str">
        <f>HYPERLINK("http://catalog.hathitrust.org/Record/008545846","HathiTrust Record")</f>
        <v>HathiTrust Record</v>
      </c>
      <c r="AS331" s="6" t="str">
        <f>HYPERLINK("https://creighton-primo.hosted.exlibrisgroup.com/primo-explore/search?tab=default_tab&amp;search_scope=EVERYTHING&amp;vid=01CRU&amp;lang=en_US&amp;offset=0&amp;query=any,contains,991001893099702656","Catalog Record")</f>
        <v>Catalog Record</v>
      </c>
      <c r="AT331" s="6" t="str">
        <f>HYPERLINK("http://www.worldcat.org/oclc/23901870","WorldCat Record")</f>
        <v>WorldCat Record</v>
      </c>
      <c r="AU331" s="3" t="s">
        <v>4403</v>
      </c>
      <c r="AV331" s="3" t="s">
        <v>4404</v>
      </c>
      <c r="AW331" s="3" t="s">
        <v>4405</v>
      </c>
      <c r="AX331" s="3" t="s">
        <v>4405</v>
      </c>
      <c r="AY331" s="3" t="s">
        <v>4406</v>
      </c>
      <c r="AZ331" s="3" t="s">
        <v>74</v>
      </c>
      <c r="BB331" s="3" t="s">
        <v>4407</v>
      </c>
      <c r="BC331" s="3" t="s">
        <v>4408</v>
      </c>
      <c r="BD331" s="3" t="s">
        <v>4409</v>
      </c>
    </row>
    <row r="332" spans="1:56" ht="57.75" customHeight="1" x14ac:dyDescent="0.25">
      <c r="A332" s="7" t="s">
        <v>58</v>
      </c>
      <c r="B332" s="2" t="s">
        <v>4410</v>
      </c>
      <c r="C332" s="2" t="s">
        <v>4411</v>
      </c>
      <c r="D332" s="2" t="s">
        <v>4412</v>
      </c>
      <c r="F332" s="3" t="s">
        <v>58</v>
      </c>
      <c r="G332" s="3" t="s">
        <v>59</v>
      </c>
      <c r="H332" s="3" t="s">
        <v>58</v>
      </c>
      <c r="I332" s="3" t="s">
        <v>58</v>
      </c>
      <c r="J332" s="3" t="s">
        <v>60</v>
      </c>
      <c r="K332" s="2" t="s">
        <v>4413</v>
      </c>
      <c r="L332" s="2" t="s">
        <v>4414</v>
      </c>
      <c r="M332" s="3" t="s">
        <v>191</v>
      </c>
      <c r="O332" s="3" t="s">
        <v>64</v>
      </c>
      <c r="P332" s="3" t="s">
        <v>65</v>
      </c>
      <c r="R332" s="3" t="s">
        <v>3084</v>
      </c>
      <c r="S332" s="4">
        <v>15</v>
      </c>
      <c r="T332" s="4">
        <v>15</v>
      </c>
      <c r="U332" s="5" t="s">
        <v>4415</v>
      </c>
      <c r="V332" s="5" t="s">
        <v>4415</v>
      </c>
      <c r="W332" s="5" t="s">
        <v>2697</v>
      </c>
      <c r="X332" s="5" t="s">
        <v>2697</v>
      </c>
      <c r="Y332" s="4">
        <v>1030</v>
      </c>
      <c r="Z332" s="4">
        <v>902</v>
      </c>
      <c r="AA332" s="4">
        <v>968</v>
      </c>
      <c r="AB332" s="4">
        <v>6</v>
      </c>
      <c r="AC332" s="4">
        <v>6</v>
      </c>
      <c r="AD332" s="4">
        <v>40</v>
      </c>
      <c r="AE332" s="4">
        <v>43</v>
      </c>
      <c r="AF332" s="4">
        <v>18</v>
      </c>
      <c r="AG332" s="4">
        <v>19</v>
      </c>
      <c r="AH332" s="4">
        <v>8</v>
      </c>
      <c r="AI332" s="4">
        <v>9</v>
      </c>
      <c r="AJ332" s="4">
        <v>21</v>
      </c>
      <c r="AK332" s="4">
        <v>23</v>
      </c>
      <c r="AL332" s="4">
        <v>5</v>
      </c>
      <c r="AM332" s="4">
        <v>5</v>
      </c>
      <c r="AN332" s="4">
        <v>0</v>
      </c>
      <c r="AO332" s="4">
        <v>0</v>
      </c>
      <c r="AP332" s="3" t="s">
        <v>58</v>
      </c>
      <c r="AQ332" s="3" t="s">
        <v>58</v>
      </c>
      <c r="AS332" s="6" t="str">
        <f>HYPERLINK("https://creighton-primo.hosted.exlibrisgroup.com/primo-explore/search?tab=default_tab&amp;search_scope=EVERYTHING&amp;vid=01CRU&amp;lang=en_US&amp;offset=0&amp;query=any,contains,991005068289702656","Catalog Record")</f>
        <v>Catalog Record</v>
      </c>
      <c r="AT332" s="6" t="str">
        <f>HYPERLINK("http://www.worldcat.org/oclc/6982503","WorldCat Record")</f>
        <v>WorldCat Record</v>
      </c>
      <c r="AU332" s="3" t="s">
        <v>4416</v>
      </c>
      <c r="AV332" s="3" t="s">
        <v>4417</v>
      </c>
      <c r="AW332" s="3" t="s">
        <v>4418</v>
      </c>
      <c r="AX332" s="3" t="s">
        <v>4418</v>
      </c>
      <c r="AY332" s="3" t="s">
        <v>4419</v>
      </c>
      <c r="AZ332" s="3" t="s">
        <v>74</v>
      </c>
      <c r="BB332" s="3" t="s">
        <v>4420</v>
      </c>
      <c r="BC332" s="3" t="s">
        <v>4421</v>
      </c>
      <c r="BD332" s="3" t="s">
        <v>4422</v>
      </c>
    </row>
    <row r="333" spans="1:56" ht="57.75" customHeight="1" x14ac:dyDescent="0.25">
      <c r="A333" s="7" t="s">
        <v>58</v>
      </c>
      <c r="B333" s="2" t="s">
        <v>4423</v>
      </c>
      <c r="C333" s="2" t="s">
        <v>4424</v>
      </c>
      <c r="D333" s="2" t="s">
        <v>4425</v>
      </c>
      <c r="F333" s="3" t="s">
        <v>58</v>
      </c>
      <c r="G333" s="3" t="s">
        <v>59</v>
      </c>
      <c r="H333" s="3" t="s">
        <v>58</v>
      </c>
      <c r="I333" s="3" t="s">
        <v>58</v>
      </c>
      <c r="J333" s="3" t="s">
        <v>60</v>
      </c>
      <c r="K333" s="2" t="s">
        <v>4426</v>
      </c>
      <c r="L333" s="2" t="s">
        <v>4427</v>
      </c>
      <c r="M333" s="3" t="s">
        <v>621</v>
      </c>
      <c r="O333" s="3" t="s">
        <v>64</v>
      </c>
      <c r="P333" s="3" t="s">
        <v>65</v>
      </c>
      <c r="Q333" s="2" t="s">
        <v>4428</v>
      </c>
      <c r="R333" s="3" t="s">
        <v>3084</v>
      </c>
      <c r="S333" s="4">
        <v>1</v>
      </c>
      <c r="T333" s="4">
        <v>1</v>
      </c>
      <c r="U333" s="5" t="s">
        <v>4429</v>
      </c>
      <c r="V333" s="5" t="s">
        <v>4429</v>
      </c>
      <c r="W333" s="5" t="s">
        <v>4430</v>
      </c>
      <c r="X333" s="5" t="s">
        <v>4430</v>
      </c>
      <c r="Y333" s="4">
        <v>113</v>
      </c>
      <c r="Z333" s="4">
        <v>93</v>
      </c>
      <c r="AA333" s="4">
        <v>386</v>
      </c>
      <c r="AB333" s="4">
        <v>2</v>
      </c>
      <c r="AC333" s="4">
        <v>5</v>
      </c>
      <c r="AD333" s="4">
        <v>1</v>
      </c>
      <c r="AE333" s="4">
        <v>18</v>
      </c>
      <c r="AF333" s="4">
        <v>1</v>
      </c>
      <c r="AG333" s="4">
        <v>10</v>
      </c>
      <c r="AH333" s="4">
        <v>0</v>
      </c>
      <c r="AI333" s="4">
        <v>4</v>
      </c>
      <c r="AJ333" s="4">
        <v>0</v>
      </c>
      <c r="AK333" s="4">
        <v>3</v>
      </c>
      <c r="AL333" s="4">
        <v>0</v>
      </c>
      <c r="AM333" s="4">
        <v>3</v>
      </c>
      <c r="AN333" s="4">
        <v>0</v>
      </c>
      <c r="AO333" s="4">
        <v>0</v>
      </c>
      <c r="AP333" s="3" t="s">
        <v>58</v>
      </c>
      <c r="AQ333" s="3" t="s">
        <v>58</v>
      </c>
      <c r="AS333" s="6" t="str">
        <f>HYPERLINK("https://creighton-primo.hosted.exlibrisgroup.com/primo-explore/search?tab=default_tab&amp;search_scope=EVERYTHING&amp;vid=01CRU&amp;lang=en_US&amp;offset=0&amp;query=any,contains,991002110649702656","Catalog Record")</f>
        <v>Catalog Record</v>
      </c>
      <c r="AT333" s="6" t="str">
        <f>HYPERLINK("http://www.worldcat.org/oclc/267235","WorldCat Record")</f>
        <v>WorldCat Record</v>
      </c>
      <c r="AU333" s="3" t="s">
        <v>4431</v>
      </c>
      <c r="AV333" s="3" t="s">
        <v>4432</v>
      </c>
      <c r="AW333" s="3" t="s">
        <v>4433</v>
      </c>
      <c r="AX333" s="3" t="s">
        <v>4433</v>
      </c>
      <c r="AY333" s="3" t="s">
        <v>4434</v>
      </c>
      <c r="AZ333" s="3" t="s">
        <v>74</v>
      </c>
      <c r="BB333" s="3" t="s">
        <v>4435</v>
      </c>
      <c r="BC333" s="3" t="s">
        <v>4436</v>
      </c>
      <c r="BD333" s="3" t="s">
        <v>4437</v>
      </c>
    </row>
    <row r="334" spans="1:56" ht="57.75" customHeight="1" x14ac:dyDescent="0.25">
      <c r="A334" s="7" t="s">
        <v>58</v>
      </c>
      <c r="B334" s="2" t="s">
        <v>4438</v>
      </c>
      <c r="C334" s="2" t="s">
        <v>4439</v>
      </c>
      <c r="D334" s="2" t="s">
        <v>4440</v>
      </c>
      <c r="F334" s="3" t="s">
        <v>58</v>
      </c>
      <c r="G334" s="3" t="s">
        <v>59</v>
      </c>
      <c r="H334" s="3" t="s">
        <v>58</v>
      </c>
      <c r="I334" s="3" t="s">
        <v>58</v>
      </c>
      <c r="J334" s="3" t="s">
        <v>60</v>
      </c>
      <c r="K334" s="2" t="s">
        <v>4441</v>
      </c>
      <c r="L334" s="2" t="s">
        <v>4442</v>
      </c>
      <c r="M334" s="3" t="s">
        <v>370</v>
      </c>
      <c r="N334" s="2" t="s">
        <v>1475</v>
      </c>
      <c r="O334" s="3" t="s">
        <v>64</v>
      </c>
      <c r="P334" s="3" t="s">
        <v>65</v>
      </c>
      <c r="R334" s="3" t="s">
        <v>3084</v>
      </c>
      <c r="S334" s="4">
        <v>1</v>
      </c>
      <c r="T334" s="4">
        <v>1</v>
      </c>
      <c r="U334" s="5" t="s">
        <v>4443</v>
      </c>
      <c r="V334" s="5" t="s">
        <v>4443</v>
      </c>
      <c r="W334" s="5" t="s">
        <v>4444</v>
      </c>
      <c r="X334" s="5" t="s">
        <v>4444</v>
      </c>
      <c r="Y334" s="4">
        <v>524</v>
      </c>
      <c r="Z334" s="4">
        <v>443</v>
      </c>
      <c r="AA334" s="4">
        <v>449</v>
      </c>
      <c r="AB334" s="4">
        <v>7</v>
      </c>
      <c r="AC334" s="4">
        <v>7</v>
      </c>
      <c r="AD334" s="4">
        <v>28</v>
      </c>
      <c r="AE334" s="4">
        <v>28</v>
      </c>
      <c r="AF334" s="4">
        <v>8</v>
      </c>
      <c r="AG334" s="4">
        <v>8</v>
      </c>
      <c r="AH334" s="4">
        <v>7</v>
      </c>
      <c r="AI334" s="4">
        <v>7</v>
      </c>
      <c r="AJ334" s="4">
        <v>12</v>
      </c>
      <c r="AK334" s="4">
        <v>12</v>
      </c>
      <c r="AL334" s="4">
        <v>6</v>
      </c>
      <c r="AM334" s="4">
        <v>6</v>
      </c>
      <c r="AN334" s="4">
        <v>0</v>
      </c>
      <c r="AO334" s="4">
        <v>0</v>
      </c>
      <c r="AP334" s="3" t="s">
        <v>58</v>
      </c>
      <c r="AQ334" s="3" t="s">
        <v>58</v>
      </c>
      <c r="AS334" s="6" t="str">
        <f>HYPERLINK("https://creighton-primo.hosted.exlibrisgroup.com/primo-explore/search?tab=default_tab&amp;search_scope=EVERYTHING&amp;vid=01CRU&amp;lang=en_US&amp;offset=0&amp;query=any,contains,991000054819702656","Catalog Record")</f>
        <v>Catalog Record</v>
      </c>
      <c r="AT334" s="6" t="str">
        <f>HYPERLINK("http://www.worldcat.org/oclc/23326","WorldCat Record")</f>
        <v>WorldCat Record</v>
      </c>
      <c r="AU334" s="3" t="s">
        <v>4445</v>
      </c>
      <c r="AV334" s="3" t="s">
        <v>4446</v>
      </c>
      <c r="AW334" s="3" t="s">
        <v>4447</v>
      </c>
      <c r="AX334" s="3" t="s">
        <v>4447</v>
      </c>
      <c r="AY334" s="3" t="s">
        <v>4448</v>
      </c>
      <c r="AZ334" s="3" t="s">
        <v>74</v>
      </c>
      <c r="BC334" s="3" t="s">
        <v>4449</v>
      </c>
      <c r="BD334" s="3" t="s">
        <v>4450</v>
      </c>
    </row>
    <row r="335" spans="1:56" ht="57.75" customHeight="1" x14ac:dyDescent="0.25">
      <c r="A335" s="7" t="s">
        <v>58</v>
      </c>
      <c r="B335" s="2" t="s">
        <v>4451</v>
      </c>
      <c r="C335" s="2" t="s">
        <v>4452</v>
      </c>
      <c r="D335" s="2" t="s">
        <v>4453</v>
      </c>
      <c r="F335" s="3" t="s">
        <v>58</v>
      </c>
      <c r="G335" s="3" t="s">
        <v>59</v>
      </c>
      <c r="H335" s="3" t="s">
        <v>58</v>
      </c>
      <c r="I335" s="3" t="s">
        <v>58</v>
      </c>
      <c r="J335" s="3" t="s">
        <v>60</v>
      </c>
      <c r="K335" s="2" t="s">
        <v>4454</v>
      </c>
      <c r="L335" s="2" t="s">
        <v>4455</v>
      </c>
      <c r="M335" s="3" t="s">
        <v>249</v>
      </c>
      <c r="N335" s="2" t="s">
        <v>606</v>
      </c>
      <c r="O335" s="3" t="s">
        <v>64</v>
      </c>
      <c r="P335" s="3" t="s">
        <v>65</v>
      </c>
      <c r="R335" s="3" t="s">
        <v>3084</v>
      </c>
      <c r="S335" s="4">
        <v>3</v>
      </c>
      <c r="T335" s="4">
        <v>3</v>
      </c>
      <c r="U335" s="5" t="s">
        <v>4456</v>
      </c>
      <c r="V335" s="5" t="s">
        <v>4456</v>
      </c>
      <c r="W335" s="5" t="s">
        <v>734</v>
      </c>
      <c r="X335" s="5" t="s">
        <v>734</v>
      </c>
      <c r="Y335" s="4">
        <v>356</v>
      </c>
      <c r="Z335" s="4">
        <v>324</v>
      </c>
      <c r="AA335" s="4">
        <v>353</v>
      </c>
      <c r="AB335" s="4">
        <v>1</v>
      </c>
      <c r="AC335" s="4">
        <v>3</v>
      </c>
      <c r="AD335" s="4">
        <v>9</v>
      </c>
      <c r="AE335" s="4">
        <v>12</v>
      </c>
      <c r="AF335" s="4">
        <v>2</v>
      </c>
      <c r="AG335" s="4">
        <v>3</v>
      </c>
      <c r="AH335" s="4">
        <v>2</v>
      </c>
      <c r="AI335" s="4">
        <v>2</v>
      </c>
      <c r="AJ335" s="4">
        <v>6</v>
      </c>
      <c r="AK335" s="4">
        <v>6</v>
      </c>
      <c r="AL335" s="4">
        <v>0</v>
      </c>
      <c r="AM335" s="4">
        <v>2</v>
      </c>
      <c r="AN335" s="4">
        <v>0</v>
      </c>
      <c r="AO335" s="4">
        <v>0</v>
      </c>
      <c r="AP335" s="3" t="s">
        <v>58</v>
      </c>
      <c r="AQ335" s="3" t="s">
        <v>69</v>
      </c>
      <c r="AR335" s="6" t="str">
        <f>HYPERLINK("http://catalog.hathitrust.org/Record/004729840","HathiTrust Record")</f>
        <v>HathiTrust Record</v>
      </c>
      <c r="AS335" s="6" t="str">
        <f>HYPERLINK("https://creighton-primo.hosted.exlibrisgroup.com/primo-explore/search?tab=default_tab&amp;search_scope=EVERYTHING&amp;vid=01CRU&amp;lang=en_US&amp;offset=0&amp;query=any,contains,991004319119702656","Catalog Record")</f>
        <v>Catalog Record</v>
      </c>
      <c r="AT335" s="6" t="str">
        <f>HYPERLINK("http://www.worldcat.org/oclc/53434822","WorldCat Record")</f>
        <v>WorldCat Record</v>
      </c>
      <c r="AU335" s="3" t="s">
        <v>4457</v>
      </c>
      <c r="AV335" s="3" t="s">
        <v>4458</v>
      </c>
      <c r="AW335" s="3" t="s">
        <v>4459</v>
      </c>
      <c r="AX335" s="3" t="s">
        <v>4459</v>
      </c>
      <c r="AY335" s="3" t="s">
        <v>4460</v>
      </c>
      <c r="AZ335" s="3" t="s">
        <v>74</v>
      </c>
      <c r="BB335" s="3" t="s">
        <v>4461</v>
      </c>
      <c r="BC335" s="3" t="s">
        <v>4462</v>
      </c>
      <c r="BD335" s="3" t="s">
        <v>4463</v>
      </c>
    </row>
    <row r="336" spans="1:56" ht="57.75" customHeight="1" x14ac:dyDescent="0.25">
      <c r="A336" s="7" t="s">
        <v>58</v>
      </c>
      <c r="B336" s="2" t="s">
        <v>4464</v>
      </c>
      <c r="C336" s="2" t="s">
        <v>4465</v>
      </c>
      <c r="D336" s="2" t="s">
        <v>4466</v>
      </c>
      <c r="F336" s="3" t="s">
        <v>58</v>
      </c>
      <c r="G336" s="3" t="s">
        <v>59</v>
      </c>
      <c r="H336" s="3" t="s">
        <v>58</v>
      </c>
      <c r="I336" s="3" t="s">
        <v>58</v>
      </c>
      <c r="J336" s="3" t="s">
        <v>60</v>
      </c>
      <c r="K336" s="2" t="s">
        <v>4467</v>
      </c>
      <c r="L336" s="2" t="s">
        <v>4468</v>
      </c>
      <c r="M336" s="3" t="s">
        <v>916</v>
      </c>
      <c r="O336" s="3" t="s">
        <v>64</v>
      </c>
      <c r="P336" s="3" t="s">
        <v>1392</v>
      </c>
      <c r="Q336" s="2" t="s">
        <v>4469</v>
      </c>
      <c r="R336" s="3" t="s">
        <v>3084</v>
      </c>
      <c r="S336" s="4">
        <v>2</v>
      </c>
      <c r="T336" s="4">
        <v>2</v>
      </c>
      <c r="U336" s="5" t="s">
        <v>4470</v>
      </c>
      <c r="V336" s="5" t="s">
        <v>4470</v>
      </c>
      <c r="W336" s="5" t="s">
        <v>2697</v>
      </c>
      <c r="X336" s="5" t="s">
        <v>2697</v>
      </c>
      <c r="Y336" s="4">
        <v>752</v>
      </c>
      <c r="Z336" s="4">
        <v>621</v>
      </c>
      <c r="AA336" s="4">
        <v>760</v>
      </c>
      <c r="AB336" s="4">
        <v>6</v>
      </c>
      <c r="AC336" s="4">
        <v>7</v>
      </c>
      <c r="AD336" s="4">
        <v>37</v>
      </c>
      <c r="AE336" s="4">
        <v>45</v>
      </c>
      <c r="AF336" s="4">
        <v>17</v>
      </c>
      <c r="AG336" s="4">
        <v>21</v>
      </c>
      <c r="AH336" s="4">
        <v>6</v>
      </c>
      <c r="AI336" s="4">
        <v>8</v>
      </c>
      <c r="AJ336" s="4">
        <v>19</v>
      </c>
      <c r="AK336" s="4">
        <v>21</v>
      </c>
      <c r="AL336" s="4">
        <v>5</v>
      </c>
      <c r="AM336" s="4">
        <v>6</v>
      </c>
      <c r="AN336" s="4">
        <v>0</v>
      </c>
      <c r="AO336" s="4">
        <v>0</v>
      </c>
      <c r="AP336" s="3" t="s">
        <v>58</v>
      </c>
      <c r="AQ336" s="3" t="s">
        <v>69</v>
      </c>
      <c r="AR336" s="6" t="str">
        <f>HYPERLINK("http://catalog.hathitrust.org/Record/000223623","HathiTrust Record")</f>
        <v>HathiTrust Record</v>
      </c>
      <c r="AS336" s="6" t="str">
        <f>HYPERLINK("https://creighton-primo.hosted.exlibrisgroup.com/primo-explore/search?tab=default_tab&amp;search_scope=EVERYTHING&amp;vid=01CRU&amp;lang=en_US&amp;offset=0&amp;query=any,contains,991005128159702656","Catalog Record")</f>
        <v>Catalog Record</v>
      </c>
      <c r="AT336" s="6" t="str">
        <f>HYPERLINK("http://www.worldcat.org/oclc/7554898","WorldCat Record")</f>
        <v>WorldCat Record</v>
      </c>
      <c r="AU336" s="3" t="s">
        <v>4471</v>
      </c>
      <c r="AV336" s="3" t="s">
        <v>4472</v>
      </c>
      <c r="AW336" s="3" t="s">
        <v>4473</v>
      </c>
      <c r="AX336" s="3" t="s">
        <v>4473</v>
      </c>
      <c r="AY336" s="3" t="s">
        <v>4474</v>
      </c>
      <c r="AZ336" s="3" t="s">
        <v>74</v>
      </c>
      <c r="BB336" s="3" t="s">
        <v>4475</v>
      </c>
      <c r="BC336" s="3" t="s">
        <v>4476</v>
      </c>
      <c r="BD336" s="3" t="s">
        <v>4477</v>
      </c>
    </row>
    <row r="337" spans="1:56" ht="57.75" customHeight="1" x14ac:dyDescent="0.25">
      <c r="A337" s="7" t="s">
        <v>58</v>
      </c>
      <c r="B337" s="2" t="s">
        <v>4478</v>
      </c>
      <c r="C337" s="2" t="s">
        <v>4479</v>
      </c>
      <c r="D337" s="2" t="s">
        <v>4480</v>
      </c>
      <c r="F337" s="3" t="s">
        <v>58</v>
      </c>
      <c r="G337" s="3" t="s">
        <v>59</v>
      </c>
      <c r="H337" s="3" t="s">
        <v>58</v>
      </c>
      <c r="I337" s="3" t="s">
        <v>58</v>
      </c>
      <c r="J337" s="3" t="s">
        <v>60</v>
      </c>
      <c r="L337" s="2" t="s">
        <v>4481</v>
      </c>
      <c r="M337" s="3" t="s">
        <v>1986</v>
      </c>
      <c r="O337" s="3" t="s">
        <v>64</v>
      </c>
      <c r="P337" s="3" t="s">
        <v>4482</v>
      </c>
      <c r="R337" s="3" t="s">
        <v>3084</v>
      </c>
      <c r="S337" s="4">
        <v>2</v>
      </c>
      <c r="T337" s="4">
        <v>2</v>
      </c>
      <c r="U337" s="5" t="s">
        <v>4483</v>
      </c>
      <c r="V337" s="5" t="s">
        <v>4483</v>
      </c>
      <c r="W337" s="5" t="s">
        <v>398</v>
      </c>
      <c r="X337" s="5" t="s">
        <v>398</v>
      </c>
      <c r="Y337" s="4">
        <v>403</v>
      </c>
      <c r="Z337" s="4">
        <v>361</v>
      </c>
      <c r="AA337" s="4">
        <v>430</v>
      </c>
      <c r="AB337" s="4">
        <v>2</v>
      </c>
      <c r="AC337" s="4">
        <v>3</v>
      </c>
      <c r="AD337" s="4">
        <v>18</v>
      </c>
      <c r="AE337" s="4">
        <v>21</v>
      </c>
      <c r="AF337" s="4">
        <v>8</v>
      </c>
      <c r="AG337" s="4">
        <v>9</v>
      </c>
      <c r="AH337" s="4">
        <v>5</v>
      </c>
      <c r="AI337" s="4">
        <v>6</v>
      </c>
      <c r="AJ337" s="4">
        <v>8</v>
      </c>
      <c r="AK337" s="4">
        <v>9</v>
      </c>
      <c r="AL337" s="4">
        <v>1</v>
      </c>
      <c r="AM337" s="4">
        <v>2</v>
      </c>
      <c r="AN337" s="4">
        <v>0</v>
      </c>
      <c r="AO337" s="4">
        <v>0</v>
      </c>
      <c r="AP337" s="3" t="s">
        <v>58</v>
      </c>
      <c r="AQ337" s="3" t="s">
        <v>58</v>
      </c>
      <c r="AS337" s="6" t="str">
        <f>HYPERLINK("https://creighton-primo.hosted.exlibrisgroup.com/primo-explore/search?tab=default_tab&amp;search_scope=EVERYTHING&amp;vid=01CRU&amp;lang=en_US&amp;offset=0&amp;query=any,contains,991004170279702656","Catalog Record")</f>
        <v>Catalog Record</v>
      </c>
      <c r="AT337" s="6" t="str">
        <f>HYPERLINK("http://www.worldcat.org/oclc/47929363","WorldCat Record")</f>
        <v>WorldCat Record</v>
      </c>
      <c r="AU337" s="3" t="s">
        <v>4484</v>
      </c>
      <c r="AV337" s="3" t="s">
        <v>4485</v>
      </c>
      <c r="AW337" s="3" t="s">
        <v>4486</v>
      </c>
      <c r="AX337" s="3" t="s">
        <v>4486</v>
      </c>
      <c r="AY337" s="3" t="s">
        <v>4487</v>
      </c>
      <c r="AZ337" s="3" t="s">
        <v>74</v>
      </c>
      <c r="BB337" s="3" t="s">
        <v>4488</v>
      </c>
      <c r="BC337" s="3" t="s">
        <v>4489</v>
      </c>
      <c r="BD337" s="3" t="s">
        <v>4490</v>
      </c>
    </row>
    <row r="338" spans="1:56" ht="57.75" customHeight="1" x14ac:dyDescent="0.25">
      <c r="A338" s="7" t="s">
        <v>58</v>
      </c>
      <c r="B338" s="2" t="s">
        <v>4491</v>
      </c>
      <c r="C338" s="2" t="s">
        <v>4492</v>
      </c>
      <c r="D338" s="2" t="s">
        <v>4493</v>
      </c>
      <c r="F338" s="3" t="s">
        <v>58</v>
      </c>
      <c r="G338" s="3" t="s">
        <v>59</v>
      </c>
      <c r="H338" s="3" t="s">
        <v>58</v>
      </c>
      <c r="I338" s="3" t="s">
        <v>58</v>
      </c>
      <c r="J338" s="3" t="s">
        <v>60</v>
      </c>
      <c r="K338" s="2" t="s">
        <v>4494</v>
      </c>
      <c r="L338" s="2" t="s">
        <v>4495</v>
      </c>
      <c r="M338" s="3" t="s">
        <v>621</v>
      </c>
      <c r="O338" s="3" t="s">
        <v>64</v>
      </c>
      <c r="P338" s="3" t="s">
        <v>179</v>
      </c>
      <c r="R338" s="3" t="s">
        <v>3084</v>
      </c>
      <c r="S338" s="4">
        <v>2</v>
      </c>
      <c r="T338" s="4">
        <v>2</v>
      </c>
      <c r="U338" s="5" t="s">
        <v>4496</v>
      </c>
      <c r="V338" s="5" t="s">
        <v>4496</v>
      </c>
      <c r="W338" s="5" t="s">
        <v>1858</v>
      </c>
      <c r="X338" s="5" t="s">
        <v>1858</v>
      </c>
      <c r="Y338" s="4">
        <v>573</v>
      </c>
      <c r="Z338" s="4">
        <v>500</v>
      </c>
      <c r="AA338" s="4">
        <v>500</v>
      </c>
      <c r="AB338" s="4">
        <v>5</v>
      </c>
      <c r="AC338" s="4">
        <v>5</v>
      </c>
      <c r="AD338" s="4">
        <v>29</v>
      </c>
      <c r="AE338" s="4">
        <v>29</v>
      </c>
      <c r="AF338" s="4">
        <v>12</v>
      </c>
      <c r="AG338" s="4">
        <v>12</v>
      </c>
      <c r="AH338" s="4">
        <v>6</v>
      </c>
      <c r="AI338" s="4">
        <v>6</v>
      </c>
      <c r="AJ338" s="4">
        <v>17</v>
      </c>
      <c r="AK338" s="4">
        <v>17</v>
      </c>
      <c r="AL338" s="4">
        <v>4</v>
      </c>
      <c r="AM338" s="4">
        <v>4</v>
      </c>
      <c r="AN338" s="4">
        <v>0</v>
      </c>
      <c r="AO338" s="4">
        <v>0</v>
      </c>
      <c r="AP338" s="3" t="s">
        <v>58</v>
      </c>
      <c r="AQ338" s="3" t="s">
        <v>58</v>
      </c>
      <c r="AS338" s="6" t="str">
        <f>HYPERLINK("https://creighton-primo.hosted.exlibrisgroup.com/primo-explore/search?tab=default_tab&amp;search_scope=EVERYTHING&amp;vid=01CRU&amp;lang=en_US&amp;offset=0&amp;query=any,contains,991001225499702656","Catalog Record")</f>
        <v>Catalog Record</v>
      </c>
      <c r="AT338" s="6" t="str">
        <f>HYPERLINK("http://www.worldcat.org/oclc/199741","WorldCat Record")</f>
        <v>WorldCat Record</v>
      </c>
      <c r="AU338" s="3" t="s">
        <v>4497</v>
      </c>
      <c r="AV338" s="3" t="s">
        <v>4498</v>
      </c>
      <c r="AW338" s="3" t="s">
        <v>4499</v>
      </c>
      <c r="AX338" s="3" t="s">
        <v>4499</v>
      </c>
      <c r="AY338" s="3" t="s">
        <v>4500</v>
      </c>
      <c r="AZ338" s="3" t="s">
        <v>74</v>
      </c>
      <c r="BB338" s="3" t="s">
        <v>4501</v>
      </c>
      <c r="BC338" s="3" t="s">
        <v>4502</v>
      </c>
      <c r="BD338" s="3" t="s">
        <v>4503</v>
      </c>
    </row>
    <row r="339" spans="1:56" ht="57.75" customHeight="1" x14ac:dyDescent="0.25">
      <c r="A339" s="7" t="s">
        <v>58</v>
      </c>
      <c r="B339" s="2" t="s">
        <v>4504</v>
      </c>
      <c r="C339" s="2" t="s">
        <v>4505</v>
      </c>
      <c r="D339" s="2" t="s">
        <v>4506</v>
      </c>
      <c r="F339" s="3" t="s">
        <v>58</v>
      </c>
      <c r="G339" s="3" t="s">
        <v>59</v>
      </c>
      <c r="H339" s="3" t="s">
        <v>58</v>
      </c>
      <c r="I339" s="3" t="s">
        <v>58</v>
      </c>
      <c r="J339" s="3" t="s">
        <v>60</v>
      </c>
      <c r="L339" s="2" t="s">
        <v>4507</v>
      </c>
      <c r="M339" s="3" t="s">
        <v>1362</v>
      </c>
      <c r="O339" s="3" t="s">
        <v>64</v>
      </c>
      <c r="P339" s="3" t="s">
        <v>1392</v>
      </c>
      <c r="R339" s="3" t="s">
        <v>3084</v>
      </c>
      <c r="S339" s="4">
        <v>8</v>
      </c>
      <c r="T339" s="4">
        <v>8</v>
      </c>
      <c r="U339" s="5" t="s">
        <v>4508</v>
      </c>
      <c r="V339" s="5" t="s">
        <v>4508</v>
      </c>
      <c r="W339" s="5" t="s">
        <v>2697</v>
      </c>
      <c r="X339" s="5" t="s">
        <v>2697</v>
      </c>
      <c r="Y339" s="4">
        <v>442</v>
      </c>
      <c r="Z339" s="4">
        <v>319</v>
      </c>
      <c r="AA339" s="4">
        <v>383</v>
      </c>
      <c r="AB339" s="4">
        <v>3</v>
      </c>
      <c r="AC339" s="4">
        <v>3</v>
      </c>
      <c r="AD339" s="4">
        <v>16</v>
      </c>
      <c r="AE339" s="4">
        <v>18</v>
      </c>
      <c r="AF339" s="4">
        <v>7</v>
      </c>
      <c r="AG339" s="4">
        <v>8</v>
      </c>
      <c r="AH339" s="4">
        <v>3</v>
      </c>
      <c r="AI339" s="4">
        <v>4</v>
      </c>
      <c r="AJ339" s="4">
        <v>8</v>
      </c>
      <c r="AK339" s="4">
        <v>9</v>
      </c>
      <c r="AL339" s="4">
        <v>2</v>
      </c>
      <c r="AM339" s="4">
        <v>2</v>
      </c>
      <c r="AN339" s="4">
        <v>0</v>
      </c>
      <c r="AO339" s="4">
        <v>0</v>
      </c>
      <c r="AP339" s="3" t="s">
        <v>58</v>
      </c>
      <c r="AQ339" s="3" t="s">
        <v>69</v>
      </c>
      <c r="AR339" s="6" t="str">
        <f>HYPERLINK("http://catalog.hathitrust.org/Record/008545835","HathiTrust Record")</f>
        <v>HathiTrust Record</v>
      </c>
      <c r="AS339" s="6" t="str">
        <f>HYPERLINK("https://creighton-primo.hosted.exlibrisgroup.com/primo-explore/search?tab=default_tab&amp;search_scope=EVERYTHING&amp;vid=01CRU&amp;lang=en_US&amp;offset=0&amp;query=any,contains,991001047779702656","Catalog Record")</f>
        <v>Catalog Record</v>
      </c>
      <c r="AT339" s="6" t="str">
        <f>HYPERLINK("http://www.worldcat.org/oclc/15630254","WorldCat Record")</f>
        <v>WorldCat Record</v>
      </c>
      <c r="AU339" s="3" t="s">
        <v>4509</v>
      </c>
      <c r="AV339" s="3" t="s">
        <v>4510</v>
      </c>
      <c r="AW339" s="3" t="s">
        <v>4511</v>
      </c>
      <c r="AX339" s="3" t="s">
        <v>4511</v>
      </c>
      <c r="AY339" s="3" t="s">
        <v>4512</v>
      </c>
      <c r="AZ339" s="3" t="s">
        <v>74</v>
      </c>
      <c r="BB339" s="3" t="s">
        <v>4513</v>
      </c>
      <c r="BC339" s="3" t="s">
        <v>4514</v>
      </c>
      <c r="BD339" s="3" t="s">
        <v>4515</v>
      </c>
    </row>
    <row r="340" spans="1:56" ht="57.75" customHeight="1" x14ac:dyDescent="0.25">
      <c r="A340" s="7" t="s">
        <v>58</v>
      </c>
      <c r="B340" s="2" t="s">
        <v>4516</v>
      </c>
      <c r="C340" s="2" t="s">
        <v>4517</v>
      </c>
      <c r="D340" s="2" t="s">
        <v>4518</v>
      </c>
      <c r="F340" s="3" t="s">
        <v>58</v>
      </c>
      <c r="G340" s="3" t="s">
        <v>59</v>
      </c>
      <c r="H340" s="3" t="s">
        <v>58</v>
      </c>
      <c r="I340" s="3" t="s">
        <v>58</v>
      </c>
      <c r="J340" s="3" t="s">
        <v>60</v>
      </c>
      <c r="K340" s="2" t="s">
        <v>4519</v>
      </c>
      <c r="L340" s="2" t="s">
        <v>4520</v>
      </c>
      <c r="M340" s="3" t="s">
        <v>1774</v>
      </c>
      <c r="O340" s="3" t="s">
        <v>64</v>
      </c>
      <c r="P340" s="3" t="s">
        <v>4521</v>
      </c>
      <c r="R340" s="3" t="s">
        <v>3084</v>
      </c>
      <c r="S340" s="4">
        <v>18</v>
      </c>
      <c r="T340" s="4">
        <v>18</v>
      </c>
      <c r="U340" s="5" t="s">
        <v>4522</v>
      </c>
      <c r="V340" s="5" t="s">
        <v>4522</v>
      </c>
      <c r="W340" s="5" t="s">
        <v>4523</v>
      </c>
      <c r="X340" s="5" t="s">
        <v>4523</v>
      </c>
      <c r="Y340" s="4">
        <v>939</v>
      </c>
      <c r="Z340" s="4">
        <v>776</v>
      </c>
      <c r="AA340" s="4">
        <v>1470</v>
      </c>
      <c r="AB340" s="4">
        <v>8</v>
      </c>
      <c r="AC340" s="4">
        <v>9</v>
      </c>
      <c r="AD340" s="4">
        <v>32</v>
      </c>
      <c r="AE340" s="4">
        <v>44</v>
      </c>
      <c r="AF340" s="4">
        <v>10</v>
      </c>
      <c r="AG340" s="4">
        <v>19</v>
      </c>
      <c r="AH340" s="4">
        <v>7</v>
      </c>
      <c r="AI340" s="4">
        <v>9</v>
      </c>
      <c r="AJ340" s="4">
        <v>12</v>
      </c>
      <c r="AK340" s="4">
        <v>16</v>
      </c>
      <c r="AL340" s="4">
        <v>7</v>
      </c>
      <c r="AM340" s="4">
        <v>8</v>
      </c>
      <c r="AN340" s="4">
        <v>1</v>
      </c>
      <c r="AO340" s="4">
        <v>1</v>
      </c>
      <c r="AP340" s="3" t="s">
        <v>58</v>
      </c>
      <c r="AQ340" s="3" t="s">
        <v>69</v>
      </c>
      <c r="AR340" s="6" t="str">
        <f>HYPERLINK("http://catalog.hathitrust.org/Record/002974177","HathiTrust Record")</f>
        <v>HathiTrust Record</v>
      </c>
      <c r="AS340" s="6" t="str">
        <f>HYPERLINK("https://creighton-primo.hosted.exlibrisgroup.com/primo-explore/search?tab=default_tab&amp;search_scope=EVERYTHING&amp;vid=01CRU&amp;lang=en_US&amp;offset=0&amp;query=any,contains,991002317179702656","Catalog Record")</f>
        <v>Catalog Record</v>
      </c>
      <c r="AT340" s="6" t="str">
        <f>HYPERLINK("http://www.worldcat.org/oclc/30070157","WorldCat Record")</f>
        <v>WorldCat Record</v>
      </c>
      <c r="AU340" s="3" t="s">
        <v>4524</v>
      </c>
      <c r="AV340" s="3" t="s">
        <v>4525</v>
      </c>
      <c r="AW340" s="3" t="s">
        <v>4526</v>
      </c>
      <c r="AX340" s="3" t="s">
        <v>4526</v>
      </c>
      <c r="AY340" s="3" t="s">
        <v>4527</v>
      </c>
      <c r="AZ340" s="3" t="s">
        <v>74</v>
      </c>
      <c r="BB340" s="3" t="s">
        <v>4528</v>
      </c>
      <c r="BC340" s="3" t="s">
        <v>4529</v>
      </c>
      <c r="BD340" s="3" t="s">
        <v>4530</v>
      </c>
    </row>
    <row r="341" spans="1:56" ht="57.75" customHeight="1" x14ac:dyDescent="0.25">
      <c r="A341" s="7" t="s">
        <v>58</v>
      </c>
      <c r="B341" s="2" t="s">
        <v>4531</v>
      </c>
      <c r="C341" s="2" t="s">
        <v>4532</v>
      </c>
      <c r="D341" s="2" t="s">
        <v>4533</v>
      </c>
      <c r="F341" s="3" t="s">
        <v>58</v>
      </c>
      <c r="G341" s="3" t="s">
        <v>59</v>
      </c>
      <c r="H341" s="3" t="s">
        <v>58</v>
      </c>
      <c r="I341" s="3" t="s">
        <v>58</v>
      </c>
      <c r="J341" s="3" t="s">
        <v>60</v>
      </c>
      <c r="K341" s="2" t="s">
        <v>4534</v>
      </c>
      <c r="L341" s="2" t="s">
        <v>4535</v>
      </c>
      <c r="M341" s="3" t="s">
        <v>323</v>
      </c>
      <c r="O341" s="3" t="s">
        <v>64</v>
      </c>
      <c r="P341" s="3" t="s">
        <v>179</v>
      </c>
      <c r="Q341" s="2" t="s">
        <v>4536</v>
      </c>
      <c r="R341" s="3" t="s">
        <v>3084</v>
      </c>
      <c r="S341" s="4">
        <v>1</v>
      </c>
      <c r="T341" s="4">
        <v>1</v>
      </c>
      <c r="U341" s="5" t="s">
        <v>4537</v>
      </c>
      <c r="V341" s="5" t="s">
        <v>4537</v>
      </c>
      <c r="W341" s="5" t="s">
        <v>4538</v>
      </c>
      <c r="X341" s="5" t="s">
        <v>4538</v>
      </c>
      <c r="Y341" s="4">
        <v>612</v>
      </c>
      <c r="Z341" s="4">
        <v>552</v>
      </c>
      <c r="AA341" s="4">
        <v>554</v>
      </c>
      <c r="AB341" s="4">
        <v>5</v>
      </c>
      <c r="AC341" s="4">
        <v>5</v>
      </c>
      <c r="AD341" s="4">
        <v>25</v>
      </c>
      <c r="AE341" s="4">
        <v>25</v>
      </c>
      <c r="AF341" s="4">
        <v>7</v>
      </c>
      <c r="AG341" s="4">
        <v>7</v>
      </c>
      <c r="AH341" s="4">
        <v>8</v>
      </c>
      <c r="AI341" s="4">
        <v>8</v>
      </c>
      <c r="AJ341" s="4">
        <v>12</v>
      </c>
      <c r="AK341" s="4">
        <v>12</v>
      </c>
      <c r="AL341" s="4">
        <v>3</v>
      </c>
      <c r="AM341" s="4">
        <v>3</v>
      </c>
      <c r="AN341" s="4">
        <v>0</v>
      </c>
      <c r="AO341" s="4">
        <v>0</v>
      </c>
      <c r="AP341" s="3" t="s">
        <v>58</v>
      </c>
      <c r="AQ341" s="3" t="s">
        <v>69</v>
      </c>
      <c r="AR341" s="6" t="str">
        <f>HYPERLINK("http://catalog.hathitrust.org/Record/001831236","HathiTrust Record")</f>
        <v>HathiTrust Record</v>
      </c>
      <c r="AS341" s="6" t="str">
        <f>HYPERLINK("https://creighton-primo.hosted.exlibrisgroup.com/primo-explore/search?tab=default_tab&amp;search_scope=EVERYTHING&amp;vid=01CRU&amp;lang=en_US&amp;offset=0&amp;query=any,contains,991001271659702656","Catalog Record")</f>
        <v>Catalog Record</v>
      </c>
      <c r="AT341" s="6" t="str">
        <f>HYPERLINK("http://www.worldcat.org/oclc/17841535","WorldCat Record")</f>
        <v>WorldCat Record</v>
      </c>
      <c r="AU341" s="3" t="s">
        <v>4539</v>
      </c>
      <c r="AV341" s="3" t="s">
        <v>4540</v>
      </c>
      <c r="AW341" s="3" t="s">
        <v>4541</v>
      </c>
      <c r="AX341" s="3" t="s">
        <v>4541</v>
      </c>
      <c r="AY341" s="3" t="s">
        <v>4542</v>
      </c>
      <c r="AZ341" s="3" t="s">
        <v>74</v>
      </c>
      <c r="BB341" s="3" t="s">
        <v>4543</v>
      </c>
      <c r="BC341" s="3" t="s">
        <v>4544</v>
      </c>
      <c r="BD341" s="3" t="s">
        <v>4545</v>
      </c>
    </row>
    <row r="342" spans="1:56" ht="57.75" customHeight="1" x14ac:dyDescent="0.25">
      <c r="A342" s="7" t="s">
        <v>58</v>
      </c>
      <c r="B342" s="2" t="s">
        <v>4546</v>
      </c>
      <c r="C342" s="2" t="s">
        <v>4547</v>
      </c>
      <c r="D342" s="2" t="s">
        <v>4548</v>
      </c>
      <c r="F342" s="3" t="s">
        <v>58</v>
      </c>
      <c r="G342" s="3" t="s">
        <v>59</v>
      </c>
      <c r="H342" s="3" t="s">
        <v>58</v>
      </c>
      <c r="I342" s="3" t="s">
        <v>58</v>
      </c>
      <c r="J342" s="3" t="s">
        <v>60</v>
      </c>
      <c r="K342" s="2" t="s">
        <v>4549</v>
      </c>
      <c r="L342" s="2" t="s">
        <v>4550</v>
      </c>
      <c r="M342" s="3" t="s">
        <v>1061</v>
      </c>
      <c r="O342" s="3" t="s">
        <v>64</v>
      </c>
      <c r="P342" s="3" t="s">
        <v>412</v>
      </c>
      <c r="R342" s="3" t="s">
        <v>3084</v>
      </c>
      <c r="S342" s="4">
        <v>1</v>
      </c>
      <c r="T342" s="4">
        <v>1</v>
      </c>
      <c r="U342" s="5" t="s">
        <v>4551</v>
      </c>
      <c r="V342" s="5" t="s">
        <v>4551</v>
      </c>
      <c r="W342" s="5" t="s">
        <v>4552</v>
      </c>
      <c r="X342" s="5" t="s">
        <v>4552</v>
      </c>
      <c r="Y342" s="4">
        <v>436</v>
      </c>
      <c r="Z342" s="4">
        <v>322</v>
      </c>
      <c r="AA342" s="4">
        <v>322</v>
      </c>
      <c r="AB342" s="4">
        <v>2</v>
      </c>
      <c r="AC342" s="4">
        <v>2</v>
      </c>
      <c r="AD342" s="4">
        <v>18</v>
      </c>
      <c r="AE342" s="4">
        <v>18</v>
      </c>
      <c r="AF342" s="4">
        <v>6</v>
      </c>
      <c r="AG342" s="4">
        <v>6</v>
      </c>
      <c r="AH342" s="4">
        <v>6</v>
      </c>
      <c r="AI342" s="4">
        <v>6</v>
      </c>
      <c r="AJ342" s="4">
        <v>8</v>
      </c>
      <c r="AK342" s="4">
        <v>8</v>
      </c>
      <c r="AL342" s="4">
        <v>1</v>
      </c>
      <c r="AM342" s="4">
        <v>1</v>
      </c>
      <c r="AN342" s="4">
        <v>0</v>
      </c>
      <c r="AO342" s="4">
        <v>0</v>
      </c>
      <c r="AP342" s="3" t="s">
        <v>58</v>
      </c>
      <c r="AQ342" s="3" t="s">
        <v>58</v>
      </c>
      <c r="AS342" s="6" t="str">
        <f>HYPERLINK("https://creighton-primo.hosted.exlibrisgroup.com/primo-explore/search?tab=default_tab&amp;search_scope=EVERYTHING&amp;vid=01CRU&amp;lang=en_US&amp;offset=0&amp;query=any,contains,991004604509702656","Catalog Record")</f>
        <v>Catalog Record</v>
      </c>
      <c r="AT342" s="6" t="str">
        <f>HYPERLINK("http://www.worldcat.org/oclc/50339550","WorldCat Record")</f>
        <v>WorldCat Record</v>
      </c>
      <c r="AU342" s="3" t="s">
        <v>4553</v>
      </c>
      <c r="AV342" s="3" t="s">
        <v>4554</v>
      </c>
      <c r="AW342" s="3" t="s">
        <v>4555</v>
      </c>
      <c r="AX342" s="3" t="s">
        <v>4555</v>
      </c>
      <c r="AY342" s="3" t="s">
        <v>4556</v>
      </c>
      <c r="AZ342" s="3" t="s">
        <v>74</v>
      </c>
      <c r="BB342" s="3" t="s">
        <v>4557</v>
      </c>
      <c r="BC342" s="3" t="s">
        <v>4558</v>
      </c>
      <c r="BD342" s="3" t="s">
        <v>4559</v>
      </c>
    </row>
    <row r="343" spans="1:56" ht="57.75" customHeight="1" x14ac:dyDescent="0.25">
      <c r="A343" s="7" t="s">
        <v>58</v>
      </c>
      <c r="B343" s="2" t="s">
        <v>4560</v>
      </c>
      <c r="C343" s="2" t="s">
        <v>4561</v>
      </c>
      <c r="D343" s="2" t="s">
        <v>4562</v>
      </c>
      <c r="F343" s="3" t="s">
        <v>58</v>
      </c>
      <c r="G343" s="3" t="s">
        <v>59</v>
      </c>
      <c r="H343" s="3" t="s">
        <v>58</v>
      </c>
      <c r="I343" s="3" t="s">
        <v>58</v>
      </c>
      <c r="J343" s="3" t="s">
        <v>60</v>
      </c>
      <c r="K343" s="2" t="s">
        <v>4563</v>
      </c>
      <c r="L343" s="2" t="s">
        <v>4564</v>
      </c>
      <c r="M343" s="3" t="s">
        <v>1774</v>
      </c>
      <c r="O343" s="3" t="s">
        <v>64</v>
      </c>
      <c r="P343" s="3" t="s">
        <v>412</v>
      </c>
      <c r="R343" s="3" t="s">
        <v>3084</v>
      </c>
      <c r="S343" s="4">
        <v>2</v>
      </c>
      <c r="T343" s="4">
        <v>2</v>
      </c>
      <c r="U343" s="5" t="s">
        <v>4565</v>
      </c>
      <c r="V343" s="5" t="s">
        <v>4565</v>
      </c>
      <c r="W343" s="5" t="s">
        <v>4565</v>
      </c>
      <c r="X343" s="5" t="s">
        <v>4565</v>
      </c>
      <c r="Y343" s="4">
        <v>676</v>
      </c>
      <c r="Z343" s="4">
        <v>423</v>
      </c>
      <c r="AA343" s="4">
        <v>425</v>
      </c>
      <c r="AB343" s="4">
        <v>6</v>
      </c>
      <c r="AC343" s="4">
        <v>6</v>
      </c>
      <c r="AD343" s="4">
        <v>17</v>
      </c>
      <c r="AE343" s="4">
        <v>17</v>
      </c>
      <c r="AF343" s="4">
        <v>2</v>
      </c>
      <c r="AG343" s="4">
        <v>2</v>
      </c>
      <c r="AH343" s="4">
        <v>6</v>
      </c>
      <c r="AI343" s="4">
        <v>6</v>
      </c>
      <c r="AJ343" s="4">
        <v>8</v>
      </c>
      <c r="AK343" s="4">
        <v>8</v>
      </c>
      <c r="AL343" s="4">
        <v>4</v>
      </c>
      <c r="AM343" s="4">
        <v>4</v>
      </c>
      <c r="AN343" s="4">
        <v>0</v>
      </c>
      <c r="AO343" s="4">
        <v>0</v>
      </c>
      <c r="AP343" s="3" t="s">
        <v>58</v>
      </c>
      <c r="AQ343" s="3" t="s">
        <v>69</v>
      </c>
      <c r="AR343" s="6" t="str">
        <f>HYPERLINK("http://catalog.hathitrust.org/Record/003014845","HathiTrust Record")</f>
        <v>HathiTrust Record</v>
      </c>
      <c r="AS343" s="6" t="str">
        <f>HYPERLINK("https://creighton-primo.hosted.exlibrisgroup.com/primo-explore/search?tab=default_tab&amp;search_scope=EVERYTHING&amp;vid=01CRU&amp;lang=en_US&amp;offset=0&amp;query=any,contains,991004604469702656","Catalog Record")</f>
        <v>Catalog Record</v>
      </c>
      <c r="AT343" s="6" t="str">
        <f>HYPERLINK("http://www.worldcat.org/oclc/31657169","WorldCat Record")</f>
        <v>WorldCat Record</v>
      </c>
      <c r="AU343" s="3" t="s">
        <v>4566</v>
      </c>
      <c r="AV343" s="3" t="s">
        <v>4567</v>
      </c>
      <c r="AW343" s="3" t="s">
        <v>4568</v>
      </c>
      <c r="AX343" s="3" t="s">
        <v>4568</v>
      </c>
      <c r="AY343" s="3" t="s">
        <v>4569</v>
      </c>
      <c r="AZ343" s="3" t="s">
        <v>74</v>
      </c>
      <c r="BB343" s="3" t="s">
        <v>4570</v>
      </c>
      <c r="BC343" s="3" t="s">
        <v>4571</v>
      </c>
      <c r="BD343" s="3" t="s">
        <v>4572</v>
      </c>
    </row>
    <row r="344" spans="1:56" ht="57.75" customHeight="1" x14ac:dyDescent="0.25">
      <c r="A344" s="7" t="s">
        <v>58</v>
      </c>
      <c r="B344" s="2" t="s">
        <v>4573</v>
      </c>
      <c r="C344" s="2" t="s">
        <v>4574</v>
      </c>
      <c r="D344" s="2" t="s">
        <v>4575</v>
      </c>
      <c r="F344" s="3" t="s">
        <v>58</v>
      </c>
      <c r="G344" s="3" t="s">
        <v>59</v>
      </c>
      <c r="H344" s="3" t="s">
        <v>58</v>
      </c>
      <c r="I344" s="3" t="s">
        <v>58</v>
      </c>
      <c r="J344" s="3" t="s">
        <v>60</v>
      </c>
      <c r="L344" s="2" t="s">
        <v>4576</v>
      </c>
      <c r="M344" s="3" t="s">
        <v>3099</v>
      </c>
      <c r="O344" s="3" t="s">
        <v>64</v>
      </c>
      <c r="P344" s="3" t="s">
        <v>65</v>
      </c>
      <c r="R344" s="3" t="s">
        <v>3084</v>
      </c>
      <c r="S344" s="4">
        <v>6</v>
      </c>
      <c r="T344" s="4">
        <v>6</v>
      </c>
      <c r="U344" s="5" t="s">
        <v>1901</v>
      </c>
      <c r="V344" s="5" t="s">
        <v>1901</v>
      </c>
      <c r="W344" s="5" t="s">
        <v>4577</v>
      </c>
      <c r="X344" s="5" t="s">
        <v>4577</v>
      </c>
      <c r="Y344" s="4">
        <v>349</v>
      </c>
      <c r="Z344" s="4">
        <v>279</v>
      </c>
      <c r="AA344" s="4">
        <v>282</v>
      </c>
      <c r="AB344" s="4">
        <v>2</v>
      </c>
      <c r="AC344" s="4">
        <v>2</v>
      </c>
      <c r="AD344" s="4">
        <v>11</v>
      </c>
      <c r="AE344" s="4">
        <v>11</v>
      </c>
      <c r="AF344" s="4">
        <v>2</v>
      </c>
      <c r="AG344" s="4">
        <v>2</v>
      </c>
      <c r="AH344" s="4">
        <v>3</v>
      </c>
      <c r="AI344" s="4">
        <v>3</v>
      </c>
      <c r="AJ344" s="4">
        <v>8</v>
      </c>
      <c r="AK344" s="4">
        <v>8</v>
      </c>
      <c r="AL344" s="4">
        <v>1</v>
      </c>
      <c r="AM344" s="4">
        <v>1</v>
      </c>
      <c r="AN344" s="4">
        <v>0</v>
      </c>
      <c r="AO344" s="4">
        <v>0</v>
      </c>
      <c r="AP344" s="3" t="s">
        <v>58</v>
      </c>
      <c r="AQ344" s="3" t="s">
        <v>58</v>
      </c>
      <c r="AS344" s="6" t="str">
        <f>HYPERLINK("https://creighton-primo.hosted.exlibrisgroup.com/primo-explore/search?tab=default_tab&amp;search_scope=EVERYTHING&amp;vid=01CRU&amp;lang=en_US&amp;offset=0&amp;query=any,contains,991002753009702656","Catalog Record")</f>
        <v>Catalog Record</v>
      </c>
      <c r="AT344" s="6" t="str">
        <f>HYPERLINK("http://www.worldcat.org/oclc/36126490","WorldCat Record")</f>
        <v>WorldCat Record</v>
      </c>
      <c r="AU344" s="3" t="s">
        <v>4578</v>
      </c>
      <c r="AV344" s="3" t="s">
        <v>4579</v>
      </c>
      <c r="AW344" s="3" t="s">
        <v>4580</v>
      </c>
      <c r="AX344" s="3" t="s">
        <v>4580</v>
      </c>
      <c r="AY344" s="3" t="s">
        <v>4581</v>
      </c>
      <c r="AZ344" s="3" t="s">
        <v>74</v>
      </c>
      <c r="BB344" s="3" t="s">
        <v>4582</v>
      </c>
      <c r="BC344" s="3" t="s">
        <v>4583</v>
      </c>
      <c r="BD344" s="3" t="s">
        <v>4584</v>
      </c>
    </row>
    <row r="345" spans="1:56" ht="57.75" customHeight="1" x14ac:dyDescent="0.25">
      <c r="A345" s="7" t="s">
        <v>58</v>
      </c>
      <c r="B345" s="2" t="s">
        <v>4585</v>
      </c>
      <c r="C345" s="2" t="s">
        <v>4586</v>
      </c>
      <c r="D345" s="2" t="s">
        <v>4587</v>
      </c>
      <c r="F345" s="3" t="s">
        <v>58</v>
      </c>
      <c r="G345" s="3" t="s">
        <v>59</v>
      </c>
      <c r="H345" s="3" t="s">
        <v>58</v>
      </c>
      <c r="I345" s="3" t="s">
        <v>58</v>
      </c>
      <c r="J345" s="3" t="s">
        <v>60</v>
      </c>
      <c r="K345" s="2" t="s">
        <v>4588</v>
      </c>
      <c r="L345" s="2" t="s">
        <v>4213</v>
      </c>
      <c r="M345" s="3" t="s">
        <v>1886</v>
      </c>
      <c r="O345" s="3" t="s">
        <v>64</v>
      </c>
      <c r="P345" s="3" t="s">
        <v>278</v>
      </c>
      <c r="R345" s="3" t="s">
        <v>3084</v>
      </c>
      <c r="S345" s="4">
        <v>3</v>
      </c>
      <c r="T345" s="4">
        <v>3</v>
      </c>
      <c r="U345" s="5" t="s">
        <v>4589</v>
      </c>
      <c r="V345" s="5" t="s">
        <v>4589</v>
      </c>
      <c r="W345" s="5" t="s">
        <v>4590</v>
      </c>
      <c r="X345" s="5" t="s">
        <v>4590</v>
      </c>
      <c r="Y345" s="4">
        <v>775</v>
      </c>
      <c r="Z345" s="4">
        <v>614</v>
      </c>
      <c r="AA345" s="4">
        <v>615</v>
      </c>
      <c r="AB345" s="4">
        <v>5</v>
      </c>
      <c r="AC345" s="4">
        <v>5</v>
      </c>
      <c r="AD345" s="4">
        <v>33</v>
      </c>
      <c r="AE345" s="4">
        <v>33</v>
      </c>
      <c r="AF345" s="4">
        <v>13</v>
      </c>
      <c r="AG345" s="4">
        <v>13</v>
      </c>
      <c r="AH345" s="4">
        <v>10</v>
      </c>
      <c r="AI345" s="4">
        <v>10</v>
      </c>
      <c r="AJ345" s="4">
        <v>18</v>
      </c>
      <c r="AK345" s="4">
        <v>18</v>
      </c>
      <c r="AL345" s="4">
        <v>3</v>
      </c>
      <c r="AM345" s="4">
        <v>3</v>
      </c>
      <c r="AN345" s="4">
        <v>0</v>
      </c>
      <c r="AO345" s="4">
        <v>0</v>
      </c>
      <c r="AP345" s="3" t="s">
        <v>58</v>
      </c>
      <c r="AQ345" s="3" t="s">
        <v>58</v>
      </c>
      <c r="AS345" s="6" t="str">
        <f>HYPERLINK("https://creighton-primo.hosted.exlibrisgroup.com/primo-explore/search?tab=default_tab&amp;search_scope=EVERYTHING&amp;vid=01CRU&amp;lang=en_US&amp;offset=0&amp;query=any,contains,991000606659702656","Catalog Record")</f>
        <v>Catalog Record</v>
      </c>
      <c r="AT345" s="6" t="str">
        <f>HYPERLINK("http://www.worldcat.org/oclc/11866964","WorldCat Record")</f>
        <v>WorldCat Record</v>
      </c>
      <c r="AU345" s="3" t="s">
        <v>4591</v>
      </c>
      <c r="AV345" s="3" t="s">
        <v>4592</v>
      </c>
      <c r="AW345" s="3" t="s">
        <v>4593</v>
      </c>
      <c r="AX345" s="3" t="s">
        <v>4593</v>
      </c>
      <c r="AY345" s="3" t="s">
        <v>4594</v>
      </c>
      <c r="AZ345" s="3" t="s">
        <v>74</v>
      </c>
      <c r="BB345" s="3" t="s">
        <v>4595</v>
      </c>
      <c r="BC345" s="3" t="s">
        <v>4596</v>
      </c>
      <c r="BD345" s="3" t="s">
        <v>4597</v>
      </c>
    </row>
    <row r="346" spans="1:56" ht="57.75" customHeight="1" x14ac:dyDescent="0.25">
      <c r="A346" s="7" t="s">
        <v>58</v>
      </c>
      <c r="B346" s="2" t="s">
        <v>4598</v>
      </c>
      <c r="C346" s="2" t="s">
        <v>4599</v>
      </c>
      <c r="D346" s="2" t="s">
        <v>4600</v>
      </c>
      <c r="F346" s="3" t="s">
        <v>58</v>
      </c>
      <c r="G346" s="3" t="s">
        <v>59</v>
      </c>
      <c r="H346" s="3" t="s">
        <v>58</v>
      </c>
      <c r="I346" s="3" t="s">
        <v>58</v>
      </c>
      <c r="J346" s="3" t="s">
        <v>60</v>
      </c>
      <c r="K346" s="2" t="s">
        <v>4601</v>
      </c>
      <c r="L346" s="2" t="s">
        <v>4602</v>
      </c>
      <c r="M346" s="3" t="s">
        <v>1061</v>
      </c>
      <c r="O346" s="3" t="s">
        <v>64</v>
      </c>
      <c r="P346" s="3" t="s">
        <v>278</v>
      </c>
      <c r="R346" s="3" t="s">
        <v>3084</v>
      </c>
      <c r="S346" s="4">
        <v>2</v>
      </c>
      <c r="T346" s="4">
        <v>2</v>
      </c>
      <c r="U346" s="5" t="s">
        <v>4603</v>
      </c>
      <c r="V346" s="5" t="s">
        <v>4603</v>
      </c>
      <c r="W346" s="5" t="s">
        <v>4604</v>
      </c>
      <c r="X346" s="5" t="s">
        <v>4604</v>
      </c>
      <c r="Y346" s="4">
        <v>389</v>
      </c>
      <c r="Z346" s="4">
        <v>304</v>
      </c>
      <c r="AA346" s="4">
        <v>305</v>
      </c>
      <c r="AB346" s="4">
        <v>3</v>
      </c>
      <c r="AC346" s="4">
        <v>3</v>
      </c>
      <c r="AD346" s="4">
        <v>21</v>
      </c>
      <c r="AE346" s="4">
        <v>21</v>
      </c>
      <c r="AF346" s="4">
        <v>9</v>
      </c>
      <c r="AG346" s="4">
        <v>9</v>
      </c>
      <c r="AH346" s="4">
        <v>6</v>
      </c>
      <c r="AI346" s="4">
        <v>6</v>
      </c>
      <c r="AJ346" s="4">
        <v>9</v>
      </c>
      <c r="AK346" s="4">
        <v>9</v>
      </c>
      <c r="AL346" s="4">
        <v>2</v>
      </c>
      <c r="AM346" s="4">
        <v>2</v>
      </c>
      <c r="AN346" s="4">
        <v>0</v>
      </c>
      <c r="AO346" s="4">
        <v>0</v>
      </c>
      <c r="AP346" s="3" t="s">
        <v>58</v>
      </c>
      <c r="AQ346" s="3" t="s">
        <v>58</v>
      </c>
      <c r="AS346" s="6" t="str">
        <f>HYPERLINK("https://creighton-primo.hosted.exlibrisgroup.com/primo-explore/search?tab=default_tab&amp;search_scope=EVERYTHING&amp;vid=01CRU&amp;lang=en_US&amp;offset=0&amp;query=any,contains,991004849559702656","Catalog Record")</f>
        <v>Catalog Record</v>
      </c>
      <c r="AT346" s="6" t="str">
        <f>HYPERLINK("http://www.worldcat.org/oclc/51613913","WorldCat Record")</f>
        <v>WorldCat Record</v>
      </c>
      <c r="AU346" s="3" t="s">
        <v>4605</v>
      </c>
      <c r="AV346" s="3" t="s">
        <v>4606</v>
      </c>
      <c r="AW346" s="3" t="s">
        <v>4607</v>
      </c>
      <c r="AX346" s="3" t="s">
        <v>4607</v>
      </c>
      <c r="AY346" s="3" t="s">
        <v>4608</v>
      </c>
      <c r="AZ346" s="3" t="s">
        <v>74</v>
      </c>
      <c r="BB346" s="3" t="s">
        <v>4609</v>
      </c>
      <c r="BC346" s="3" t="s">
        <v>4610</v>
      </c>
      <c r="BD346" s="3" t="s">
        <v>4611</v>
      </c>
    </row>
    <row r="347" spans="1:56" ht="57.75" customHeight="1" x14ac:dyDescent="0.25">
      <c r="A347" s="7" t="s">
        <v>58</v>
      </c>
      <c r="B347" s="2" t="s">
        <v>4612</v>
      </c>
      <c r="C347" s="2" t="s">
        <v>4613</v>
      </c>
      <c r="D347" s="2" t="s">
        <v>4614</v>
      </c>
      <c r="F347" s="3" t="s">
        <v>58</v>
      </c>
      <c r="G347" s="3" t="s">
        <v>59</v>
      </c>
      <c r="H347" s="3" t="s">
        <v>58</v>
      </c>
      <c r="I347" s="3" t="s">
        <v>58</v>
      </c>
      <c r="J347" s="3" t="s">
        <v>60</v>
      </c>
      <c r="K347" s="2" t="s">
        <v>4615</v>
      </c>
      <c r="L347" s="2" t="s">
        <v>4213</v>
      </c>
      <c r="M347" s="3" t="s">
        <v>1886</v>
      </c>
      <c r="O347" s="3" t="s">
        <v>64</v>
      </c>
      <c r="P347" s="3" t="s">
        <v>278</v>
      </c>
      <c r="R347" s="3" t="s">
        <v>3084</v>
      </c>
      <c r="S347" s="4">
        <v>2</v>
      </c>
      <c r="T347" s="4">
        <v>2</v>
      </c>
      <c r="U347" s="5" t="s">
        <v>4616</v>
      </c>
      <c r="V347" s="5" t="s">
        <v>4616</v>
      </c>
      <c r="W347" s="5" t="s">
        <v>2697</v>
      </c>
      <c r="X347" s="5" t="s">
        <v>2697</v>
      </c>
      <c r="Y347" s="4">
        <v>793</v>
      </c>
      <c r="Z347" s="4">
        <v>616</v>
      </c>
      <c r="AA347" s="4">
        <v>617</v>
      </c>
      <c r="AB347" s="4">
        <v>5</v>
      </c>
      <c r="AC347" s="4">
        <v>5</v>
      </c>
      <c r="AD347" s="4">
        <v>32</v>
      </c>
      <c r="AE347" s="4">
        <v>32</v>
      </c>
      <c r="AF347" s="4">
        <v>11</v>
      </c>
      <c r="AG347" s="4">
        <v>11</v>
      </c>
      <c r="AH347" s="4">
        <v>10</v>
      </c>
      <c r="AI347" s="4">
        <v>10</v>
      </c>
      <c r="AJ347" s="4">
        <v>18</v>
      </c>
      <c r="AK347" s="4">
        <v>18</v>
      </c>
      <c r="AL347" s="4">
        <v>3</v>
      </c>
      <c r="AM347" s="4">
        <v>3</v>
      </c>
      <c r="AN347" s="4">
        <v>0</v>
      </c>
      <c r="AO347" s="4">
        <v>0</v>
      </c>
      <c r="AP347" s="3" t="s">
        <v>58</v>
      </c>
      <c r="AQ347" s="3" t="s">
        <v>58</v>
      </c>
      <c r="AS347" s="6" t="str">
        <f>HYPERLINK("https://creighton-primo.hosted.exlibrisgroup.com/primo-explore/search?tab=default_tab&amp;search_scope=EVERYTHING&amp;vid=01CRU&amp;lang=en_US&amp;offset=0&amp;query=any,contains,991000781419702656","Catalog Record")</f>
        <v>Catalog Record</v>
      </c>
      <c r="AT347" s="6" t="str">
        <f>HYPERLINK("http://www.worldcat.org/oclc/13096227","WorldCat Record")</f>
        <v>WorldCat Record</v>
      </c>
      <c r="AU347" s="3" t="s">
        <v>4617</v>
      </c>
      <c r="AV347" s="3" t="s">
        <v>4618</v>
      </c>
      <c r="AW347" s="3" t="s">
        <v>4619</v>
      </c>
      <c r="AX347" s="3" t="s">
        <v>4619</v>
      </c>
      <c r="AY347" s="3" t="s">
        <v>4620</v>
      </c>
      <c r="AZ347" s="3" t="s">
        <v>74</v>
      </c>
      <c r="BB347" s="3" t="s">
        <v>4621</v>
      </c>
      <c r="BC347" s="3" t="s">
        <v>4622</v>
      </c>
      <c r="BD347" s="3" t="s">
        <v>4623</v>
      </c>
    </row>
    <row r="348" spans="1:56" ht="57.75" customHeight="1" x14ac:dyDescent="0.25">
      <c r="A348" s="7" t="s">
        <v>58</v>
      </c>
      <c r="B348" s="2" t="s">
        <v>4624</v>
      </c>
      <c r="C348" s="2" t="s">
        <v>4625</v>
      </c>
      <c r="D348" s="2" t="s">
        <v>4626</v>
      </c>
      <c r="F348" s="3" t="s">
        <v>58</v>
      </c>
      <c r="G348" s="3" t="s">
        <v>59</v>
      </c>
      <c r="H348" s="3" t="s">
        <v>58</v>
      </c>
      <c r="I348" s="3" t="s">
        <v>58</v>
      </c>
      <c r="J348" s="3" t="s">
        <v>60</v>
      </c>
      <c r="K348" s="2" t="s">
        <v>4627</v>
      </c>
      <c r="L348" s="2" t="s">
        <v>4628</v>
      </c>
      <c r="M348" s="3" t="s">
        <v>564</v>
      </c>
      <c r="O348" s="3" t="s">
        <v>64</v>
      </c>
      <c r="P348" s="3" t="s">
        <v>453</v>
      </c>
      <c r="R348" s="3" t="s">
        <v>3084</v>
      </c>
      <c r="S348" s="4">
        <v>12</v>
      </c>
      <c r="T348" s="4">
        <v>12</v>
      </c>
      <c r="U348" s="5" t="s">
        <v>4629</v>
      </c>
      <c r="V348" s="5" t="s">
        <v>4629</v>
      </c>
      <c r="W348" s="5" t="s">
        <v>1858</v>
      </c>
      <c r="X348" s="5" t="s">
        <v>1858</v>
      </c>
      <c r="Y348" s="4">
        <v>490</v>
      </c>
      <c r="Z348" s="4">
        <v>444</v>
      </c>
      <c r="AA348" s="4">
        <v>610</v>
      </c>
      <c r="AB348" s="4">
        <v>2</v>
      </c>
      <c r="AC348" s="4">
        <v>2</v>
      </c>
      <c r="AD348" s="4">
        <v>20</v>
      </c>
      <c r="AE348" s="4">
        <v>26</v>
      </c>
      <c r="AF348" s="4">
        <v>7</v>
      </c>
      <c r="AG348" s="4">
        <v>10</v>
      </c>
      <c r="AH348" s="4">
        <v>6</v>
      </c>
      <c r="AI348" s="4">
        <v>7</v>
      </c>
      <c r="AJ348" s="4">
        <v>12</v>
      </c>
      <c r="AK348" s="4">
        <v>15</v>
      </c>
      <c r="AL348" s="4">
        <v>1</v>
      </c>
      <c r="AM348" s="4">
        <v>1</v>
      </c>
      <c r="AN348" s="4">
        <v>0</v>
      </c>
      <c r="AO348" s="4">
        <v>0</v>
      </c>
      <c r="AP348" s="3" t="s">
        <v>58</v>
      </c>
      <c r="AQ348" s="3" t="s">
        <v>58</v>
      </c>
      <c r="AS348" s="6" t="str">
        <f>HYPERLINK("https://creighton-primo.hosted.exlibrisgroup.com/primo-explore/search?tab=default_tab&amp;search_scope=EVERYTHING&amp;vid=01CRU&amp;lang=en_US&amp;offset=0&amp;query=any,contains,991000830419702656","Catalog Record")</f>
        <v>Catalog Record</v>
      </c>
      <c r="AT348" s="6" t="str">
        <f>HYPERLINK("http://www.worldcat.org/oclc/147611","WorldCat Record")</f>
        <v>WorldCat Record</v>
      </c>
      <c r="AU348" s="3" t="s">
        <v>4630</v>
      </c>
      <c r="AV348" s="3" t="s">
        <v>4631</v>
      </c>
      <c r="AW348" s="3" t="s">
        <v>4632</v>
      </c>
      <c r="AX348" s="3" t="s">
        <v>4632</v>
      </c>
      <c r="AY348" s="3" t="s">
        <v>4633</v>
      </c>
      <c r="AZ348" s="3" t="s">
        <v>74</v>
      </c>
      <c r="BC348" s="3" t="s">
        <v>4634</v>
      </c>
      <c r="BD348" s="3" t="s">
        <v>4635</v>
      </c>
    </row>
    <row r="349" spans="1:56" ht="57.75" customHeight="1" x14ac:dyDescent="0.25">
      <c r="A349" s="7" t="s">
        <v>58</v>
      </c>
      <c r="B349" s="2" t="s">
        <v>4636</v>
      </c>
      <c r="C349" s="2" t="s">
        <v>4637</v>
      </c>
      <c r="D349" s="2" t="s">
        <v>4638</v>
      </c>
      <c r="F349" s="3" t="s">
        <v>58</v>
      </c>
      <c r="G349" s="3" t="s">
        <v>59</v>
      </c>
      <c r="H349" s="3" t="s">
        <v>58</v>
      </c>
      <c r="I349" s="3" t="s">
        <v>58</v>
      </c>
      <c r="J349" s="3" t="s">
        <v>60</v>
      </c>
      <c r="L349" s="2" t="s">
        <v>4639</v>
      </c>
      <c r="M349" s="3" t="s">
        <v>63</v>
      </c>
      <c r="O349" s="3" t="s">
        <v>64</v>
      </c>
      <c r="P349" s="3" t="s">
        <v>453</v>
      </c>
      <c r="R349" s="3" t="s">
        <v>3084</v>
      </c>
      <c r="S349" s="4">
        <v>1</v>
      </c>
      <c r="T349" s="4">
        <v>1</v>
      </c>
      <c r="U349" s="5" t="s">
        <v>4640</v>
      </c>
      <c r="V349" s="5" t="s">
        <v>4640</v>
      </c>
      <c r="W349" s="5" t="s">
        <v>1858</v>
      </c>
      <c r="X349" s="5" t="s">
        <v>1858</v>
      </c>
      <c r="Y349" s="4">
        <v>585</v>
      </c>
      <c r="Z349" s="4">
        <v>516</v>
      </c>
      <c r="AA349" s="4">
        <v>524</v>
      </c>
      <c r="AB349" s="4">
        <v>4</v>
      </c>
      <c r="AC349" s="4">
        <v>4</v>
      </c>
      <c r="AD349" s="4">
        <v>27</v>
      </c>
      <c r="AE349" s="4">
        <v>27</v>
      </c>
      <c r="AF349" s="4">
        <v>12</v>
      </c>
      <c r="AG349" s="4">
        <v>12</v>
      </c>
      <c r="AH349" s="4">
        <v>6</v>
      </c>
      <c r="AI349" s="4">
        <v>6</v>
      </c>
      <c r="AJ349" s="4">
        <v>12</v>
      </c>
      <c r="AK349" s="4">
        <v>12</v>
      </c>
      <c r="AL349" s="4">
        <v>3</v>
      </c>
      <c r="AM349" s="4">
        <v>3</v>
      </c>
      <c r="AN349" s="4">
        <v>0</v>
      </c>
      <c r="AO349" s="4">
        <v>0</v>
      </c>
      <c r="AP349" s="3" t="s">
        <v>58</v>
      </c>
      <c r="AQ349" s="3" t="s">
        <v>69</v>
      </c>
      <c r="AR349" s="6" t="str">
        <f>HYPERLINK("http://catalog.hathitrust.org/Record/000741086","HathiTrust Record")</f>
        <v>HathiTrust Record</v>
      </c>
      <c r="AS349" s="6" t="str">
        <f>HYPERLINK("https://creighton-primo.hosted.exlibrisgroup.com/primo-explore/search?tab=default_tab&amp;search_scope=EVERYTHING&amp;vid=01CRU&amp;lang=en_US&amp;offset=0&amp;query=any,contains,991004198819702656","Catalog Record")</f>
        <v>Catalog Record</v>
      </c>
      <c r="AT349" s="6" t="str">
        <f>HYPERLINK("http://www.worldcat.org/oclc/2646249","WorldCat Record")</f>
        <v>WorldCat Record</v>
      </c>
      <c r="AU349" s="3" t="s">
        <v>4641</v>
      </c>
      <c r="AV349" s="3" t="s">
        <v>4642</v>
      </c>
      <c r="AW349" s="3" t="s">
        <v>4643</v>
      </c>
      <c r="AX349" s="3" t="s">
        <v>4643</v>
      </c>
      <c r="AY349" s="3" t="s">
        <v>4644</v>
      </c>
      <c r="AZ349" s="3" t="s">
        <v>74</v>
      </c>
      <c r="BB349" s="3" t="s">
        <v>4645</v>
      </c>
      <c r="BC349" s="3" t="s">
        <v>4646</v>
      </c>
      <c r="BD349" s="3" t="s">
        <v>4647</v>
      </c>
    </row>
    <row r="350" spans="1:56" ht="57.75" customHeight="1" x14ac:dyDescent="0.25">
      <c r="A350" s="7" t="s">
        <v>58</v>
      </c>
      <c r="B350" s="2" t="s">
        <v>4648</v>
      </c>
      <c r="C350" s="2" t="s">
        <v>4649</v>
      </c>
      <c r="D350" s="2" t="s">
        <v>4650</v>
      </c>
      <c r="F350" s="3" t="s">
        <v>58</v>
      </c>
      <c r="G350" s="3" t="s">
        <v>59</v>
      </c>
      <c r="H350" s="3" t="s">
        <v>58</v>
      </c>
      <c r="I350" s="3" t="s">
        <v>58</v>
      </c>
      <c r="J350" s="3" t="s">
        <v>60</v>
      </c>
      <c r="K350" s="2" t="s">
        <v>4651</v>
      </c>
      <c r="L350" s="2" t="s">
        <v>4652</v>
      </c>
      <c r="M350" s="3" t="s">
        <v>539</v>
      </c>
      <c r="N350" s="2" t="s">
        <v>1475</v>
      </c>
      <c r="O350" s="3" t="s">
        <v>64</v>
      </c>
      <c r="P350" s="3" t="s">
        <v>65</v>
      </c>
      <c r="Q350" s="2" t="s">
        <v>4653</v>
      </c>
      <c r="R350" s="3" t="s">
        <v>3084</v>
      </c>
      <c r="S350" s="4">
        <v>1</v>
      </c>
      <c r="T350" s="4">
        <v>1</v>
      </c>
      <c r="U350" s="5" t="s">
        <v>4654</v>
      </c>
      <c r="V350" s="5" t="s">
        <v>4654</v>
      </c>
      <c r="W350" s="5" t="s">
        <v>1858</v>
      </c>
      <c r="X350" s="5" t="s">
        <v>1858</v>
      </c>
      <c r="Y350" s="4">
        <v>1047</v>
      </c>
      <c r="Z350" s="4">
        <v>914</v>
      </c>
      <c r="AA350" s="4">
        <v>941</v>
      </c>
      <c r="AB350" s="4">
        <v>2</v>
      </c>
      <c r="AC350" s="4">
        <v>2</v>
      </c>
      <c r="AD350" s="4">
        <v>33</v>
      </c>
      <c r="AE350" s="4">
        <v>33</v>
      </c>
      <c r="AF350" s="4">
        <v>15</v>
      </c>
      <c r="AG350" s="4">
        <v>15</v>
      </c>
      <c r="AH350" s="4">
        <v>10</v>
      </c>
      <c r="AI350" s="4">
        <v>10</v>
      </c>
      <c r="AJ350" s="4">
        <v>17</v>
      </c>
      <c r="AK350" s="4">
        <v>17</v>
      </c>
      <c r="AL350" s="4">
        <v>1</v>
      </c>
      <c r="AM350" s="4">
        <v>1</v>
      </c>
      <c r="AN350" s="4">
        <v>0</v>
      </c>
      <c r="AO350" s="4">
        <v>0</v>
      </c>
      <c r="AP350" s="3" t="s">
        <v>58</v>
      </c>
      <c r="AQ350" s="3" t="s">
        <v>69</v>
      </c>
      <c r="AR350" s="6" t="str">
        <f>HYPERLINK("http://catalog.hathitrust.org/Record/001473011","HathiTrust Record")</f>
        <v>HathiTrust Record</v>
      </c>
      <c r="AS350" s="6" t="str">
        <f>HYPERLINK("https://creighton-primo.hosted.exlibrisgroup.com/primo-explore/search?tab=default_tab&amp;search_scope=EVERYTHING&amp;vid=01CRU&amp;lang=en_US&amp;offset=0&amp;query=any,contains,991002777699702656","Catalog Record")</f>
        <v>Catalog Record</v>
      </c>
      <c r="AT350" s="6" t="str">
        <f>HYPERLINK("http://www.worldcat.org/oclc/439215","WorldCat Record")</f>
        <v>WorldCat Record</v>
      </c>
      <c r="AU350" s="3" t="s">
        <v>4655</v>
      </c>
      <c r="AV350" s="3" t="s">
        <v>4656</v>
      </c>
      <c r="AW350" s="3" t="s">
        <v>4657</v>
      </c>
      <c r="AX350" s="3" t="s">
        <v>4657</v>
      </c>
      <c r="AY350" s="3" t="s">
        <v>4658</v>
      </c>
      <c r="AZ350" s="3" t="s">
        <v>74</v>
      </c>
      <c r="BC350" s="3" t="s">
        <v>4659</v>
      </c>
      <c r="BD350" s="3" t="s">
        <v>4660</v>
      </c>
    </row>
    <row r="351" spans="1:56" ht="57.75" customHeight="1" x14ac:dyDescent="0.25">
      <c r="A351" s="7" t="s">
        <v>58</v>
      </c>
      <c r="B351" s="2" t="s">
        <v>4661</v>
      </c>
      <c r="C351" s="2" t="s">
        <v>4662</v>
      </c>
      <c r="D351" s="2" t="s">
        <v>4663</v>
      </c>
      <c r="F351" s="3" t="s">
        <v>58</v>
      </c>
      <c r="G351" s="3" t="s">
        <v>59</v>
      </c>
      <c r="H351" s="3" t="s">
        <v>58</v>
      </c>
      <c r="I351" s="3" t="s">
        <v>58</v>
      </c>
      <c r="J351" s="3" t="s">
        <v>60</v>
      </c>
      <c r="K351" s="2" t="s">
        <v>4664</v>
      </c>
      <c r="L351" s="2" t="s">
        <v>4665</v>
      </c>
      <c r="M351" s="3" t="s">
        <v>1061</v>
      </c>
      <c r="O351" s="3" t="s">
        <v>64</v>
      </c>
      <c r="P351" s="3" t="s">
        <v>4272</v>
      </c>
      <c r="R351" s="3" t="s">
        <v>3084</v>
      </c>
      <c r="S351" s="4">
        <v>2</v>
      </c>
      <c r="T351" s="4">
        <v>2</v>
      </c>
      <c r="U351" s="5" t="s">
        <v>4666</v>
      </c>
      <c r="V351" s="5" t="s">
        <v>4666</v>
      </c>
      <c r="W351" s="5" t="s">
        <v>4666</v>
      </c>
      <c r="X351" s="5" t="s">
        <v>4666</v>
      </c>
      <c r="Y351" s="4">
        <v>537</v>
      </c>
      <c r="Z351" s="4">
        <v>479</v>
      </c>
      <c r="AA351" s="4">
        <v>482</v>
      </c>
      <c r="AB351" s="4">
        <v>3</v>
      </c>
      <c r="AC351" s="4">
        <v>3</v>
      </c>
      <c r="AD351" s="4">
        <v>23</v>
      </c>
      <c r="AE351" s="4">
        <v>23</v>
      </c>
      <c r="AF351" s="4">
        <v>13</v>
      </c>
      <c r="AG351" s="4">
        <v>13</v>
      </c>
      <c r="AH351" s="4">
        <v>3</v>
      </c>
      <c r="AI351" s="4">
        <v>3</v>
      </c>
      <c r="AJ351" s="4">
        <v>10</v>
      </c>
      <c r="AK351" s="4">
        <v>10</v>
      </c>
      <c r="AL351" s="4">
        <v>2</v>
      </c>
      <c r="AM351" s="4">
        <v>2</v>
      </c>
      <c r="AN351" s="4">
        <v>0</v>
      </c>
      <c r="AO351" s="4">
        <v>0</v>
      </c>
      <c r="AP351" s="3" t="s">
        <v>58</v>
      </c>
      <c r="AQ351" s="3" t="s">
        <v>69</v>
      </c>
      <c r="AR351" s="6" t="str">
        <f>HYPERLINK("http://catalog.hathitrust.org/Record/004350152","HathiTrust Record")</f>
        <v>HathiTrust Record</v>
      </c>
      <c r="AS351" s="6" t="str">
        <f>HYPERLINK("https://creighton-primo.hosted.exlibrisgroup.com/primo-explore/search?tab=default_tab&amp;search_scope=EVERYTHING&amp;vid=01CRU&amp;lang=en_US&amp;offset=0&amp;query=any,contains,991004541189702656","Catalog Record")</f>
        <v>Catalog Record</v>
      </c>
      <c r="AT351" s="6" t="str">
        <f>HYPERLINK("http://www.worldcat.org/oclc/51914256","WorldCat Record")</f>
        <v>WorldCat Record</v>
      </c>
      <c r="AU351" s="3" t="s">
        <v>4667</v>
      </c>
      <c r="AV351" s="3" t="s">
        <v>4668</v>
      </c>
      <c r="AW351" s="3" t="s">
        <v>4669</v>
      </c>
      <c r="AX351" s="3" t="s">
        <v>4669</v>
      </c>
      <c r="AY351" s="3" t="s">
        <v>4670</v>
      </c>
      <c r="AZ351" s="3" t="s">
        <v>74</v>
      </c>
      <c r="BB351" s="3" t="s">
        <v>4671</v>
      </c>
      <c r="BC351" s="3" t="s">
        <v>4672</v>
      </c>
      <c r="BD351" s="3" t="s">
        <v>4673</v>
      </c>
    </row>
    <row r="352" spans="1:56" ht="57.75" customHeight="1" x14ac:dyDescent="0.25">
      <c r="A352" s="7" t="s">
        <v>58</v>
      </c>
      <c r="B352" s="2" t="s">
        <v>4674</v>
      </c>
      <c r="C352" s="2" t="s">
        <v>4675</v>
      </c>
      <c r="D352" s="2" t="s">
        <v>4676</v>
      </c>
      <c r="F352" s="3" t="s">
        <v>58</v>
      </c>
      <c r="G352" s="3" t="s">
        <v>59</v>
      </c>
      <c r="H352" s="3" t="s">
        <v>58</v>
      </c>
      <c r="I352" s="3" t="s">
        <v>58</v>
      </c>
      <c r="J352" s="3" t="s">
        <v>60</v>
      </c>
      <c r="K352" s="2" t="s">
        <v>4677</v>
      </c>
      <c r="L352" s="2" t="s">
        <v>4678</v>
      </c>
      <c r="M352" s="3" t="s">
        <v>205</v>
      </c>
      <c r="O352" s="3" t="s">
        <v>64</v>
      </c>
      <c r="P352" s="3" t="s">
        <v>65</v>
      </c>
      <c r="Q352" s="2" t="s">
        <v>4679</v>
      </c>
      <c r="R352" s="3" t="s">
        <v>3084</v>
      </c>
      <c r="S352" s="4">
        <v>7</v>
      </c>
      <c r="T352" s="4">
        <v>7</v>
      </c>
      <c r="U352" s="5" t="s">
        <v>4680</v>
      </c>
      <c r="V352" s="5" t="s">
        <v>4680</v>
      </c>
      <c r="W352" s="5" t="s">
        <v>2697</v>
      </c>
      <c r="X352" s="5" t="s">
        <v>2697</v>
      </c>
      <c r="Y352" s="4">
        <v>485</v>
      </c>
      <c r="Z352" s="4">
        <v>378</v>
      </c>
      <c r="AA352" s="4">
        <v>546</v>
      </c>
      <c r="AB352" s="4">
        <v>3</v>
      </c>
      <c r="AC352" s="4">
        <v>3</v>
      </c>
      <c r="AD352" s="4">
        <v>23</v>
      </c>
      <c r="AE352" s="4">
        <v>30</v>
      </c>
      <c r="AF352" s="4">
        <v>7</v>
      </c>
      <c r="AG352" s="4">
        <v>11</v>
      </c>
      <c r="AH352" s="4">
        <v>7</v>
      </c>
      <c r="AI352" s="4">
        <v>10</v>
      </c>
      <c r="AJ352" s="4">
        <v>15</v>
      </c>
      <c r="AK352" s="4">
        <v>17</v>
      </c>
      <c r="AL352" s="4">
        <v>2</v>
      </c>
      <c r="AM352" s="4">
        <v>2</v>
      </c>
      <c r="AN352" s="4">
        <v>0</v>
      </c>
      <c r="AO352" s="4">
        <v>0</v>
      </c>
      <c r="AP352" s="3" t="s">
        <v>58</v>
      </c>
      <c r="AQ352" s="3" t="s">
        <v>69</v>
      </c>
      <c r="AR352" s="6" t="str">
        <f>HYPERLINK("http://catalog.hathitrust.org/Record/000303473","HathiTrust Record")</f>
        <v>HathiTrust Record</v>
      </c>
      <c r="AS352" s="6" t="str">
        <f>HYPERLINK("https://creighton-primo.hosted.exlibrisgroup.com/primo-explore/search?tab=default_tab&amp;search_scope=EVERYTHING&amp;vid=01CRU&amp;lang=en_US&amp;offset=0&amp;query=any,contains,991004778469702656","Catalog Record")</f>
        <v>Catalog Record</v>
      </c>
      <c r="AT352" s="6" t="str">
        <f>HYPERLINK("http://www.worldcat.org/oclc/5101878","WorldCat Record")</f>
        <v>WorldCat Record</v>
      </c>
      <c r="AU352" s="3" t="s">
        <v>4681</v>
      </c>
      <c r="AV352" s="3" t="s">
        <v>4682</v>
      </c>
      <c r="AW352" s="3" t="s">
        <v>4683</v>
      </c>
      <c r="AX352" s="3" t="s">
        <v>4683</v>
      </c>
      <c r="AY352" s="3" t="s">
        <v>4684</v>
      </c>
      <c r="AZ352" s="3" t="s">
        <v>74</v>
      </c>
      <c r="BB352" s="3" t="s">
        <v>4685</v>
      </c>
      <c r="BC352" s="3" t="s">
        <v>4686</v>
      </c>
      <c r="BD352" s="3" t="s">
        <v>4687</v>
      </c>
    </row>
    <row r="353" spans="1:56" ht="57.75" customHeight="1" x14ac:dyDescent="0.25">
      <c r="A353" s="7" t="s">
        <v>58</v>
      </c>
      <c r="B353" s="2" t="s">
        <v>4688</v>
      </c>
      <c r="C353" s="2" t="s">
        <v>4689</v>
      </c>
      <c r="D353" s="2" t="s">
        <v>4690</v>
      </c>
      <c r="F353" s="3" t="s">
        <v>58</v>
      </c>
      <c r="G353" s="3" t="s">
        <v>59</v>
      </c>
      <c r="H353" s="3" t="s">
        <v>58</v>
      </c>
      <c r="I353" s="3" t="s">
        <v>58</v>
      </c>
      <c r="J353" s="3" t="s">
        <v>60</v>
      </c>
      <c r="L353" s="2" t="s">
        <v>4691</v>
      </c>
      <c r="M353" s="3" t="s">
        <v>875</v>
      </c>
      <c r="O353" s="3" t="s">
        <v>64</v>
      </c>
      <c r="P353" s="3" t="s">
        <v>1392</v>
      </c>
      <c r="Q353" s="2" t="s">
        <v>4692</v>
      </c>
      <c r="R353" s="3" t="s">
        <v>3084</v>
      </c>
      <c r="S353" s="4">
        <v>4</v>
      </c>
      <c r="T353" s="4">
        <v>4</v>
      </c>
      <c r="U353" s="5" t="s">
        <v>4693</v>
      </c>
      <c r="V353" s="5" t="s">
        <v>4693</v>
      </c>
      <c r="W353" s="5" t="s">
        <v>4694</v>
      </c>
      <c r="X353" s="5" t="s">
        <v>4694</v>
      </c>
      <c r="Y353" s="4">
        <v>633</v>
      </c>
      <c r="Z353" s="4">
        <v>486</v>
      </c>
      <c r="AA353" s="4">
        <v>639</v>
      </c>
      <c r="AB353" s="4">
        <v>6</v>
      </c>
      <c r="AC353" s="4">
        <v>6</v>
      </c>
      <c r="AD353" s="4">
        <v>29</v>
      </c>
      <c r="AE353" s="4">
        <v>38</v>
      </c>
      <c r="AF353" s="4">
        <v>9</v>
      </c>
      <c r="AG353" s="4">
        <v>14</v>
      </c>
      <c r="AH353" s="4">
        <v>9</v>
      </c>
      <c r="AI353" s="4">
        <v>10</v>
      </c>
      <c r="AJ353" s="4">
        <v>13</v>
      </c>
      <c r="AK353" s="4">
        <v>18</v>
      </c>
      <c r="AL353" s="4">
        <v>5</v>
      </c>
      <c r="AM353" s="4">
        <v>5</v>
      </c>
      <c r="AN353" s="4">
        <v>0</v>
      </c>
      <c r="AO353" s="4">
        <v>0</v>
      </c>
      <c r="AP353" s="3" t="s">
        <v>58</v>
      </c>
      <c r="AQ353" s="3" t="s">
        <v>69</v>
      </c>
      <c r="AR353" s="6" t="str">
        <f>HYPERLINK("http://catalog.hathitrust.org/Record/002458050","HathiTrust Record")</f>
        <v>HathiTrust Record</v>
      </c>
      <c r="AS353" s="6" t="str">
        <f>HYPERLINK("https://creighton-primo.hosted.exlibrisgroup.com/primo-explore/search?tab=default_tab&amp;search_scope=EVERYTHING&amp;vid=01CRU&amp;lang=en_US&amp;offset=0&amp;query=any,contains,991001701039702656","Catalog Record")</f>
        <v>Catalog Record</v>
      </c>
      <c r="AT353" s="6" t="str">
        <f>HYPERLINK("http://www.worldcat.org/oclc/21523640","WorldCat Record")</f>
        <v>WorldCat Record</v>
      </c>
      <c r="AU353" s="3" t="s">
        <v>4695</v>
      </c>
      <c r="AV353" s="3" t="s">
        <v>4696</v>
      </c>
      <c r="AW353" s="3" t="s">
        <v>4697</v>
      </c>
      <c r="AX353" s="3" t="s">
        <v>4697</v>
      </c>
      <c r="AY353" s="3" t="s">
        <v>4698</v>
      </c>
      <c r="AZ353" s="3" t="s">
        <v>74</v>
      </c>
      <c r="BB353" s="3" t="s">
        <v>4699</v>
      </c>
      <c r="BC353" s="3" t="s">
        <v>4700</v>
      </c>
      <c r="BD353" s="3" t="s">
        <v>4701</v>
      </c>
    </row>
    <row r="354" spans="1:56" ht="57.75" customHeight="1" x14ac:dyDescent="0.25">
      <c r="A354" s="7" t="s">
        <v>58</v>
      </c>
      <c r="B354" s="2" t="s">
        <v>4702</v>
      </c>
      <c r="C354" s="2" t="s">
        <v>4703</v>
      </c>
      <c r="D354" s="2" t="s">
        <v>4704</v>
      </c>
      <c r="F354" s="3" t="s">
        <v>58</v>
      </c>
      <c r="G354" s="3" t="s">
        <v>59</v>
      </c>
      <c r="H354" s="3" t="s">
        <v>58</v>
      </c>
      <c r="I354" s="3" t="s">
        <v>58</v>
      </c>
      <c r="J354" s="3" t="s">
        <v>60</v>
      </c>
      <c r="K354" s="2" t="s">
        <v>4705</v>
      </c>
      <c r="L354" s="2" t="s">
        <v>4706</v>
      </c>
      <c r="M354" s="3" t="s">
        <v>747</v>
      </c>
      <c r="O354" s="3" t="s">
        <v>64</v>
      </c>
      <c r="P354" s="3" t="s">
        <v>1841</v>
      </c>
      <c r="R354" s="3" t="s">
        <v>3084</v>
      </c>
      <c r="S354" s="4">
        <v>6</v>
      </c>
      <c r="T354" s="4">
        <v>6</v>
      </c>
      <c r="U354" s="5" t="s">
        <v>4707</v>
      </c>
      <c r="V354" s="5" t="s">
        <v>4707</v>
      </c>
      <c r="W354" s="5" t="s">
        <v>1858</v>
      </c>
      <c r="X354" s="5" t="s">
        <v>1858</v>
      </c>
      <c r="Y354" s="4">
        <v>395</v>
      </c>
      <c r="Z354" s="4">
        <v>329</v>
      </c>
      <c r="AA354" s="4">
        <v>331</v>
      </c>
      <c r="AB354" s="4">
        <v>3</v>
      </c>
      <c r="AC354" s="4">
        <v>3</v>
      </c>
      <c r="AD354" s="4">
        <v>14</v>
      </c>
      <c r="AE354" s="4">
        <v>14</v>
      </c>
      <c r="AF354" s="4">
        <v>3</v>
      </c>
      <c r="AG354" s="4">
        <v>3</v>
      </c>
      <c r="AH354" s="4">
        <v>5</v>
      </c>
      <c r="AI354" s="4">
        <v>5</v>
      </c>
      <c r="AJ354" s="4">
        <v>7</v>
      </c>
      <c r="AK354" s="4">
        <v>7</v>
      </c>
      <c r="AL354" s="4">
        <v>2</v>
      </c>
      <c r="AM354" s="4">
        <v>2</v>
      </c>
      <c r="AN354" s="4">
        <v>0</v>
      </c>
      <c r="AO354" s="4">
        <v>0</v>
      </c>
      <c r="AP354" s="3" t="s">
        <v>58</v>
      </c>
      <c r="AQ354" s="3" t="s">
        <v>69</v>
      </c>
      <c r="AR354" s="6" t="str">
        <f>HYPERLINK("http://catalog.hathitrust.org/Record/002783437","HathiTrust Record")</f>
        <v>HathiTrust Record</v>
      </c>
      <c r="AS354" s="6" t="str">
        <f>HYPERLINK("https://creighton-primo.hosted.exlibrisgroup.com/primo-explore/search?tab=default_tab&amp;search_scope=EVERYTHING&amp;vid=01CRU&amp;lang=en_US&amp;offset=0&amp;query=any,contains,991005358059702656","Catalog Record")</f>
        <v>Catalog Record</v>
      </c>
      <c r="AT354" s="6" t="str">
        <f>HYPERLINK("http://www.worldcat.org/oclc/1230785","WorldCat Record")</f>
        <v>WorldCat Record</v>
      </c>
      <c r="AU354" s="3" t="s">
        <v>4708</v>
      </c>
      <c r="AV354" s="3" t="s">
        <v>4709</v>
      </c>
      <c r="AW354" s="3" t="s">
        <v>4710</v>
      </c>
      <c r="AX354" s="3" t="s">
        <v>4710</v>
      </c>
      <c r="AY354" s="3" t="s">
        <v>4711</v>
      </c>
      <c r="AZ354" s="3" t="s">
        <v>74</v>
      </c>
      <c r="BB354" s="3" t="s">
        <v>4712</v>
      </c>
      <c r="BC354" s="3" t="s">
        <v>4713</v>
      </c>
      <c r="BD354" s="3" t="s">
        <v>4714</v>
      </c>
    </row>
    <row r="355" spans="1:56" ht="57.75" customHeight="1" x14ac:dyDescent="0.25">
      <c r="A355" s="7" t="s">
        <v>58</v>
      </c>
      <c r="B355" s="2" t="s">
        <v>4715</v>
      </c>
      <c r="C355" s="2" t="s">
        <v>4716</v>
      </c>
      <c r="D355" s="2" t="s">
        <v>4717</v>
      </c>
      <c r="F355" s="3" t="s">
        <v>58</v>
      </c>
      <c r="G355" s="3" t="s">
        <v>59</v>
      </c>
      <c r="H355" s="3" t="s">
        <v>58</v>
      </c>
      <c r="I355" s="3" t="s">
        <v>58</v>
      </c>
      <c r="J355" s="3" t="s">
        <v>60</v>
      </c>
      <c r="K355" s="2" t="s">
        <v>4718</v>
      </c>
      <c r="L355" s="2" t="s">
        <v>4719</v>
      </c>
      <c r="M355" s="3" t="s">
        <v>577</v>
      </c>
      <c r="O355" s="3" t="s">
        <v>64</v>
      </c>
      <c r="P355" s="3" t="s">
        <v>65</v>
      </c>
      <c r="R355" s="3" t="s">
        <v>3084</v>
      </c>
      <c r="S355" s="4">
        <v>2</v>
      </c>
      <c r="T355" s="4">
        <v>2</v>
      </c>
      <c r="U355" s="5" t="s">
        <v>4720</v>
      </c>
      <c r="V355" s="5" t="s">
        <v>4720</v>
      </c>
      <c r="W355" s="5" t="s">
        <v>1858</v>
      </c>
      <c r="X355" s="5" t="s">
        <v>1858</v>
      </c>
      <c r="Y355" s="4">
        <v>100</v>
      </c>
      <c r="Z355" s="4">
        <v>87</v>
      </c>
      <c r="AA355" s="4">
        <v>252</v>
      </c>
      <c r="AB355" s="4">
        <v>1</v>
      </c>
      <c r="AC355" s="4">
        <v>2</v>
      </c>
      <c r="AD355" s="4">
        <v>2</v>
      </c>
      <c r="AE355" s="4">
        <v>9</v>
      </c>
      <c r="AF355" s="4">
        <v>0</v>
      </c>
      <c r="AG355" s="4">
        <v>0</v>
      </c>
      <c r="AH355" s="4">
        <v>1</v>
      </c>
      <c r="AI355" s="4">
        <v>4</v>
      </c>
      <c r="AJ355" s="4">
        <v>1</v>
      </c>
      <c r="AK355" s="4">
        <v>6</v>
      </c>
      <c r="AL355" s="4">
        <v>0</v>
      </c>
      <c r="AM355" s="4">
        <v>1</v>
      </c>
      <c r="AN355" s="4">
        <v>0</v>
      </c>
      <c r="AO355" s="4">
        <v>0</v>
      </c>
      <c r="AP355" s="3" t="s">
        <v>58</v>
      </c>
      <c r="AQ355" s="3" t="s">
        <v>69</v>
      </c>
      <c r="AR355" s="6" t="str">
        <f>HYPERLINK("http://catalog.hathitrust.org/Record/004506187","HathiTrust Record")</f>
        <v>HathiTrust Record</v>
      </c>
      <c r="AS355" s="6" t="str">
        <f>HYPERLINK("https://creighton-primo.hosted.exlibrisgroup.com/primo-explore/search?tab=default_tab&amp;search_scope=EVERYTHING&amp;vid=01CRU&amp;lang=en_US&amp;offset=0&amp;query=any,contains,991004100919702656","Catalog Record")</f>
        <v>Catalog Record</v>
      </c>
      <c r="AT355" s="6" t="str">
        <f>HYPERLINK("http://www.worldcat.org/oclc/2372241","WorldCat Record")</f>
        <v>WorldCat Record</v>
      </c>
      <c r="AU355" s="3" t="s">
        <v>4721</v>
      </c>
      <c r="AV355" s="3" t="s">
        <v>4722</v>
      </c>
      <c r="AW355" s="3" t="s">
        <v>4723</v>
      </c>
      <c r="AX355" s="3" t="s">
        <v>4723</v>
      </c>
      <c r="AY355" s="3" t="s">
        <v>4724</v>
      </c>
      <c r="AZ355" s="3" t="s">
        <v>74</v>
      </c>
      <c r="BB355" s="3" t="s">
        <v>4725</v>
      </c>
      <c r="BC355" s="3" t="s">
        <v>4726</v>
      </c>
      <c r="BD355" s="3" t="s">
        <v>4727</v>
      </c>
    </row>
    <row r="356" spans="1:56" ht="57.75" customHeight="1" x14ac:dyDescent="0.25">
      <c r="A356" s="7" t="s">
        <v>58</v>
      </c>
      <c r="B356" s="2" t="s">
        <v>4728</v>
      </c>
      <c r="C356" s="2" t="s">
        <v>4729</v>
      </c>
      <c r="D356" s="2" t="s">
        <v>4730</v>
      </c>
      <c r="F356" s="3" t="s">
        <v>58</v>
      </c>
      <c r="G356" s="3" t="s">
        <v>59</v>
      </c>
      <c r="H356" s="3" t="s">
        <v>58</v>
      </c>
      <c r="I356" s="3" t="s">
        <v>58</v>
      </c>
      <c r="J356" s="3" t="s">
        <v>60</v>
      </c>
      <c r="K356" s="2" t="s">
        <v>4731</v>
      </c>
      <c r="L356" s="2" t="s">
        <v>4732</v>
      </c>
      <c r="M356" s="3" t="s">
        <v>2578</v>
      </c>
      <c r="O356" s="3" t="s">
        <v>64</v>
      </c>
      <c r="P356" s="3" t="s">
        <v>65</v>
      </c>
      <c r="R356" s="3" t="s">
        <v>3084</v>
      </c>
      <c r="S356" s="4">
        <v>2</v>
      </c>
      <c r="T356" s="4">
        <v>2</v>
      </c>
      <c r="U356" s="5" t="s">
        <v>4733</v>
      </c>
      <c r="V356" s="5" t="s">
        <v>4733</v>
      </c>
      <c r="W356" s="5" t="s">
        <v>4734</v>
      </c>
      <c r="X356" s="5" t="s">
        <v>4734</v>
      </c>
      <c r="Y356" s="4">
        <v>354</v>
      </c>
      <c r="Z356" s="4">
        <v>322</v>
      </c>
      <c r="AA356" s="4">
        <v>330</v>
      </c>
      <c r="AB356" s="4">
        <v>6</v>
      </c>
      <c r="AC356" s="4">
        <v>6</v>
      </c>
      <c r="AD356" s="4">
        <v>11</v>
      </c>
      <c r="AE356" s="4">
        <v>11</v>
      </c>
      <c r="AF356" s="4">
        <v>1</v>
      </c>
      <c r="AG356" s="4">
        <v>1</v>
      </c>
      <c r="AH356" s="4">
        <v>4</v>
      </c>
      <c r="AI356" s="4">
        <v>4</v>
      </c>
      <c r="AJ356" s="4">
        <v>6</v>
      </c>
      <c r="AK356" s="4">
        <v>6</v>
      </c>
      <c r="AL356" s="4">
        <v>3</v>
      </c>
      <c r="AM356" s="4">
        <v>3</v>
      </c>
      <c r="AN356" s="4">
        <v>0</v>
      </c>
      <c r="AO356" s="4">
        <v>0</v>
      </c>
      <c r="AP356" s="3" t="s">
        <v>58</v>
      </c>
      <c r="AQ356" s="3" t="s">
        <v>69</v>
      </c>
      <c r="AR356" s="6" t="str">
        <f>HYPERLINK("http://catalog.hathitrust.org/Record/002652273","HathiTrust Record")</f>
        <v>HathiTrust Record</v>
      </c>
      <c r="AS356" s="6" t="str">
        <f>HYPERLINK("https://creighton-primo.hosted.exlibrisgroup.com/primo-explore/search?tab=default_tab&amp;search_scope=EVERYTHING&amp;vid=01CRU&amp;lang=en_US&amp;offset=0&amp;query=any,contains,991002054069702656","Catalog Record")</f>
        <v>Catalog Record</v>
      </c>
      <c r="AT356" s="6" t="str">
        <f>HYPERLINK("http://www.worldcat.org/oclc/26255086","WorldCat Record")</f>
        <v>WorldCat Record</v>
      </c>
      <c r="AU356" s="3" t="s">
        <v>4735</v>
      </c>
      <c r="AV356" s="3" t="s">
        <v>4736</v>
      </c>
      <c r="AW356" s="3" t="s">
        <v>4737</v>
      </c>
      <c r="AX356" s="3" t="s">
        <v>4737</v>
      </c>
      <c r="AY356" s="3" t="s">
        <v>4738</v>
      </c>
      <c r="AZ356" s="3" t="s">
        <v>74</v>
      </c>
      <c r="BB356" s="3" t="s">
        <v>4739</v>
      </c>
      <c r="BC356" s="3" t="s">
        <v>4740</v>
      </c>
      <c r="BD356" s="3" t="s">
        <v>4741</v>
      </c>
    </row>
    <row r="357" spans="1:56" ht="57.75" customHeight="1" x14ac:dyDescent="0.25">
      <c r="A357" s="7" t="s">
        <v>58</v>
      </c>
      <c r="B357" s="2" t="s">
        <v>4742</v>
      </c>
      <c r="C357" s="2" t="s">
        <v>4743</v>
      </c>
      <c r="D357" s="2" t="s">
        <v>4744</v>
      </c>
      <c r="F357" s="3" t="s">
        <v>58</v>
      </c>
      <c r="G357" s="3" t="s">
        <v>59</v>
      </c>
      <c r="H357" s="3" t="s">
        <v>58</v>
      </c>
      <c r="I357" s="3" t="s">
        <v>58</v>
      </c>
      <c r="J357" s="3" t="s">
        <v>60</v>
      </c>
      <c r="K357" s="2" t="s">
        <v>4745</v>
      </c>
      <c r="L357" s="2" t="s">
        <v>4746</v>
      </c>
      <c r="M357" s="3" t="s">
        <v>1362</v>
      </c>
      <c r="O357" s="3" t="s">
        <v>64</v>
      </c>
      <c r="P357" s="3" t="s">
        <v>65</v>
      </c>
      <c r="R357" s="3" t="s">
        <v>3084</v>
      </c>
      <c r="S357" s="4">
        <v>5</v>
      </c>
      <c r="T357" s="4">
        <v>5</v>
      </c>
      <c r="U357" s="5" t="s">
        <v>4747</v>
      </c>
      <c r="V357" s="5" t="s">
        <v>4747</v>
      </c>
      <c r="W357" s="5" t="s">
        <v>4748</v>
      </c>
      <c r="X357" s="5" t="s">
        <v>4748</v>
      </c>
      <c r="Y357" s="4">
        <v>1001</v>
      </c>
      <c r="Z357" s="4">
        <v>875</v>
      </c>
      <c r="AA357" s="4">
        <v>884</v>
      </c>
      <c r="AB357" s="4">
        <v>7</v>
      </c>
      <c r="AC357" s="4">
        <v>7</v>
      </c>
      <c r="AD357" s="4">
        <v>45</v>
      </c>
      <c r="AE357" s="4">
        <v>45</v>
      </c>
      <c r="AF357" s="4">
        <v>19</v>
      </c>
      <c r="AG357" s="4">
        <v>19</v>
      </c>
      <c r="AH357" s="4">
        <v>10</v>
      </c>
      <c r="AI357" s="4">
        <v>10</v>
      </c>
      <c r="AJ357" s="4">
        <v>22</v>
      </c>
      <c r="AK357" s="4">
        <v>22</v>
      </c>
      <c r="AL357" s="4">
        <v>6</v>
      </c>
      <c r="AM357" s="4">
        <v>6</v>
      </c>
      <c r="AN357" s="4">
        <v>0</v>
      </c>
      <c r="AO357" s="4">
        <v>0</v>
      </c>
      <c r="AP357" s="3" t="s">
        <v>58</v>
      </c>
      <c r="AQ357" s="3" t="s">
        <v>58</v>
      </c>
      <c r="AS357" s="6" t="str">
        <f>HYPERLINK("https://creighton-primo.hosted.exlibrisgroup.com/primo-explore/search?tab=default_tab&amp;search_scope=EVERYTHING&amp;vid=01CRU&amp;lang=en_US&amp;offset=0&amp;query=any,contains,991000868729702656","Catalog Record")</f>
        <v>Catalog Record</v>
      </c>
      <c r="AT357" s="6" t="str">
        <f>HYPERLINK("http://www.worldcat.org/oclc/13762596","WorldCat Record")</f>
        <v>WorldCat Record</v>
      </c>
      <c r="AU357" s="3" t="s">
        <v>4749</v>
      </c>
      <c r="AV357" s="3" t="s">
        <v>4750</v>
      </c>
      <c r="AW357" s="3" t="s">
        <v>4751</v>
      </c>
      <c r="AX357" s="3" t="s">
        <v>4751</v>
      </c>
      <c r="AY357" s="3" t="s">
        <v>4752</v>
      </c>
      <c r="AZ357" s="3" t="s">
        <v>74</v>
      </c>
      <c r="BB357" s="3" t="s">
        <v>4753</v>
      </c>
      <c r="BC357" s="3" t="s">
        <v>4754</v>
      </c>
      <c r="BD357" s="3" t="s">
        <v>4755</v>
      </c>
    </row>
    <row r="358" spans="1:56" ht="57.75" customHeight="1" x14ac:dyDescent="0.25">
      <c r="A358" s="7" t="s">
        <v>58</v>
      </c>
      <c r="B358" s="2" t="s">
        <v>4756</v>
      </c>
      <c r="C358" s="2" t="s">
        <v>4757</v>
      </c>
      <c r="D358" s="2" t="s">
        <v>4758</v>
      </c>
      <c r="F358" s="3" t="s">
        <v>58</v>
      </c>
      <c r="G358" s="3" t="s">
        <v>59</v>
      </c>
      <c r="H358" s="3" t="s">
        <v>58</v>
      </c>
      <c r="I358" s="3" t="s">
        <v>58</v>
      </c>
      <c r="J358" s="3" t="s">
        <v>60</v>
      </c>
      <c r="K358" s="2" t="s">
        <v>4759</v>
      </c>
      <c r="L358" s="2" t="s">
        <v>4760</v>
      </c>
      <c r="M358" s="3" t="s">
        <v>277</v>
      </c>
      <c r="O358" s="3" t="s">
        <v>64</v>
      </c>
      <c r="P358" s="3" t="s">
        <v>412</v>
      </c>
      <c r="R358" s="3" t="s">
        <v>3084</v>
      </c>
      <c r="S358" s="4">
        <v>8</v>
      </c>
      <c r="T358" s="4">
        <v>8</v>
      </c>
      <c r="U358" s="5" t="s">
        <v>2263</v>
      </c>
      <c r="V358" s="5" t="s">
        <v>2263</v>
      </c>
      <c r="W358" s="5" t="s">
        <v>2325</v>
      </c>
      <c r="X358" s="5" t="s">
        <v>2325</v>
      </c>
      <c r="Y358" s="4">
        <v>593</v>
      </c>
      <c r="Z358" s="4">
        <v>370</v>
      </c>
      <c r="AA358" s="4">
        <v>380</v>
      </c>
      <c r="AB358" s="4">
        <v>4</v>
      </c>
      <c r="AC358" s="4">
        <v>4</v>
      </c>
      <c r="AD358" s="4">
        <v>20</v>
      </c>
      <c r="AE358" s="4">
        <v>20</v>
      </c>
      <c r="AF358" s="4">
        <v>6</v>
      </c>
      <c r="AG358" s="4">
        <v>6</v>
      </c>
      <c r="AH358" s="4">
        <v>5</v>
      </c>
      <c r="AI358" s="4">
        <v>5</v>
      </c>
      <c r="AJ358" s="4">
        <v>11</v>
      </c>
      <c r="AK358" s="4">
        <v>11</v>
      </c>
      <c r="AL358" s="4">
        <v>3</v>
      </c>
      <c r="AM358" s="4">
        <v>3</v>
      </c>
      <c r="AN358" s="4">
        <v>0</v>
      </c>
      <c r="AO358" s="4">
        <v>0</v>
      </c>
      <c r="AP358" s="3" t="s">
        <v>58</v>
      </c>
      <c r="AQ358" s="3" t="s">
        <v>58</v>
      </c>
      <c r="AS358" s="6" t="str">
        <f>HYPERLINK("https://creighton-primo.hosted.exlibrisgroup.com/primo-explore/search?tab=default_tab&amp;search_scope=EVERYTHING&amp;vid=01CRU&amp;lang=en_US&amp;offset=0&amp;query=any,contains,991001129709702656","Catalog Record")</f>
        <v>Catalog Record</v>
      </c>
      <c r="AT358" s="6" t="str">
        <f>HYPERLINK("http://www.worldcat.org/oclc/16681707","WorldCat Record")</f>
        <v>WorldCat Record</v>
      </c>
      <c r="AU358" s="3" t="s">
        <v>4761</v>
      </c>
      <c r="AV358" s="3" t="s">
        <v>4762</v>
      </c>
      <c r="AW358" s="3" t="s">
        <v>4763</v>
      </c>
      <c r="AX358" s="3" t="s">
        <v>4763</v>
      </c>
      <c r="AY358" s="3" t="s">
        <v>4764</v>
      </c>
      <c r="AZ358" s="3" t="s">
        <v>74</v>
      </c>
      <c r="BB358" s="3" t="s">
        <v>4765</v>
      </c>
      <c r="BC358" s="3" t="s">
        <v>4766</v>
      </c>
      <c r="BD358" s="3" t="s">
        <v>4767</v>
      </c>
    </row>
    <row r="359" spans="1:56" ht="57.75" customHeight="1" x14ac:dyDescent="0.25">
      <c r="A359" s="7" t="s">
        <v>58</v>
      </c>
      <c r="B359" s="2" t="s">
        <v>4768</v>
      </c>
      <c r="C359" s="2" t="s">
        <v>4769</v>
      </c>
      <c r="D359" s="2" t="s">
        <v>4770</v>
      </c>
      <c r="F359" s="3" t="s">
        <v>58</v>
      </c>
      <c r="G359" s="3" t="s">
        <v>59</v>
      </c>
      <c r="H359" s="3" t="s">
        <v>58</v>
      </c>
      <c r="I359" s="3" t="s">
        <v>58</v>
      </c>
      <c r="J359" s="3" t="s">
        <v>60</v>
      </c>
      <c r="L359" s="2" t="s">
        <v>4771</v>
      </c>
      <c r="M359" s="3" t="s">
        <v>1362</v>
      </c>
      <c r="O359" s="3" t="s">
        <v>64</v>
      </c>
      <c r="P359" s="3" t="s">
        <v>278</v>
      </c>
      <c r="R359" s="3" t="s">
        <v>3084</v>
      </c>
      <c r="S359" s="4">
        <v>4</v>
      </c>
      <c r="T359" s="4">
        <v>4</v>
      </c>
      <c r="U359" s="5" t="s">
        <v>3197</v>
      </c>
      <c r="V359" s="5" t="s">
        <v>3197</v>
      </c>
      <c r="W359" s="5" t="s">
        <v>3794</v>
      </c>
      <c r="X359" s="5" t="s">
        <v>3794</v>
      </c>
      <c r="Y359" s="4">
        <v>773</v>
      </c>
      <c r="Z359" s="4">
        <v>693</v>
      </c>
      <c r="AA359" s="4">
        <v>772</v>
      </c>
      <c r="AB359" s="4">
        <v>7</v>
      </c>
      <c r="AC359" s="4">
        <v>8</v>
      </c>
      <c r="AD359" s="4">
        <v>31</v>
      </c>
      <c r="AE359" s="4">
        <v>32</v>
      </c>
      <c r="AF359" s="4">
        <v>9</v>
      </c>
      <c r="AG359" s="4">
        <v>10</v>
      </c>
      <c r="AH359" s="4">
        <v>7</v>
      </c>
      <c r="AI359" s="4">
        <v>7</v>
      </c>
      <c r="AJ359" s="4">
        <v>15</v>
      </c>
      <c r="AK359" s="4">
        <v>16</v>
      </c>
      <c r="AL359" s="4">
        <v>6</v>
      </c>
      <c r="AM359" s="4">
        <v>6</v>
      </c>
      <c r="AN359" s="4">
        <v>0</v>
      </c>
      <c r="AO359" s="4">
        <v>0</v>
      </c>
      <c r="AP359" s="3" t="s">
        <v>58</v>
      </c>
      <c r="AQ359" s="3" t="s">
        <v>58</v>
      </c>
      <c r="AS359" s="6" t="str">
        <f>HYPERLINK("https://creighton-primo.hosted.exlibrisgroup.com/primo-explore/search?tab=default_tab&amp;search_scope=EVERYTHING&amp;vid=01CRU&amp;lang=en_US&amp;offset=0&amp;query=any,contains,991000967179702656","Catalog Record")</f>
        <v>Catalog Record</v>
      </c>
      <c r="AT359" s="6" t="str">
        <f>HYPERLINK("http://www.worldcat.org/oclc/14930993","WorldCat Record")</f>
        <v>WorldCat Record</v>
      </c>
      <c r="AU359" s="3" t="s">
        <v>4772</v>
      </c>
      <c r="AV359" s="3" t="s">
        <v>4773</v>
      </c>
      <c r="AW359" s="3" t="s">
        <v>4774</v>
      </c>
      <c r="AX359" s="3" t="s">
        <v>4774</v>
      </c>
      <c r="AY359" s="3" t="s">
        <v>4775</v>
      </c>
      <c r="AZ359" s="3" t="s">
        <v>74</v>
      </c>
      <c r="BB359" s="3" t="s">
        <v>4776</v>
      </c>
      <c r="BC359" s="3" t="s">
        <v>4777</v>
      </c>
      <c r="BD359" s="3" t="s">
        <v>4778</v>
      </c>
    </row>
    <row r="360" spans="1:56" ht="57.75" customHeight="1" x14ac:dyDescent="0.25">
      <c r="A360" s="7" t="s">
        <v>58</v>
      </c>
      <c r="B360" s="2" t="s">
        <v>4779</v>
      </c>
      <c r="C360" s="2" t="s">
        <v>4780</v>
      </c>
      <c r="D360" s="2" t="s">
        <v>4781</v>
      </c>
      <c r="F360" s="3" t="s">
        <v>58</v>
      </c>
      <c r="G360" s="3" t="s">
        <v>59</v>
      </c>
      <c r="H360" s="3" t="s">
        <v>58</v>
      </c>
      <c r="I360" s="3" t="s">
        <v>58</v>
      </c>
      <c r="J360" s="3" t="s">
        <v>60</v>
      </c>
      <c r="K360" s="2" t="s">
        <v>4782</v>
      </c>
      <c r="L360" s="2" t="s">
        <v>4783</v>
      </c>
      <c r="M360" s="3" t="s">
        <v>636</v>
      </c>
      <c r="O360" s="3" t="s">
        <v>64</v>
      </c>
      <c r="P360" s="3" t="s">
        <v>4784</v>
      </c>
      <c r="R360" s="3" t="s">
        <v>3084</v>
      </c>
      <c r="S360" s="4">
        <v>3</v>
      </c>
      <c r="T360" s="4">
        <v>3</v>
      </c>
      <c r="U360" s="5" t="s">
        <v>4785</v>
      </c>
      <c r="V360" s="5" t="s">
        <v>4785</v>
      </c>
      <c r="W360" s="5" t="s">
        <v>4786</v>
      </c>
      <c r="X360" s="5" t="s">
        <v>4786</v>
      </c>
      <c r="Y360" s="4">
        <v>239</v>
      </c>
      <c r="Z360" s="4">
        <v>237</v>
      </c>
      <c r="AA360" s="4">
        <v>243</v>
      </c>
      <c r="AB360" s="4">
        <v>4</v>
      </c>
      <c r="AC360" s="4">
        <v>4</v>
      </c>
      <c r="AD360" s="4">
        <v>7</v>
      </c>
      <c r="AE360" s="4">
        <v>7</v>
      </c>
      <c r="AF360" s="4">
        <v>2</v>
      </c>
      <c r="AG360" s="4">
        <v>2</v>
      </c>
      <c r="AH360" s="4">
        <v>2</v>
      </c>
      <c r="AI360" s="4">
        <v>2</v>
      </c>
      <c r="AJ360" s="4">
        <v>3</v>
      </c>
      <c r="AK360" s="4">
        <v>3</v>
      </c>
      <c r="AL360" s="4">
        <v>2</v>
      </c>
      <c r="AM360" s="4">
        <v>2</v>
      </c>
      <c r="AN360" s="4">
        <v>0</v>
      </c>
      <c r="AO360" s="4">
        <v>0</v>
      </c>
      <c r="AP360" s="3" t="s">
        <v>58</v>
      </c>
      <c r="AQ360" s="3" t="s">
        <v>69</v>
      </c>
      <c r="AR360" s="6" t="str">
        <f>HYPERLINK("http://catalog.hathitrust.org/Record/004212183","HathiTrust Record")</f>
        <v>HathiTrust Record</v>
      </c>
      <c r="AS360" s="6" t="str">
        <f>HYPERLINK("https://creighton-primo.hosted.exlibrisgroup.com/primo-explore/search?tab=default_tab&amp;search_scope=EVERYTHING&amp;vid=01CRU&amp;lang=en_US&amp;offset=0&amp;query=any,contains,991003702599702656","Catalog Record")</f>
        <v>Catalog Record</v>
      </c>
      <c r="AT360" s="6" t="str">
        <f>HYPERLINK("http://www.worldcat.org/oclc/48051814","WorldCat Record")</f>
        <v>WorldCat Record</v>
      </c>
      <c r="AU360" s="3" t="s">
        <v>4787</v>
      </c>
      <c r="AV360" s="3" t="s">
        <v>4788</v>
      </c>
      <c r="AW360" s="3" t="s">
        <v>4789</v>
      </c>
      <c r="AX360" s="3" t="s">
        <v>4789</v>
      </c>
      <c r="AY360" s="3" t="s">
        <v>4790</v>
      </c>
      <c r="AZ360" s="3" t="s">
        <v>74</v>
      </c>
      <c r="BB360" s="3" t="s">
        <v>4791</v>
      </c>
      <c r="BC360" s="3" t="s">
        <v>4792</v>
      </c>
      <c r="BD360" s="3" t="s">
        <v>4793</v>
      </c>
    </row>
    <row r="361" spans="1:56" ht="57.75" customHeight="1" x14ac:dyDescent="0.25">
      <c r="A361" s="7" t="s">
        <v>58</v>
      </c>
      <c r="B361" s="2" t="s">
        <v>4794</v>
      </c>
      <c r="C361" s="2" t="s">
        <v>4795</v>
      </c>
      <c r="D361" s="2" t="s">
        <v>4796</v>
      </c>
      <c r="F361" s="3" t="s">
        <v>58</v>
      </c>
      <c r="G361" s="3" t="s">
        <v>59</v>
      </c>
      <c r="H361" s="3" t="s">
        <v>58</v>
      </c>
      <c r="I361" s="3" t="s">
        <v>58</v>
      </c>
      <c r="J361" s="3" t="s">
        <v>60</v>
      </c>
      <c r="K361" s="2" t="s">
        <v>4797</v>
      </c>
      <c r="L361" s="2" t="s">
        <v>4798</v>
      </c>
      <c r="M361" s="3" t="s">
        <v>1986</v>
      </c>
      <c r="O361" s="3" t="s">
        <v>64</v>
      </c>
      <c r="P361" s="3" t="s">
        <v>412</v>
      </c>
      <c r="Q361" s="2" t="s">
        <v>4799</v>
      </c>
      <c r="R361" s="3" t="s">
        <v>3084</v>
      </c>
      <c r="S361" s="4">
        <v>3</v>
      </c>
      <c r="T361" s="4">
        <v>3</v>
      </c>
      <c r="U361" s="5" t="s">
        <v>4800</v>
      </c>
      <c r="V361" s="5" t="s">
        <v>4800</v>
      </c>
      <c r="W361" s="5" t="s">
        <v>3603</v>
      </c>
      <c r="X361" s="5" t="s">
        <v>3603</v>
      </c>
      <c r="Y361" s="4">
        <v>474</v>
      </c>
      <c r="Z361" s="4">
        <v>356</v>
      </c>
      <c r="AA361" s="4">
        <v>395</v>
      </c>
      <c r="AB361" s="4">
        <v>3</v>
      </c>
      <c r="AC361" s="4">
        <v>3</v>
      </c>
      <c r="AD361" s="4">
        <v>15</v>
      </c>
      <c r="AE361" s="4">
        <v>16</v>
      </c>
      <c r="AF361" s="4">
        <v>4</v>
      </c>
      <c r="AG361" s="4">
        <v>4</v>
      </c>
      <c r="AH361" s="4">
        <v>3</v>
      </c>
      <c r="AI361" s="4">
        <v>3</v>
      </c>
      <c r="AJ361" s="4">
        <v>8</v>
      </c>
      <c r="AK361" s="4">
        <v>9</v>
      </c>
      <c r="AL361" s="4">
        <v>2</v>
      </c>
      <c r="AM361" s="4">
        <v>2</v>
      </c>
      <c r="AN361" s="4">
        <v>0</v>
      </c>
      <c r="AO361" s="4">
        <v>0</v>
      </c>
      <c r="AP361" s="3" t="s">
        <v>58</v>
      </c>
      <c r="AQ361" s="3" t="s">
        <v>69</v>
      </c>
      <c r="AR361" s="6" t="str">
        <f>HYPERLINK("http://catalog.hathitrust.org/Record/004046581","HathiTrust Record")</f>
        <v>HathiTrust Record</v>
      </c>
      <c r="AS361" s="6" t="str">
        <f>HYPERLINK("https://creighton-primo.hosted.exlibrisgroup.com/primo-explore/search?tab=default_tab&amp;search_scope=EVERYTHING&amp;vid=01CRU&amp;lang=en_US&amp;offset=0&amp;query=any,contains,991003024179702656","Catalog Record")</f>
        <v>Catalog Record</v>
      </c>
      <c r="AT361" s="6" t="str">
        <f>HYPERLINK("http://www.worldcat.org/oclc/41283381","WorldCat Record")</f>
        <v>WorldCat Record</v>
      </c>
      <c r="AU361" s="3" t="s">
        <v>4801</v>
      </c>
      <c r="AV361" s="3" t="s">
        <v>4802</v>
      </c>
      <c r="AW361" s="3" t="s">
        <v>4803</v>
      </c>
      <c r="AX361" s="3" t="s">
        <v>4803</v>
      </c>
      <c r="AY361" s="3" t="s">
        <v>4804</v>
      </c>
      <c r="AZ361" s="3" t="s">
        <v>74</v>
      </c>
      <c r="BB361" s="3" t="s">
        <v>4805</v>
      </c>
      <c r="BC361" s="3" t="s">
        <v>4806</v>
      </c>
      <c r="BD361" s="3" t="s">
        <v>4807</v>
      </c>
    </row>
    <row r="362" spans="1:56" ht="57.75" customHeight="1" x14ac:dyDescent="0.25">
      <c r="A362" s="7" t="s">
        <v>58</v>
      </c>
      <c r="B362" s="2" t="s">
        <v>4808</v>
      </c>
      <c r="C362" s="2" t="s">
        <v>4809</v>
      </c>
      <c r="D362" s="2" t="s">
        <v>4810</v>
      </c>
      <c r="F362" s="3" t="s">
        <v>58</v>
      </c>
      <c r="G362" s="3" t="s">
        <v>59</v>
      </c>
      <c r="H362" s="3" t="s">
        <v>58</v>
      </c>
      <c r="I362" s="3" t="s">
        <v>58</v>
      </c>
      <c r="J362" s="3" t="s">
        <v>60</v>
      </c>
      <c r="K362" s="2" t="s">
        <v>4811</v>
      </c>
      <c r="L362" s="2" t="s">
        <v>3363</v>
      </c>
      <c r="M362" s="3" t="s">
        <v>277</v>
      </c>
      <c r="O362" s="3" t="s">
        <v>64</v>
      </c>
      <c r="P362" s="3" t="s">
        <v>65</v>
      </c>
      <c r="R362" s="3" t="s">
        <v>3084</v>
      </c>
      <c r="S362" s="4">
        <v>5</v>
      </c>
      <c r="T362" s="4">
        <v>5</v>
      </c>
      <c r="U362" s="5" t="s">
        <v>4812</v>
      </c>
      <c r="V362" s="5" t="s">
        <v>4812</v>
      </c>
      <c r="W362" s="5" t="s">
        <v>708</v>
      </c>
      <c r="X362" s="5" t="s">
        <v>708</v>
      </c>
      <c r="Y362" s="4">
        <v>1552</v>
      </c>
      <c r="Z362" s="4">
        <v>1522</v>
      </c>
      <c r="AA362" s="4">
        <v>1531</v>
      </c>
      <c r="AB362" s="4">
        <v>14</v>
      </c>
      <c r="AC362" s="4">
        <v>14</v>
      </c>
      <c r="AD362" s="4">
        <v>57</v>
      </c>
      <c r="AE362" s="4">
        <v>57</v>
      </c>
      <c r="AF362" s="4">
        <v>24</v>
      </c>
      <c r="AG362" s="4">
        <v>24</v>
      </c>
      <c r="AH362" s="4">
        <v>9</v>
      </c>
      <c r="AI362" s="4">
        <v>9</v>
      </c>
      <c r="AJ362" s="4">
        <v>20</v>
      </c>
      <c r="AK362" s="4">
        <v>20</v>
      </c>
      <c r="AL362" s="4">
        <v>12</v>
      </c>
      <c r="AM362" s="4">
        <v>12</v>
      </c>
      <c r="AN362" s="4">
        <v>3</v>
      </c>
      <c r="AO362" s="4">
        <v>3</v>
      </c>
      <c r="AP362" s="3" t="s">
        <v>58</v>
      </c>
      <c r="AQ362" s="3" t="s">
        <v>69</v>
      </c>
      <c r="AR362" s="6" t="str">
        <f>HYPERLINK("http://catalog.hathitrust.org/Record/101875869","HathiTrust Record")</f>
        <v>HathiTrust Record</v>
      </c>
      <c r="AS362" s="6" t="str">
        <f>HYPERLINK("https://creighton-primo.hosted.exlibrisgroup.com/primo-explore/search?tab=default_tab&amp;search_scope=EVERYTHING&amp;vid=01CRU&amp;lang=en_US&amp;offset=0&amp;query=any,contains,991001240929702656","Catalog Record")</f>
        <v>Catalog Record</v>
      </c>
      <c r="AT362" s="6" t="str">
        <f>HYPERLINK("http://www.worldcat.org/oclc/17619592","WorldCat Record")</f>
        <v>WorldCat Record</v>
      </c>
      <c r="AU362" s="3" t="s">
        <v>4813</v>
      </c>
      <c r="AV362" s="3" t="s">
        <v>4814</v>
      </c>
      <c r="AW362" s="3" t="s">
        <v>4815</v>
      </c>
      <c r="AX362" s="3" t="s">
        <v>4815</v>
      </c>
      <c r="AY362" s="3" t="s">
        <v>4816</v>
      </c>
      <c r="AZ362" s="3" t="s">
        <v>74</v>
      </c>
      <c r="BB362" s="3" t="s">
        <v>4817</v>
      </c>
      <c r="BC362" s="3" t="s">
        <v>4818</v>
      </c>
      <c r="BD362" s="3" t="s">
        <v>4819</v>
      </c>
    </row>
    <row r="363" spans="1:56" ht="57.75" customHeight="1" x14ac:dyDescent="0.25">
      <c r="A363" s="7" t="s">
        <v>58</v>
      </c>
      <c r="B363" s="2" t="s">
        <v>4820</v>
      </c>
      <c r="C363" s="2" t="s">
        <v>4821</v>
      </c>
      <c r="D363" s="2" t="s">
        <v>4822</v>
      </c>
      <c r="F363" s="3" t="s">
        <v>58</v>
      </c>
      <c r="G363" s="3" t="s">
        <v>59</v>
      </c>
      <c r="H363" s="3" t="s">
        <v>58</v>
      </c>
      <c r="I363" s="3" t="s">
        <v>58</v>
      </c>
      <c r="J363" s="3" t="s">
        <v>60</v>
      </c>
      <c r="K363" s="2" t="s">
        <v>4823</v>
      </c>
      <c r="L363" s="2" t="s">
        <v>4824</v>
      </c>
      <c r="M363" s="3" t="s">
        <v>83</v>
      </c>
      <c r="O363" s="3" t="s">
        <v>64</v>
      </c>
      <c r="P363" s="3" t="s">
        <v>412</v>
      </c>
      <c r="R363" s="3" t="s">
        <v>3084</v>
      </c>
      <c r="S363" s="4">
        <v>7</v>
      </c>
      <c r="T363" s="4">
        <v>7</v>
      </c>
      <c r="U363" s="5" t="s">
        <v>4825</v>
      </c>
      <c r="V363" s="5" t="s">
        <v>4825</v>
      </c>
      <c r="W363" s="5" t="s">
        <v>4826</v>
      </c>
      <c r="X363" s="5" t="s">
        <v>4826</v>
      </c>
      <c r="Y363" s="4">
        <v>912</v>
      </c>
      <c r="Z363" s="4">
        <v>749</v>
      </c>
      <c r="AA363" s="4">
        <v>837</v>
      </c>
      <c r="AB363" s="4">
        <v>5</v>
      </c>
      <c r="AC363" s="4">
        <v>5</v>
      </c>
      <c r="AD363" s="4">
        <v>33</v>
      </c>
      <c r="AE363" s="4">
        <v>38</v>
      </c>
      <c r="AF363" s="4">
        <v>10</v>
      </c>
      <c r="AG363" s="4">
        <v>12</v>
      </c>
      <c r="AH363" s="4">
        <v>4</v>
      </c>
      <c r="AI363" s="4">
        <v>6</v>
      </c>
      <c r="AJ363" s="4">
        <v>11</v>
      </c>
      <c r="AK363" s="4">
        <v>13</v>
      </c>
      <c r="AL363" s="4">
        <v>4</v>
      </c>
      <c r="AM363" s="4">
        <v>4</v>
      </c>
      <c r="AN363" s="4">
        <v>7</v>
      </c>
      <c r="AO363" s="4">
        <v>7</v>
      </c>
      <c r="AP363" s="3" t="s">
        <v>58</v>
      </c>
      <c r="AQ363" s="3" t="s">
        <v>69</v>
      </c>
      <c r="AR363" s="6" t="str">
        <f>HYPERLINK("http://catalog.hathitrust.org/Record/002572274","HathiTrust Record")</f>
        <v>HathiTrust Record</v>
      </c>
      <c r="AS363" s="6" t="str">
        <f>HYPERLINK("https://creighton-primo.hosted.exlibrisgroup.com/primo-explore/search?tab=default_tab&amp;search_scope=EVERYTHING&amp;vid=01CRU&amp;lang=en_US&amp;offset=0&amp;query=any,contains,991002016959702656","Catalog Record")</f>
        <v>Catalog Record</v>
      </c>
      <c r="AT363" s="6" t="str">
        <f>HYPERLINK("http://www.worldcat.org/oclc/25632901","WorldCat Record")</f>
        <v>WorldCat Record</v>
      </c>
      <c r="AU363" s="3" t="s">
        <v>4827</v>
      </c>
      <c r="AV363" s="3" t="s">
        <v>4828</v>
      </c>
      <c r="AW363" s="3" t="s">
        <v>4829</v>
      </c>
      <c r="AX363" s="3" t="s">
        <v>4829</v>
      </c>
      <c r="AY363" s="3" t="s">
        <v>4830</v>
      </c>
      <c r="AZ363" s="3" t="s">
        <v>74</v>
      </c>
      <c r="BB363" s="3" t="s">
        <v>4831</v>
      </c>
      <c r="BC363" s="3" t="s">
        <v>4832</v>
      </c>
      <c r="BD363" s="3" t="s">
        <v>4833</v>
      </c>
    </row>
    <row r="364" spans="1:56" ht="57.75" customHeight="1" x14ac:dyDescent="0.25">
      <c r="A364" s="7" t="s">
        <v>58</v>
      </c>
      <c r="B364" s="2" t="s">
        <v>4834</v>
      </c>
      <c r="C364" s="2" t="s">
        <v>4835</v>
      </c>
      <c r="D364" s="2" t="s">
        <v>4836</v>
      </c>
      <c r="F364" s="3" t="s">
        <v>58</v>
      </c>
      <c r="G364" s="3" t="s">
        <v>59</v>
      </c>
      <c r="H364" s="3" t="s">
        <v>58</v>
      </c>
      <c r="I364" s="3" t="s">
        <v>58</v>
      </c>
      <c r="J364" s="3" t="s">
        <v>60</v>
      </c>
      <c r="K364" s="2" t="s">
        <v>4837</v>
      </c>
      <c r="L364" s="2" t="s">
        <v>4838</v>
      </c>
      <c r="M364" s="3" t="s">
        <v>1420</v>
      </c>
      <c r="O364" s="3" t="s">
        <v>64</v>
      </c>
      <c r="P364" s="3" t="s">
        <v>540</v>
      </c>
      <c r="R364" s="3" t="s">
        <v>3084</v>
      </c>
      <c r="S364" s="4">
        <v>1</v>
      </c>
      <c r="T364" s="4">
        <v>1</v>
      </c>
      <c r="U364" s="5" t="s">
        <v>4839</v>
      </c>
      <c r="V364" s="5" t="s">
        <v>4839</v>
      </c>
      <c r="W364" s="5" t="s">
        <v>4840</v>
      </c>
      <c r="X364" s="5" t="s">
        <v>4840</v>
      </c>
      <c r="Y364" s="4">
        <v>517</v>
      </c>
      <c r="Z364" s="4">
        <v>385</v>
      </c>
      <c r="AA364" s="4">
        <v>385</v>
      </c>
      <c r="AB364" s="4">
        <v>4</v>
      </c>
      <c r="AC364" s="4">
        <v>4</v>
      </c>
      <c r="AD364" s="4">
        <v>30</v>
      </c>
      <c r="AE364" s="4">
        <v>30</v>
      </c>
      <c r="AF364" s="4">
        <v>13</v>
      </c>
      <c r="AG364" s="4">
        <v>13</v>
      </c>
      <c r="AH364" s="4">
        <v>7</v>
      </c>
      <c r="AI364" s="4">
        <v>7</v>
      </c>
      <c r="AJ364" s="4">
        <v>18</v>
      </c>
      <c r="AK364" s="4">
        <v>18</v>
      </c>
      <c r="AL364" s="4">
        <v>3</v>
      </c>
      <c r="AM364" s="4">
        <v>3</v>
      </c>
      <c r="AN364" s="4">
        <v>0</v>
      </c>
      <c r="AO364" s="4">
        <v>0</v>
      </c>
      <c r="AP364" s="3" t="s">
        <v>58</v>
      </c>
      <c r="AQ364" s="3" t="s">
        <v>58</v>
      </c>
      <c r="AS364" s="6" t="str">
        <f>HYPERLINK("https://creighton-primo.hosted.exlibrisgroup.com/primo-explore/search?tab=default_tab&amp;search_scope=EVERYTHING&amp;vid=01CRU&amp;lang=en_US&amp;offset=0&amp;query=any,contains,991003224869702656","Catalog Record")</f>
        <v>Catalog Record</v>
      </c>
      <c r="AT364" s="6" t="str">
        <f>HYPERLINK("http://www.worldcat.org/oclc/38239295","WorldCat Record")</f>
        <v>WorldCat Record</v>
      </c>
      <c r="AU364" s="3" t="s">
        <v>4841</v>
      </c>
      <c r="AV364" s="3" t="s">
        <v>4842</v>
      </c>
      <c r="AW364" s="3" t="s">
        <v>4843</v>
      </c>
      <c r="AX364" s="3" t="s">
        <v>4843</v>
      </c>
      <c r="AY364" s="3" t="s">
        <v>4844</v>
      </c>
      <c r="AZ364" s="3" t="s">
        <v>74</v>
      </c>
      <c r="BB364" s="3" t="s">
        <v>4845</v>
      </c>
      <c r="BC364" s="3" t="s">
        <v>4846</v>
      </c>
      <c r="BD364" s="3" t="s">
        <v>4847</v>
      </c>
    </row>
    <row r="365" spans="1:56" ht="57.75" customHeight="1" x14ac:dyDescent="0.25">
      <c r="A365" s="7" t="s">
        <v>58</v>
      </c>
      <c r="B365" s="2" t="s">
        <v>4848</v>
      </c>
      <c r="C365" s="2" t="s">
        <v>4849</v>
      </c>
      <c r="D365" s="2" t="s">
        <v>4850</v>
      </c>
      <c r="F365" s="3" t="s">
        <v>58</v>
      </c>
      <c r="G365" s="3" t="s">
        <v>59</v>
      </c>
      <c r="H365" s="3" t="s">
        <v>58</v>
      </c>
      <c r="I365" s="3" t="s">
        <v>58</v>
      </c>
      <c r="J365" s="3" t="s">
        <v>60</v>
      </c>
      <c r="L365" s="2" t="s">
        <v>4851</v>
      </c>
      <c r="M365" s="3" t="s">
        <v>1362</v>
      </c>
      <c r="O365" s="3" t="s">
        <v>64</v>
      </c>
      <c r="P365" s="3" t="s">
        <v>453</v>
      </c>
      <c r="R365" s="3" t="s">
        <v>3084</v>
      </c>
      <c r="S365" s="4">
        <v>3</v>
      </c>
      <c r="T365" s="4">
        <v>3</v>
      </c>
      <c r="U365" s="5" t="s">
        <v>4852</v>
      </c>
      <c r="V365" s="5" t="s">
        <v>4852</v>
      </c>
      <c r="W365" s="5" t="s">
        <v>4853</v>
      </c>
      <c r="X365" s="5" t="s">
        <v>4853</v>
      </c>
      <c r="Y365" s="4">
        <v>39</v>
      </c>
      <c r="Z365" s="4">
        <v>33</v>
      </c>
      <c r="AA365" s="4">
        <v>122</v>
      </c>
      <c r="AB365" s="4">
        <v>1</v>
      </c>
      <c r="AC365" s="4">
        <v>2</v>
      </c>
      <c r="AD365" s="4">
        <v>0</v>
      </c>
      <c r="AE365" s="4">
        <v>6</v>
      </c>
      <c r="AF365" s="4">
        <v>0</v>
      </c>
      <c r="AG365" s="4">
        <v>4</v>
      </c>
      <c r="AH365" s="4">
        <v>0</v>
      </c>
      <c r="AI365" s="4">
        <v>1</v>
      </c>
      <c r="AJ365" s="4">
        <v>0</v>
      </c>
      <c r="AK365" s="4">
        <v>2</v>
      </c>
      <c r="AL365" s="4">
        <v>0</v>
      </c>
      <c r="AM365" s="4">
        <v>1</v>
      </c>
      <c r="AN365" s="4">
        <v>0</v>
      </c>
      <c r="AO365" s="4">
        <v>0</v>
      </c>
      <c r="AP365" s="3" t="s">
        <v>58</v>
      </c>
      <c r="AQ365" s="3" t="s">
        <v>58</v>
      </c>
      <c r="AS365" s="6" t="str">
        <f>HYPERLINK("https://creighton-primo.hosted.exlibrisgroup.com/primo-explore/search?tab=default_tab&amp;search_scope=EVERYTHING&amp;vid=01CRU&amp;lang=en_US&amp;offset=0&amp;query=any,contains,991001659519702656","Catalog Record")</f>
        <v>Catalog Record</v>
      </c>
      <c r="AT365" s="6" t="str">
        <f>HYPERLINK("http://www.worldcat.org/oclc/21157848","WorldCat Record")</f>
        <v>WorldCat Record</v>
      </c>
      <c r="AU365" s="3" t="s">
        <v>4854</v>
      </c>
      <c r="AV365" s="3" t="s">
        <v>4855</v>
      </c>
      <c r="AW365" s="3" t="s">
        <v>4856</v>
      </c>
      <c r="AX365" s="3" t="s">
        <v>4856</v>
      </c>
      <c r="AY365" s="3" t="s">
        <v>4857</v>
      </c>
      <c r="AZ365" s="3" t="s">
        <v>74</v>
      </c>
      <c r="BC365" s="3" t="s">
        <v>4858</v>
      </c>
      <c r="BD365" s="3" t="s">
        <v>4859</v>
      </c>
    </row>
    <row r="366" spans="1:56" ht="57.75" customHeight="1" x14ac:dyDescent="0.25">
      <c r="A366" s="7" t="s">
        <v>58</v>
      </c>
      <c r="B366" s="2" t="s">
        <v>4860</v>
      </c>
      <c r="C366" s="2" t="s">
        <v>4861</v>
      </c>
      <c r="D366" s="2" t="s">
        <v>4862</v>
      </c>
      <c r="F366" s="3" t="s">
        <v>58</v>
      </c>
      <c r="G366" s="3" t="s">
        <v>59</v>
      </c>
      <c r="H366" s="3" t="s">
        <v>58</v>
      </c>
      <c r="I366" s="3" t="s">
        <v>58</v>
      </c>
      <c r="J366" s="3" t="s">
        <v>60</v>
      </c>
      <c r="L366" s="2" t="s">
        <v>4863</v>
      </c>
      <c r="M366" s="3" t="s">
        <v>138</v>
      </c>
      <c r="O366" s="3" t="s">
        <v>64</v>
      </c>
      <c r="P366" s="3" t="s">
        <v>65</v>
      </c>
      <c r="Q366" s="2" t="s">
        <v>4864</v>
      </c>
      <c r="R366" s="3" t="s">
        <v>3084</v>
      </c>
      <c r="S366" s="4">
        <v>4</v>
      </c>
      <c r="T366" s="4">
        <v>4</v>
      </c>
      <c r="U366" s="5" t="s">
        <v>4852</v>
      </c>
      <c r="V366" s="5" t="s">
        <v>4852</v>
      </c>
      <c r="W366" s="5" t="s">
        <v>693</v>
      </c>
      <c r="X366" s="5" t="s">
        <v>693</v>
      </c>
      <c r="Y366" s="4">
        <v>484</v>
      </c>
      <c r="Z366" s="4">
        <v>398</v>
      </c>
      <c r="AA366" s="4">
        <v>410</v>
      </c>
      <c r="AB366" s="4">
        <v>4</v>
      </c>
      <c r="AC366" s="4">
        <v>4</v>
      </c>
      <c r="AD366" s="4">
        <v>14</v>
      </c>
      <c r="AE366" s="4">
        <v>14</v>
      </c>
      <c r="AF366" s="4">
        <v>5</v>
      </c>
      <c r="AG366" s="4">
        <v>5</v>
      </c>
      <c r="AH366" s="4">
        <v>2</v>
      </c>
      <c r="AI366" s="4">
        <v>2</v>
      </c>
      <c r="AJ366" s="4">
        <v>7</v>
      </c>
      <c r="AK366" s="4">
        <v>7</v>
      </c>
      <c r="AL366" s="4">
        <v>3</v>
      </c>
      <c r="AM366" s="4">
        <v>3</v>
      </c>
      <c r="AN366" s="4">
        <v>0</v>
      </c>
      <c r="AO366" s="4">
        <v>0</v>
      </c>
      <c r="AP366" s="3" t="s">
        <v>58</v>
      </c>
      <c r="AQ366" s="3" t="s">
        <v>69</v>
      </c>
      <c r="AR366" s="6" t="str">
        <f>HYPERLINK("http://catalog.hathitrust.org/Record/000188616","HathiTrust Record")</f>
        <v>HathiTrust Record</v>
      </c>
      <c r="AS366" s="6" t="str">
        <f>HYPERLINK("https://creighton-primo.hosted.exlibrisgroup.com/primo-explore/search?tab=default_tab&amp;search_scope=EVERYTHING&amp;vid=01CRU&amp;lang=en_US&amp;offset=0&amp;query=any,contains,991004874189702656","Catalog Record")</f>
        <v>Catalog Record</v>
      </c>
      <c r="AT366" s="6" t="str">
        <f>HYPERLINK("http://www.worldcat.org/oclc/5777347","WorldCat Record")</f>
        <v>WorldCat Record</v>
      </c>
      <c r="AU366" s="3" t="s">
        <v>4865</v>
      </c>
      <c r="AV366" s="3" t="s">
        <v>4866</v>
      </c>
      <c r="AW366" s="3" t="s">
        <v>4867</v>
      </c>
      <c r="AX366" s="3" t="s">
        <v>4867</v>
      </c>
      <c r="AY366" s="3" t="s">
        <v>4868</v>
      </c>
      <c r="AZ366" s="3" t="s">
        <v>74</v>
      </c>
      <c r="BB366" s="3" t="s">
        <v>4869</v>
      </c>
      <c r="BC366" s="3" t="s">
        <v>4870</v>
      </c>
      <c r="BD366" s="3" t="s">
        <v>4871</v>
      </c>
    </row>
    <row r="367" spans="1:56" ht="57.75" customHeight="1" x14ac:dyDescent="0.25">
      <c r="A367" s="7" t="s">
        <v>58</v>
      </c>
      <c r="B367" s="2" t="s">
        <v>4872</v>
      </c>
      <c r="C367" s="2" t="s">
        <v>4873</v>
      </c>
      <c r="D367" s="2" t="s">
        <v>4874</v>
      </c>
      <c r="F367" s="3" t="s">
        <v>58</v>
      </c>
      <c r="G367" s="3" t="s">
        <v>59</v>
      </c>
      <c r="H367" s="3" t="s">
        <v>58</v>
      </c>
      <c r="I367" s="3" t="s">
        <v>58</v>
      </c>
      <c r="J367" s="3" t="s">
        <v>60</v>
      </c>
      <c r="K367" s="2" t="s">
        <v>4875</v>
      </c>
      <c r="L367" s="2" t="s">
        <v>4876</v>
      </c>
      <c r="M367" s="3" t="s">
        <v>1986</v>
      </c>
      <c r="N367" s="2" t="s">
        <v>2338</v>
      </c>
      <c r="O367" s="3" t="s">
        <v>64</v>
      </c>
      <c r="P367" s="3" t="s">
        <v>453</v>
      </c>
      <c r="R367" s="3" t="s">
        <v>3084</v>
      </c>
      <c r="S367" s="4">
        <v>4</v>
      </c>
      <c r="T367" s="4">
        <v>4</v>
      </c>
      <c r="U367" s="5" t="s">
        <v>4877</v>
      </c>
      <c r="V367" s="5" t="s">
        <v>4877</v>
      </c>
      <c r="W367" s="5" t="s">
        <v>4878</v>
      </c>
      <c r="X367" s="5" t="s">
        <v>4878</v>
      </c>
      <c r="Y367" s="4">
        <v>173</v>
      </c>
      <c r="Z367" s="4">
        <v>124</v>
      </c>
      <c r="AA367" s="4">
        <v>607</v>
      </c>
      <c r="AB367" s="4">
        <v>2</v>
      </c>
      <c r="AC367" s="4">
        <v>7</v>
      </c>
      <c r="AD367" s="4">
        <v>6</v>
      </c>
      <c r="AE367" s="4">
        <v>32</v>
      </c>
      <c r="AF367" s="4">
        <v>2</v>
      </c>
      <c r="AG367" s="4">
        <v>12</v>
      </c>
      <c r="AH367" s="4">
        <v>1</v>
      </c>
      <c r="AI367" s="4">
        <v>7</v>
      </c>
      <c r="AJ367" s="4">
        <v>3</v>
      </c>
      <c r="AK367" s="4">
        <v>14</v>
      </c>
      <c r="AL367" s="4">
        <v>1</v>
      </c>
      <c r="AM367" s="4">
        <v>6</v>
      </c>
      <c r="AN367" s="4">
        <v>0</v>
      </c>
      <c r="AO367" s="4">
        <v>1</v>
      </c>
      <c r="AP367" s="3" t="s">
        <v>58</v>
      </c>
      <c r="AQ367" s="3" t="s">
        <v>58</v>
      </c>
      <c r="AS367" s="6" t="str">
        <f>HYPERLINK("https://creighton-primo.hosted.exlibrisgroup.com/primo-explore/search?tab=default_tab&amp;search_scope=EVERYTHING&amp;vid=01CRU&amp;lang=en_US&amp;offset=0&amp;query=any,contains,991002979389702656","Catalog Record")</f>
        <v>Catalog Record</v>
      </c>
      <c r="AT367" s="6" t="str">
        <f>HYPERLINK("http://www.worldcat.org/oclc/40051054","WorldCat Record")</f>
        <v>WorldCat Record</v>
      </c>
      <c r="AU367" s="3" t="s">
        <v>4879</v>
      </c>
      <c r="AV367" s="3" t="s">
        <v>4880</v>
      </c>
      <c r="AW367" s="3" t="s">
        <v>4881</v>
      </c>
      <c r="AX367" s="3" t="s">
        <v>4881</v>
      </c>
      <c r="AY367" s="3" t="s">
        <v>4882</v>
      </c>
      <c r="AZ367" s="3" t="s">
        <v>74</v>
      </c>
      <c r="BB367" s="3" t="s">
        <v>4883</v>
      </c>
      <c r="BC367" s="3" t="s">
        <v>4884</v>
      </c>
      <c r="BD367" s="3" t="s">
        <v>4885</v>
      </c>
    </row>
    <row r="368" spans="1:56" ht="57.75" customHeight="1" x14ac:dyDescent="0.25">
      <c r="A368" s="7" t="s">
        <v>58</v>
      </c>
      <c r="B368" s="2" t="s">
        <v>4886</v>
      </c>
      <c r="C368" s="2" t="s">
        <v>4887</v>
      </c>
      <c r="D368" s="2" t="s">
        <v>4888</v>
      </c>
      <c r="F368" s="3" t="s">
        <v>58</v>
      </c>
      <c r="G368" s="3" t="s">
        <v>59</v>
      </c>
      <c r="H368" s="3" t="s">
        <v>58</v>
      </c>
      <c r="I368" s="3" t="s">
        <v>58</v>
      </c>
      <c r="J368" s="3" t="s">
        <v>60</v>
      </c>
      <c r="K368" s="2" t="s">
        <v>4889</v>
      </c>
      <c r="L368" s="2" t="s">
        <v>4890</v>
      </c>
      <c r="M368" s="3" t="s">
        <v>138</v>
      </c>
      <c r="O368" s="3" t="s">
        <v>64</v>
      </c>
      <c r="P368" s="3" t="s">
        <v>65</v>
      </c>
      <c r="R368" s="3" t="s">
        <v>3084</v>
      </c>
      <c r="S368" s="4">
        <v>4</v>
      </c>
      <c r="T368" s="4">
        <v>4</v>
      </c>
      <c r="U368" s="5" t="s">
        <v>4877</v>
      </c>
      <c r="V368" s="5" t="s">
        <v>4877</v>
      </c>
      <c r="W368" s="5" t="s">
        <v>2697</v>
      </c>
      <c r="X368" s="5" t="s">
        <v>2697</v>
      </c>
      <c r="Y368" s="4">
        <v>358</v>
      </c>
      <c r="Z368" s="4">
        <v>320</v>
      </c>
      <c r="AA368" s="4">
        <v>322</v>
      </c>
      <c r="AB368" s="4">
        <v>4</v>
      </c>
      <c r="AC368" s="4">
        <v>4</v>
      </c>
      <c r="AD368" s="4">
        <v>13</v>
      </c>
      <c r="AE368" s="4">
        <v>13</v>
      </c>
      <c r="AF368" s="4">
        <v>7</v>
      </c>
      <c r="AG368" s="4">
        <v>7</v>
      </c>
      <c r="AH368" s="4">
        <v>1</v>
      </c>
      <c r="AI368" s="4">
        <v>1</v>
      </c>
      <c r="AJ368" s="4">
        <v>4</v>
      </c>
      <c r="AK368" s="4">
        <v>4</v>
      </c>
      <c r="AL368" s="4">
        <v>3</v>
      </c>
      <c r="AM368" s="4">
        <v>3</v>
      </c>
      <c r="AN368" s="4">
        <v>0</v>
      </c>
      <c r="AO368" s="4">
        <v>0</v>
      </c>
      <c r="AP368" s="3" t="s">
        <v>58</v>
      </c>
      <c r="AQ368" s="3" t="s">
        <v>69</v>
      </c>
      <c r="AR368" s="6" t="str">
        <f>HYPERLINK("http://catalog.hathitrust.org/Record/000087024","HathiTrust Record")</f>
        <v>HathiTrust Record</v>
      </c>
      <c r="AS368" s="6" t="str">
        <f>HYPERLINK("https://creighton-primo.hosted.exlibrisgroup.com/primo-explore/search?tab=default_tab&amp;search_scope=EVERYTHING&amp;vid=01CRU&amp;lang=en_US&amp;offset=0&amp;query=any,contains,991004991869702656","Catalog Record")</f>
        <v>Catalog Record</v>
      </c>
      <c r="AT368" s="6" t="str">
        <f>HYPERLINK("http://www.worldcat.org/oclc/6487544","WorldCat Record")</f>
        <v>WorldCat Record</v>
      </c>
      <c r="AU368" s="3" t="s">
        <v>4891</v>
      </c>
      <c r="AV368" s="3" t="s">
        <v>4892</v>
      </c>
      <c r="AW368" s="3" t="s">
        <v>4893</v>
      </c>
      <c r="AX368" s="3" t="s">
        <v>4893</v>
      </c>
      <c r="AY368" s="3" t="s">
        <v>4894</v>
      </c>
      <c r="AZ368" s="3" t="s">
        <v>74</v>
      </c>
      <c r="BB368" s="3" t="s">
        <v>4895</v>
      </c>
      <c r="BC368" s="3" t="s">
        <v>4896</v>
      </c>
      <c r="BD368" s="3" t="s">
        <v>4897</v>
      </c>
    </row>
  </sheetData>
  <sheetProtection sheet="1" objects="1" scenarios="1"/>
  <protectedRanges>
    <protectedRange sqref="A2:A368" name="Range1"/>
    <protectedRange sqref="A1" name="Range1_1"/>
  </protectedRanges>
  <dataValidations count="1">
    <dataValidation type="list" allowBlank="1" showInputMessage="1" showErrorMessage="1" sqref="A2:A368" xr:uid="{4CF661AA-1BE0-44F4-8C1E-1E0CA0CF52F5}">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EA5C5504-A431-41AD-ABCC-22FC7BA039DB}"/>
</file>

<file path=customXml/itemProps2.xml><?xml version="1.0" encoding="utf-8"?>
<ds:datastoreItem xmlns:ds="http://schemas.openxmlformats.org/officeDocument/2006/customXml" ds:itemID="{D0CCD61D-0EC9-449E-BCCE-74789692FB0F}"/>
</file>

<file path=customXml/itemProps3.xml><?xml version="1.0" encoding="utf-8"?>
<ds:datastoreItem xmlns:ds="http://schemas.openxmlformats.org/officeDocument/2006/customXml" ds:itemID="{525C66F4-6B18-488F-85C8-5AA3D84101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2022-03-04T01:54:26Z</dcterms:created>
  <dcterms:modified xsi:type="dcterms:W3CDTF">2022-03-04T01:56:20Z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286600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