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7AEB8A3B-F2DA-4A2D-9A3D-A1DF0B38A6C6}" xr6:coauthVersionLast="47" xr6:coauthVersionMax="47" xr10:uidLastSave="{00000000-0000-0000-0000-000000000000}"/>
  <bookViews>
    <workbookView xWindow="-120" yWindow="-120" windowWidth="29040" windowHeight="15840" xr2:uid="{26A82D1F-8EFB-4C4F-AE24-05D70B86B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30" i="1" l="1"/>
  <c r="AS230" i="1"/>
  <c r="AR230" i="1"/>
  <c r="AT229" i="1"/>
  <c r="AS229" i="1"/>
  <c r="AT228" i="1"/>
  <c r="AS228" i="1"/>
  <c r="AT227" i="1"/>
  <c r="AS227" i="1"/>
  <c r="AR227" i="1"/>
  <c r="AT226" i="1"/>
  <c r="AS226" i="1"/>
  <c r="AR226" i="1"/>
  <c r="AT225" i="1"/>
  <c r="AS225" i="1"/>
  <c r="AR225" i="1"/>
  <c r="AT224" i="1"/>
  <c r="AS224" i="1"/>
  <c r="AR224" i="1"/>
  <c r="AT223" i="1"/>
  <c r="AS223" i="1"/>
  <c r="AT222" i="1"/>
  <c r="AS222" i="1"/>
  <c r="AT221" i="1"/>
  <c r="AS221" i="1"/>
  <c r="AT220" i="1"/>
  <c r="AS220" i="1"/>
  <c r="AT219" i="1"/>
  <c r="AS219" i="1"/>
  <c r="AT218" i="1"/>
  <c r="AS218" i="1"/>
  <c r="AR218" i="1"/>
  <c r="AT217" i="1"/>
  <c r="AS217" i="1"/>
  <c r="AR217" i="1"/>
  <c r="AT216" i="1"/>
  <c r="AS216" i="1"/>
  <c r="AR216" i="1"/>
  <c r="AT215" i="1"/>
  <c r="AS215" i="1"/>
  <c r="AT214" i="1"/>
  <c r="AS214" i="1"/>
  <c r="AR214" i="1"/>
  <c r="AT213" i="1"/>
  <c r="AS213" i="1"/>
  <c r="AR213" i="1"/>
  <c r="AT212" i="1"/>
  <c r="AS212" i="1"/>
  <c r="AR212" i="1"/>
  <c r="AT211" i="1"/>
  <c r="AS211" i="1"/>
  <c r="AR211" i="1"/>
  <c r="AT210" i="1"/>
  <c r="AS210" i="1"/>
  <c r="AR210" i="1"/>
  <c r="AT209" i="1"/>
  <c r="AS209" i="1"/>
  <c r="AR209" i="1"/>
  <c r="AT208" i="1"/>
  <c r="AS208" i="1"/>
  <c r="AT207" i="1"/>
  <c r="AS207" i="1"/>
  <c r="AT206" i="1"/>
  <c r="AS206" i="1"/>
  <c r="AR206" i="1"/>
  <c r="AT205" i="1"/>
  <c r="AS205" i="1"/>
  <c r="AT204" i="1"/>
  <c r="AS204" i="1"/>
  <c r="AT203" i="1"/>
  <c r="AS203" i="1"/>
  <c r="AR203" i="1"/>
  <c r="AT202" i="1"/>
  <c r="AS202" i="1"/>
  <c r="AR202" i="1"/>
  <c r="AT201" i="1"/>
  <c r="AS201" i="1"/>
  <c r="AR201" i="1"/>
  <c r="AT200" i="1"/>
  <c r="AS200" i="1"/>
  <c r="AR200" i="1"/>
  <c r="AT199" i="1"/>
  <c r="AS199" i="1"/>
  <c r="AR199" i="1"/>
  <c r="AT198" i="1"/>
  <c r="AS198" i="1"/>
  <c r="AR198" i="1"/>
  <c r="AT197" i="1"/>
  <c r="AS197" i="1"/>
  <c r="AR197" i="1"/>
  <c r="AT196" i="1"/>
  <c r="AS196" i="1"/>
  <c r="AT195" i="1"/>
  <c r="AS195" i="1"/>
  <c r="AT194" i="1"/>
  <c r="AS194" i="1"/>
  <c r="AT193" i="1"/>
  <c r="AS193" i="1"/>
  <c r="AT192" i="1"/>
  <c r="AS192" i="1"/>
  <c r="AT191" i="1"/>
  <c r="AS191" i="1"/>
  <c r="AT190" i="1"/>
  <c r="AS190" i="1"/>
  <c r="AT189" i="1"/>
  <c r="AS189" i="1"/>
  <c r="AT188" i="1"/>
  <c r="AS188" i="1"/>
  <c r="AT187" i="1"/>
  <c r="AS187" i="1"/>
  <c r="AT186" i="1"/>
  <c r="AS186" i="1"/>
  <c r="AR186" i="1"/>
  <c r="AT185" i="1"/>
  <c r="AS185" i="1"/>
  <c r="AR185" i="1"/>
  <c r="AT184" i="1"/>
  <c r="AS184" i="1"/>
  <c r="AR184" i="1"/>
  <c r="AT183" i="1"/>
  <c r="AS183" i="1"/>
  <c r="AR183" i="1"/>
  <c r="AT182" i="1"/>
  <c r="AS182" i="1"/>
  <c r="AT181" i="1"/>
  <c r="AS181" i="1"/>
  <c r="AT180" i="1"/>
  <c r="AS180" i="1"/>
  <c r="AT179" i="1"/>
  <c r="AS179" i="1"/>
  <c r="AR179" i="1"/>
  <c r="AT178" i="1"/>
  <c r="AS178" i="1"/>
  <c r="AR178" i="1"/>
  <c r="AT177" i="1"/>
  <c r="AS177" i="1"/>
  <c r="AR177" i="1"/>
  <c r="AT176" i="1"/>
  <c r="AS176" i="1"/>
  <c r="AT175" i="1"/>
  <c r="AS175" i="1"/>
  <c r="AT174" i="1"/>
  <c r="AS174" i="1"/>
  <c r="AR174" i="1"/>
  <c r="AT173" i="1"/>
  <c r="AS173" i="1"/>
  <c r="AR173" i="1"/>
  <c r="AT172" i="1"/>
  <c r="AS172" i="1"/>
  <c r="AR172" i="1"/>
  <c r="AT171" i="1"/>
  <c r="AS171" i="1"/>
  <c r="AR171" i="1"/>
  <c r="AT170" i="1"/>
  <c r="AS170" i="1"/>
  <c r="AR170" i="1"/>
  <c r="AT169" i="1"/>
  <c r="AS169" i="1"/>
  <c r="AT168" i="1"/>
  <c r="AS168" i="1"/>
  <c r="AT167" i="1"/>
  <c r="AS167" i="1"/>
  <c r="AT166" i="1"/>
  <c r="AS166" i="1"/>
  <c r="AT165" i="1"/>
  <c r="AS165" i="1"/>
  <c r="AT164" i="1"/>
  <c r="AS164" i="1"/>
  <c r="AT163" i="1"/>
  <c r="AS163" i="1"/>
  <c r="AR163" i="1"/>
  <c r="AT162" i="1"/>
  <c r="AS162" i="1"/>
  <c r="AR162" i="1"/>
  <c r="AT161" i="1"/>
  <c r="AS161" i="1"/>
  <c r="AR161" i="1"/>
  <c r="AT160" i="1"/>
  <c r="AS160" i="1"/>
  <c r="AT159" i="1"/>
  <c r="AS159" i="1"/>
  <c r="AR159" i="1"/>
  <c r="AT158" i="1"/>
  <c r="AS158" i="1"/>
  <c r="AT157" i="1"/>
  <c r="AS157" i="1"/>
  <c r="AR157" i="1"/>
  <c r="AT156" i="1"/>
  <c r="AS156" i="1"/>
  <c r="AT155" i="1"/>
  <c r="AS155" i="1"/>
  <c r="AT154" i="1"/>
  <c r="AS154" i="1"/>
  <c r="AT153" i="1"/>
  <c r="AS153" i="1"/>
  <c r="AR153" i="1"/>
  <c r="AT152" i="1"/>
  <c r="AS152" i="1"/>
  <c r="AT151" i="1"/>
  <c r="AS151" i="1"/>
  <c r="AR151" i="1"/>
  <c r="AT150" i="1"/>
  <c r="AS150" i="1"/>
  <c r="AT149" i="1"/>
  <c r="AS149" i="1"/>
  <c r="AT148" i="1"/>
  <c r="AS148" i="1"/>
  <c r="AT147" i="1"/>
  <c r="AS147" i="1"/>
  <c r="AT146" i="1"/>
  <c r="AS146" i="1"/>
  <c r="AR146" i="1"/>
  <c r="AT145" i="1"/>
  <c r="AS145" i="1"/>
  <c r="AT144" i="1"/>
  <c r="AS144" i="1"/>
  <c r="AT143" i="1"/>
  <c r="AS143" i="1"/>
  <c r="AR143" i="1"/>
  <c r="AT142" i="1"/>
  <c r="AS142" i="1"/>
  <c r="AT141" i="1"/>
  <c r="AS141" i="1"/>
  <c r="AT140" i="1"/>
  <c r="AS140" i="1"/>
  <c r="AR140" i="1"/>
  <c r="AT139" i="1"/>
  <c r="AS139" i="1"/>
  <c r="AR139" i="1"/>
  <c r="AT138" i="1"/>
  <c r="AS138" i="1"/>
  <c r="AT137" i="1"/>
  <c r="AS137" i="1"/>
  <c r="AT136" i="1"/>
  <c r="AS136" i="1"/>
  <c r="AT135" i="1"/>
  <c r="AS135" i="1"/>
  <c r="AT134" i="1"/>
  <c r="AS134" i="1"/>
  <c r="AR134" i="1"/>
  <c r="AT133" i="1"/>
  <c r="AS133" i="1"/>
  <c r="AR133" i="1"/>
  <c r="AT132" i="1"/>
  <c r="AS132" i="1"/>
  <c r="AR132" i="1"/>
  <c r="AT131" i="1"/>
  <c r="AS131" i="1"/>
  <c r="AT130" i="1"/>
  <c r="AS130" i="1"/>
  <c r="AR130" i="1"/>
  <c r="AT129" i="1"/>
  <c r="AS129" i="1"/>
  <c r="AR129" i="1"/>
  <c r="AT128" i="1"/>
  <c r="AS128" i="1"/>
  <c r="AR128" i="1"/>
  <c r="AT127" i="1"/>
  <c r="AS127" i="1"/>
  <c r="AR127" i="1"/>
  <c r="AT126" i="1"/>
  <c r="AS126" i="1"/>
  <c r="AR126" i="1"/>
  <c r="AT125" i="1"/>
  <c r="AS125" i="1"/>
  <c r="AR125" i="1"/>
  <c r="AT124" i="1"/>
  <c r="AS124" i="1"/>
  <c r="AR124" i="1"/>
  <c r="AT123" i="1"/>
  <c r="AS123" i="1"/>
  <c r="AT122" i="1"/>
  <c r="AS122" i="1"/>
  <c r="AT121" i="1"/>
  <c r="AS121" i="1"/>
  <c r="AR121" i="1"/>
  <c r="AT120" i="1"/>
  <c r="AS120" i="1"/>
  <c r="AT119" i="1"/>
  <c r="AS119" i="1"/>
  <c r="AR119" i="1"/>
  <c r="AT118" i="1"/>
  <c r="AS118" i="1"/>
  <c r="AT117" i="1"/>
  <c r="AS117" i="1"/>
  <c r="AT116" i="1"/>
  <c r="AS116" i="1"/>
  <c r="AT115" i="1"/>
  <c r="AS115" i="1"/>
  <c r="AT114" i="1"/>
  <c r="AS114" i="1"/>
  <c r="AT113" i="1"/>
  <c r="AS113" i="1"/>
  <c r="AT112" i="1"/>
  <c r="AS112" i="1"/>
  <c r="AR112" i="1"/>
  <c r="AT111" i="1"/>
  <c r="AS111" i="1"/>
  <c r="AR111" i="1"/>
  <c r="AT110" i="1"/>
  <c r="AS110" i="1"/>
  <c r="AR110" i="1"/>
  <c r="AT109" i="1"/>
  <c r="AS109" i="1"/>
  <c r="AT108" i="1"/>
  <c r="AS108" i="1"/>
  <c r="AR108" i="1"/>
  <c r="AT107" i="1"/>
  <c r="AS107" i="1"/>
  <c r="AR107" i="1"/>
  <c r="AT106" i="1"/>
  <c r="AS106" i="1"/>
  <c r="AR106" i="1"/>
  <c r="AT105" i="1"/>
  <c r="AS105" i="1"/>
  <c r="AT104" i="1"/>
  <c r="AS104" i="1"/>
  <c r="AT103" i="1"/>
  <c r="AS103" i="1"/>
  <c r="AT102" i="1"/>
  <c r="AS102" i="1"/>
  <c r="AR102" i="1"/>
  <c r="AT101" i="1"/>
  <c r="AS101" i="1"/>
  <c r="AR101" i="1"/>
  <c r="AT100" i="1"/>
  <c r="AS100" i="1"/>
  <c r="AT99" i="1"/>
  <c r="AS99" i="1"/>
  <c r="AR99" i="1"/>
  <c r="AT98" i="1"/>
  <c r="AS98" i="1"/>
  <c r="AR98" i="1"/>
  <c r="AT97" i="1"/>
  <c r="AS97" i="1"/>
  <c r="AT96" i="1"/>
  <c r="AS96" i="1"/>
  <c r="AT95" i="1"/>
  <c r="AS95" i="1"/>
  <c r="AT94" i="1"/>
  <c r="AS94" i="1"/>
  <c r="AT93" i="1"/>
  <c r="AS93" i="1"/>
  <c r="AR93" i="1"/>
  <c r="AT92" i="1"/>
  <c r="AS92" i="1"/>
  <c r="AR92" i="1"/>
  <c r="AT91" i="1"/>
  <c r="AS91" i="1"/>
  <c r="AT90" i="1"/>
  <c r="AS90" i="1"/>
  <c r="AT89" i="1"/>
  <c r="AS89" i="1"/>
  <c r="AR89" i="1"/>
  <c r="AT88" i="1"/>
  <c r="AS88" i="1"/>
  <c r="AT87" i="1"/>
  <c r="AS87" i="1"/>
  <c r="AT86" i="1"/>
  <c r="AS86" i="1"/>
  <c r="AT85" i="1"/>
  <c r="AS85" i="1"/>
  <c r="AT84" i="1"/>
  <c r="AS84" i="1"/>
  <c r="AR84" i="1"/>
  <c r="AT83" i="1"/>
  <c r="AS83" i="1"/>
  <c r="AT82" i="1"/>
  <c r="AS82" i="1"/>
  <c r="AT81" i="1"/>
  <c r="AS81" i="1"/>
  <c r="AR81" i="1"/>
  <c r="AT80" i="1"/>
  <c r="AS80" i="1"/>
  <c r="AT79" i="1"/>
  <c r="AS79" i="1"/>
  <c r="AT78" i="1"/>
  <c r="AS78" i="1"/>
  <c r="AR78" i="1"/>
  <c r="AT77" i="1"/>
  <c r="AS77" i="1"/>
  <c r="AT76" i="1"/>
  <c r="AS76" i="1"/>
  <c r="AR76" i="1"/>
  <c r="AT75" i="1"/>
  <c r="AS75" i="1"/>
  <c r="AR75" i="1"/>
  <c r="AT74" i="1"/>
  <c r="AS74" i="1"/>
  <c r="AT73" i="1"/>
  <c r="AS73" i="1"/>
  <c r="AR73" i="1"/>
  <c r="AT72" i="1"/>
  <c r="AS72" i="1"/>
  <c r="AR72" i="1"/>
  <c r="AT71" i="1"/>
  <c r="AS71" i="1"/>
  <c r="AR71" i="1"/>
  <c r="AT70" i="1"/>
  <c r="AS70" i="1"/>
  <c r="AT69" i="1"/>
  <c r="AS69" i="1"/>
  <c r="AR69" i="1"/>
  <c r="AT68" i="1"/>
  <c r="AS68" i="1"/>
  <c r="AR68" i="1"/>
  <c r="AT67" i="1"/>
  <c r="AS67" i="1"/>
  <c r="AT66" i="1"/>
  <c r="AS66" i="1"/>
  <c r="AT65" i="1"/>
  <c r="AS65" i="1"/>
  <c r="AT64" i="1"/>
  <c r="AS64" i="1"/>
  <c r="AT63" i="1"/>
  <c r="AS63" i="1"/>
  <c r="AT62" i="1"/>
  <c r="AS62" i="1"/>
  <c r="AT61" i="1"/>
  <c r="AS61" i="1"/>
  <c r="AT60" i="1"/>
  <c r="AS60" i="1"/>
  <c r="AR60" i="1"/>
  <c r="AT59" i="1"/>
  <c r="AS59" i="1"/>
  <c r="AR59" i="1"/>
  <c r="AT58" i="1"/>
  <c r="AS58" i="1"/>
  <c r="AR58" i="1"/>
  <c r="AT57" i="1"/>
  <c r="AS57" i="1"/>
  <c r="AR57" i="1"/>
  <c r="AT56" i="1"/>
  <c r="AS56" i="1"/>
  <c r="AR56" i="1"/>
  <c r="AT55" i="1"/>
  <c r="AS55" i="1"/>
  <c r="AT54" i="1"/>
  <c r="AS54" i="1"/>
  <c r="AT53" i="1"/>
  <c r="AS53" i="1"/>
  <c r="AR53" i="1"/>
  <c r="AT52" i="1"/>
  <c r="AS52" i="1"/>
  <c r="AT51" i="1"/>
  <c r="AS51" i="1"/>
  <c r="AT50" i="1"/>
  <c r="AS50" i="1"/>
  <c r="AT49" i="1"/>
  <c r="AS49" i="1"/>
  <c r="AT48" i="1"/>
  <c r="AS48" i="1"/>
  <c r="AT47" i="1"/>
  <c r="AS47" i="1"/>
  <c r="AR47" i="1"/>
  <c r="AT46" i="1"/>
  <c r="AS46" i="1"/>
  <c r="AT45" i="1"/>
  <c r="AS45" i="1"/>
  <c r="AR45" i="1"/>
  <c r="AT44" i="1"/>
  <c r="AS44" i="1"/>
  <c r="AR44" i="1"/>
  <c r="AT43" i="1"/>
  <c r="AS43" i="1"/>
  <c r="AR43" i="1"/>
  <c r="AT42" i="1"/>
  <c r="AS42" i="1"/>
  <c r="AT41" i="1"/>
  <c r="AS41" i="1"/>
  <c r="AT40" i="1"/>
  <c r="AS40" i="1"/>
  <c r="AT39" i="1"/>
  <c r="AS39" i="1"/>
  <c r="AR39" i="1"/>
  <c r="AT38" i="1"/>
  <c r="AS38" i="1"/>
  <c r="AR38" i="1"/>
  <c r="AT37" i="1"/>
  <c r="AS37" i="1"/>
  <c r="AR37" i="1"/>
  <c r="AT36" i="1"/>
  <c r="AS36" i="1"/>
  <c r="AR36" i="1"/>
  <c r="AT35" i="1"/>
  <c r="AS35" i="1"/>
  <c r="AT34" i="1"/>
  <c r="AS34" i="1"/>
  <c r="AT33" i="1"/>
  <c r="AS33" i="1"/>
  <c r="AR33" i="1"/>
  <c r="AT32" i="1"/>
  <c r="AS32" i="1"/>
  <c r="AT31" i="1"/>
  <c r="AS31" i="1"/>
  <c r="AR31" i="1"/>
  <c r="AT30" i="1"/>
  <c r="AS30" i="1"/>
  <c r="AT29" i="1"/>
  <c r="AS29" i="1"/>
  <c r="AR29" i="1"/>
  <c r="AT28" i="1"/>
  <c r="AS28" i="1"/>
  <c r="AR28" i="1"/>
  <c r="AT27" i="1"/>
  <c r="AS27" i="1"/>
  <c r="AR27" i="1"/>
  <c r="AT26" i="1"/>
  <c r="AS26" i="1"/>
  <c r="AR26" i="1"/>
  <c r="AT25" i="1"/>
  <c r="AS25" i="1"/>
  <c r="AT24" i="1"/>
  <c r="AS24" i="1"/>
  <c r="AR24" i="1"/>
  <c r="AT23" i="1"/>
  <c r="AS23" i="1"/>
  <c r="AR23" i="1"/>
  <c r="AT22" i="1"/>
  <c r="AS22" i="1"/>
  <c r="AR22" i="1"/>
  <c r="AT21" i="1"/>
  <c r="AS21" i="1"/>
  <c r="AT20" i="1"/>
  <c r="AS20" i="1"/>
  <c r="AR20" i="1"/>
  <c r="AT19" i="1"/>
  <c r="AS19" i="1"/>
  <c r="AR19" i="1"/>
  <c r="AT18" i="1"/>
  <c r="AS18" i="1"/>
  <c r="AR18" i="1"/>
  <c r="AT17" i="1"/>
  <c r="AS17" i="1"/>
  <c r="AR17" i="1"/>
  <c r="AT16" i="1"/>
  <c r="AS16" i="1"/>
  <c r="AR16" i="1"/>
  <c r="AT15" i="1"/>
  <c r="AS15" i="1"/>
  <c r="AR15" i="1"/>
  <c r="AT14" i="1"/>
  <c r="AS14" i="1"/>
  <c r="AT13" i="1"/>
  <c r="AS13" i="1"/>
  <c r="AT12" i="1"/>
  <c r="AS12" i="1"/>
  <c r="AR12" i="1"/>
  <c r="AT11" i="1"/>
  <c r="AS11" i="1"/>
  <c r="AR11" i="1"/>
  <c r="AT10" i="1"/>
  <c r="AS10" i="1"/>
  <c r="AR10" i="1"/>
  <c r="AT9" i="1"/>
  <c r="AS9" i="1"/>
  <c r="AR9" i="1"/>
  <c r="AT8" i="1"/>
  <c r="AS8" i="1"/>
  <c r="AT7" i="1"/>
  <c r="AS7" i="1"/>
  <c r="AR7" i="1"/>
  <c r="AT6" i="1"/>
  <c r="AS6" i="1"/>
  <c r="AT5" i="1"/>
  <c r="AS5" i="1"/>
  <c r="AR5" i="1"/>
  <c r="AT4" i="1"/>
  <c r="AS4" i="1"/>
  <c r="AT3" i="1"/>
  <c r="AS3" i="1"/>
  <c r="AR3" i="1"/>
  <c r="AT2" i="1"/>
  <c r="AS2" i="1"/>
</calcChain>
</file>

<file path=xl/sharedStrings.xml><?xml version="1.0" encoding="utf-8"?>
<sst xmlns="http://schemas.openxmlformats.org/spreadsheetml/2006/main" count="6963" uniqueCount="3033">
  <si>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</si>
  <si>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</si>
  <si>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</si>
  <si>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</si>
  <si>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</si>
  <si>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</si>
  <si>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</si>
  <si>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</si>
  <si>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</si>
  <si>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</si>
  <si>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</si>
  <si>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</si>
  <si>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</si>
  <si>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</si>
  <si>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</si>
  <si>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</si>
  <si>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</si>
  <si>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</si>
  <si>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</si>
  <si>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</si>
  <si>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</si>
  <si>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</si>
  <si>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</si>
  <si>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</si>
  <si>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</si>
  <si>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</si>
  <si>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</si>
  <si>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</si>
  <si>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</si>
  <si>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</si>
  <si>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</si>
  <si>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</si>
  <si>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</si>
  <si>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</si>
  <si>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</si>
  <si>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</si>
  <si>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</si>
  <si>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</si>
  <si>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</si>
  <si>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</si>
  <si>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</si>
  <si>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</si>
  <si>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</si>
  <si>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</si>
  <si>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</si>
  <si>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</si>
  <si>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</si>
  <si>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</si>
  <si>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</si>
  <si>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</si>
  <si>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</si>
  <si>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</si>
  <si>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</si>
  <si>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</si>
  <si>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</si>
  <si>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PB1013 .C45 1992b</t>
  </si>
  <si>
    <t>0                      PB 1013000C  45          1992b</t>
  </si>
  <si>
    <t>The Celtic connection / edited by Glanville Price.</t>
  </si>
  <si>
    <t>No</t>
  </si>
  <si>
    <t>1</t>
  </si>
  <si>
    <t>0</t>
  </si>
  <si>
    <t>Gerrards Cross : Colin Smythe, 1992.</t>
  </si>
  <si>
    <t>1992</t>
  </si>
  <si>
    <t>eng</t>
  </si>
  <si>
    <t>enk</t>
  </si>
  <si>
    <t>Princess Grace Irish Library series, 0269-2619 ; 6</t>
  </si>
  <si>
    <t xml:space="preserve">PB </t>
  </si>
  <si>
    <t>2003-12-14</t>
  </si>
  <si>
    <t>1993-12-10</t>
  </si>
  <si>
    <t>56130029:eng</t>
  </si>
  <si>
    <t>35961603</t>
  </si>
  <si>
    <t>991001955259702656</t>
  </si>
  <si>
    <t>2256459480002656</t>
  </si>
  <si>
    <t>BOOK</t>
  </si>
  <si>
    <t>9780861402489</t>
  </si>
  <si>
    <t>32285001815447</t>
  </si>
  <si>
    <t>893427041</t>
  </si>
  <si>
    <t>PB1096 .M3 1970</t>
  </si>
  <si>
    <t>0                      PB 1096000M  3           1970</t>
  </si>
  <si>
    <t>The literature of the Celts.</t>
  </si>
  <si>
    <t>Maclean, Magnus, 1857-1937.</t>
  </si>
  <si>
    <t>Port Washington, N.Y., Kennikat Press [1970]</t>
  </si>
  <si>
    <t>1970</t>
  </si>
  <si>
    <t>nyu</t>
  </si>
  <si>
    <t>Kennikat Press scholarly reprints. Irish history and culture</t>
  </si>
  <si>
    <t>1995-01-31</t>
  </si>
  <si>
    <t>1991-12-09</t>
  </si>
  <si>
    <t>Yes</t>
  </si>
  <si>
    <t>1193117:eng</t>
  </si>
  <si>
    <t>57615</t>
  </si>
  <si>
    <t>991000140369702656</t>
  </si>
  <si>
    <t>2261714520002656</t>
  </si>
  <si>
    <t>9780804607902</t>
  </si>
  <si>
    <t>32285000885581</t>
  </si>
  <si>
    <t>893808615</t>
  </si>
  <si>
    <t>PB1096 .R6</t>
  </si>
  <si>
    <t>0                      PB 1096000R  6</t>
  </si>
  <si>
    <t>The Celtic race / by T. W. Rolleston.</t>
  </si>
  <si>
    <t>Rolleston, T. W. (Thomas William), 1857-1920.</t>
  </si>
  <si>
    <t>Boston : Nickerson, [19--?]</t>
  </si>
  <si>
    <t>The folkore ed.</t>
  </si>
  <si>
    <t>mau</t>
  </si>
  <si>
    <t>Myths and legends</t>
  </si>
  <si>
    <t>1996-10-31</t>
  </si>
  <si>
    <t>1992-01-30</t>
  </si>
  <si>
    <t>3305783:eng</t>
  </si>
  <si>
    <t>6563713</t>
  </si>
  <si>
    <t>991005005439702656</t>
  </si>
  <si>
    <t>2271892740002656</t>
  </si>
  <si>
    <t>32285000931096</t>
  </si>
  <si>
    <t>893625340</t>
  </si>
  <si>
    <t>PB1096 .T3 1969</t>
  </si>
  <si>
    <t>0                      PB 1096000T  3           1969</t>
  </si>
  <si>
    <t>Literature in Celtic countries : Taliesin Congress lectures / edited by J. E. Caerwyn Williams.</t>
  </si>
  <si>
    <t>Taliesin Congress (1969 : Cardiff, Wales)</t>
  </si>
  <si>
    <t>Cardiff : University of Wales Press, 1971.</t>
  </si>
  <si>
    <t>1971</t>
  </si>
  <si>
    <t>wlk</t>
  </si>
  <si>
    <t>1994-09-13</t>
  </si>
  <si>
    <t>1991-12-16</t>
  </si>
  <si>
    <t>375364989:eng</t>
  </si>
  <si>
    <t>226319</t>
  </si>
  <si>
    <t>991001382289702656</t>
  </si>
  <si>
    <t>2263161770002656</t>
  </si>
  <si>
    <t>9780900768897</t>
  </si>
  <si>
    <t>32285000877885</t>
  </si>
  <si>
    <t>893897759</t>
  </si>
  <si>
    <t>PB1100 .J3 1975</t>
  </si>
  <si>
    <t>0                      PB 1100000J  3           1975</t>
  </si>
  <si>
    <t>A Celtic miscellany : translations from the Celtic literatures / [selected and translated by] Kenneth Hurlstone Jackson.</t>
  </si>
  <si>
    <t>Harmondsworth : Penguin, 1975, c1971.</t>
  </si>
  <si>
    <t>1975</t>
  </si>
  <si>
    <t>Rev. ed.</t>
  </si>
  <si>
    <t>The Penguin classics, 247</t>
  </si>
  <si>
    <t>1991-09-24</t>
  </si>
  <si>
    <t>905833865:eng</t>
  </si>
  <si>
    <t>267191</t>
  </si>
  <si>
    <t>991002110499702656</t>
  </si>
  <si>
    <t>2269021110002656</t>
  </si>
  <si>
    <t>9780140442472</t>
  </si>
  <si>
    <t>32285000760602</t>
  </si>
  <si>
    <t>893256897</t>
  </si>
  <si>
    <t>PB1100 .S6</t>
  </si>
  <si>
    <t>0                      PB 1100000S  6</t>
  </si>
  <si>
    <t>Lyra Celtica; an anthology of representative Celtic poetry, ed. by Elizabeth A. Sharp, with introduction and notes by William Sharp.</t>
  </si>
  <si>
    <t>Sharp, Elizabeth A. (Elizabeth Amelia), 1856-1932 editor.</t>
  </si>
  <si>
    <t>Edinburgh, P. Geddes and colleagues, 1896.</t>
  </si>
  <si>
    <t>1896</t>
  </si>
  <si>
    <t xml:space="preserve">xx </t>
  </si>
  <si>
    <t>The Celtic library</t>
  </si>
  <si>
    <t>1999-03-30</t>
  </si>
  <si>
    <t>1997-09-11</t>
  </si>
  <si>
    <t>906426914:eng</t>
  </si>
  <si>
    <t>2495909</t>
  </si>
  <si>
    <t>991004258649702656</t>
  </si>
  <si>
    <t>2264256980002656</t>
  </si>
  <si>
    <t>32285003213492</t>
  </si>
  <si>
    <t>893525867</t>
  </si>
  <si>
    <t>PB1214 .M33 1992</t>
  </si>
  <si>
    <t>0                      PB 1214000M  33          1992</t>
  </si>
  <si>
    <t>A reader's guide to books in the Irish language / by Seosamh McCloskey.</t>
  </si>
  <si>
    <t>McCloskey, Seosamh.</t>
  </si>
  <si>
    <t>New York : Irish Books, c1992.</t>
  </si>
  <si>
    <t>2008-12-18</t>
  </si>
  <si>
    <t>1993-10-04</t>
  </si>
  <si>
    <t>30156093:eng</t>
  </si>
  <si>
    <t>27666022</t>
  </si>
  <si>
    <t>991002146539702656</t>
  </si>
  <si>
    <t>2259850950002656</t>
  </si>
  <si>
    <t>32285001768984</t>
  </si>
  <si>
    <t>893347163</t>
  </si>
  <si>
    <t>PB1306 .A75</t>
  </si>
  <si>
    <t>0                      PB 1306000A  75</t>
  </si>
  <si>
    <t>A text book of Irish literature / by Eleanor Hull.</t>
  </si>
  <si>
    <t>V.1</t>
  </si>
  <si>
    <t>Hull, Eleanor, 1860-1935.</t>
  </si>
  <si>
    <t>Dublin : M.H. Gill &amp; son, ltd., etc., 1906-1908.</t>
  </si>
  <si>
    <t>1906</t>
  </si>
  <si>
    <t xml:space="preserve">ie </t>
  </si>
  <si>
    <t>1993-11-29</t>
  </si>
  <si>
    <t>3768894799:eng</t>
  </si>
  <si>
    <t>3374885</t>
  </si>
  <si>
    <t>991004418629702656</t>
  </si>
  <si>
    <t>2258849330002656</t>
  </si>
  <si>
    <t>32285001688935</t>
  </si>
  <si>
    <t>893417609</t>
  </si>
  <si>
    <t>V.2</t>
  </si>
  <si>
    <t>32285001688943</t>
  </si>
  <si>
    <t>893442590</t>
  </si>
  <si>
    <t>PB1306 .D4 1970</t>
  </si>
  <si>
    <t>0                      PB 1306000D  4           1970</t>
  </si>
  <si>
    <t>A first book of Irish literature : Hiberno-Latin, Gaelic, Anglo-Irish from the earliest times to the present day / by Aodh de Blacam.</t>
  </si>
  <si>
    <t>De Blácam, Aodh, 1891-1951.</t>
  </si>
  <si>
    <t>Port Washington, N.Y. : Kennikat Press, [1970]</t>
  </si>
  <si>
    <t>Kennikat Press scholarly reprints</t>
  </si>
  <si>
    <t>2000-12-10</t>
  </si>
  <si>
    <t>1181678:eng</t>
  </si>
  <si>
    <t>54385</t>
  </si>
  <si>
    <t>991000131669702656</t>
  </si>
  <si>
    <t>2258221070002656</t>
  </si>
  <si>
    <t>9780804607742</t>
  </si>
  <si>
    <t>32285000760610</t>
  </si>
  <si>
    <t>893714341</t>
  </si>
  <si>
    <t>PB1306 .D424 1986</t>
  </si>
  <si>
    <t>0                      PB 1306000D  424         1986</t>
  </si>
  <si>
    <t>A short history of Irish literature / Seamus Deane.</t>
  </si>
  <si>
    <t>Deane, Seamus, 1940-</t>
  </si>
  <si>
    <t>London : Hutchinson ; Notre Dame, Indiana : University of Notre Dame Press, 1986.</t>
  </si>
  <si>
    <t>1986</t>
  </si>
  <si>
    <t>2008-04-22</t>
  </si>
  <si>
    <t>1991-12-10</t>
  </si>
  <si>
    <t>1064775:eng</t>
  </si>
  <si>
    <t>13563537</t>
  </si>
  <si>
    <t>991000846929702656</t>
  </si>
  <si>
    <t>2255286700002656</t>
  </si>
  <si>
    <t>9780091613600</t>
  </si>
  <si>
    <t>32285000886647</t>
  </si>
  <si>
    <t>893249731</t>
  </si>
  <si>
    <t>PB1306 .H8 1901</t>
  </si>
  <si>
    <t>0                      PB 1306000H  8           1901</t>
  </si>
  <si>
    <t>A literary history of Ireland from earliest times to the present day / by Douglas Hyde.</t>
  </si>
  <si>
    <t>Hyde, Douglas, 1860-1949.</t>
  </si>
  <si>
    <t>New York : Charles Scribner's Sons, 1901.</t>
  </si>
  <si>
    <t>1901</t>
  </si>
  <si>
    <t>2d impression.</t>
  </si>
  <si>
    <t>Library of literary history</t>
  </si>
  <si>
    <t>2005-11-04</t>
  </si>
  <si>
    <t>1993-10-28</t>
  </si>
  <si>
    <t>1310008:eng</t>
  </si>
  <si>
    <t>14113973</t>
  </si>
  <si>
    <t>991000908219702656</t>
  </si>
  <si>
    <t>2268848450002656</t>
  </si>
  <si>
    <t>32285001795375</t>
  </si>
  <si>
    <t>893339994</t>
  </si>
  <si>
    <t>PB1306 .I7 1985</t>
  </si>
  <si>
    <t>0                      PB 1306000I  7           1985</t>
  </si>
  <si>
    <t>Irish literary criticism, 1900-1970 / edited by Frank L. Ryan.</t>
  </si>
  <si>
    <t>Lexington, Mass. : Ginn Press, 1985.</t>
  </si>
  <si>
    <t>1985</t>
  </si>
  <si>
    <t>1997-12-10</t>
  </si>
  <si>
    <t>1993-04-15</t>
  </si>
  <si>
    <t>4955579:eng</t>
  </si>
  <si>
    <t>12559147</t>
  </si>
  <si>
    <t>991000715339702656</t>
  </si>
  <si>
    <t>2264298510002656</t>
  </si>
  <si>
    <t>9780536049926</t>
  </si>
  <si>
    <t>32285001639698</t>
  </si>
  <si>
    <t>893784461</t>
  </si>
  <si>
    <t>PB1307 .M45</t>
  </si>
  <si>
    <t>0                      PB 1307000M  45</t>
  </si>
  <si>
    <t>The Irish comic tradition.</t>
  </si>
  <si>
    <t>Mercier, Vivian, 1919-1989.</t>
  </si>
  <si>
    <t>Oxford : Clarendon Press, 1962.</t>
  </si>
  <si>
    <t>1962</t>
  </si>
  <si>
    <t>2009-11-02</t>
  </si>
  <si>
    <t>1993-09-09</t>
  </si>
  <si>
    <t>116555778:eng</t>
  </si>
  <si>
    <t>312556</t>
  </si>
  <si>
    <t>991002289519702656</t>
  </si>
  <si>
    <t>2271172200002656</t>
  </si>
  <si>
    <t>32285001764306</t>
  </si>
  <si>
    <t>893792283</t>
  </si>
  <si>
    <t>PB1321 .S2 1970</t>
  </si>
  <si>
    <t>0                      PB 1321000S  2           1970</t>
  </si>
  <si>
    <t>Traditional Irish literature and its backgrounds : a brief introduction.</t>
  </si>
  <si>
    <t>Saul, George Brandon, 1901-1986.</t>
  </si>
  <si>
    <t>Lewisburg : Bucknell University Press, [1970]</t>
  </si>
  <si>
    <t>pau</t>
  </si>
  <si>
    <t>2003-10-25</t>
  </si>
  <si>
    <t>1991-09-17</t>
  </si>
  <si>
    <t>365300143:eng</t>
  </si>
  <si>
    <t>104204</t>
  </si>
  <si>
    <t>991000625589702656</t>
  </si>
  <si>
    <t>2260625870002656</t>
  </si>
  <si>
    <t>9780838776865</t>
  </si>
  <si>
    <t>32285000756774</t>
  </si>
  <si>
    <t>893315103</t>
  </si>
  <si>
    <t>PB1322 .F5 1948</t>
  </si>
  <si>
    <t>0                      PB 1322000F  5           1948</t>
  </si>
  <si>
    <t>The Irish tradition.</t>
  </si>
  <si>
    <t>Flower, Robin, 1881-1946.</t>
  </si>
  <si>
    <t>Oxford : Clarendon Press, c1947, 1948 printing.</t>
  </si>
  <si>
    <t>1948</t>
  </si>
  <si>
    <t>1st ed.</t>
  </si>
  <si>
    <t>2003-02-01</t>
  </si>
  <si>
    <t>415859:eng</t>
  </si>
  <si>
    <t>1019820</t>
  </si>
  <si>
    <t>991003475469702656</t>
  </si>
  <si>
    <t>2257690340002656</t>
  </si>
  <si>
    <t>32285000760628</t>
  </si>
  <si>
    <t>893874787</t>
  </si>
  <si>
    <t>PB1325 .S33</t>
  </si>
  <si>
    <t>0                      PB 1325000S  33</t>
  </si>
  <si>
    <t>The Genres of the Irish Literary Revival / edited by Ronald Schleifer.</t>
  </si>
  <si>
    <t>Norman, Oklahoma : Pilgrim Books, Inc., c1979,1980.</t>
  </si>
  <si>
    <t>1980</t>
  </si>
  <si>
    <t>oku</t>
  </si>
  <si>
    <t>2006-01-09</t>
  </si>
  <si>
    <t>54444731:eng</t>
  </si>
  <si>
    <t>7470306</t>
  </si>
  <si>
    <t>991005118669702656</t>
  </si>
  <si>
    <t>2267703750002656</t>
  </si>
  <si>
    <t>9780937664537</t>
  </si>
  <si>
    <t>32285001639706</t>
  </si>
  <si>
    <t>893594500</t>
  </si>
  <si>
    <t>PB1327 .D5</t>
  </si>
  <si>
    <t>0                      PB 1327000D  5</t>
  </si>
  <si>
    <t>Early Irish literature.</t>
  </si>
  <si>
    <t>Dillon, Myles, 1900-1972.</t>
  </si>
  <si>
    <t>Chicago : Univ. of Chicago Press, [1948]</t>
  </si>
  <si>
    <t>ilu</t>
  </si>
  <si>
    <t>1375446:eng</t>
  </si>
  <si>
    <t>312471</t>
  </si>
  <si>
    <t>991002289089702656</t>
  </si>
  <si>
    <t>2271285280002656</t>
  </si>
  <si>
    <t>32285000848928</t>
  </si>
  <si>
    <t>893886078</t>
  </si>
  <si>
    <t>PB1333 .C33 1998</t>
  </si>
  <si>
    <t>0                      PB 1333000C  33          1998</t>
  </si>
  <si>
    <t>Poets and politics : continuity and reaction in Irish poetry, 1558-1625 / Marc Caball.</t>
  </si>
  <si>
    <t>Caball, Marc.</t>
  </si>
  <si>
    <t>Cork : Cork University Press in association with Field Day, 1998.</t>
  </si>
  <si>
    <t>1998</t>
  </si>
  <si>
    <t>Critical conditions ; 8</t>
  </si>
  <si>
    <t>2003-04-17</t>
  </si>
  <si>
    <t>2001-05-17</t>
  </si>
  <si>
    <t>23646862:eng</t>
  </si>
  <si>
    <t>40608912</t>
  </si>
  <si>
    <t>991003469049702656</t>
  </si>
  <si>
    <t>2271615810002656</t>
  </si>
  <si>
    <t>9781859181621</t>
  </si>
  <si>
    <t>32285004318126</t>
  </si>
  <si>
    <t>893805800</t>
  </si>
  <si>
    <t>PB1353 .M67 1987</t>
  </si>
  <si>
    <t>0                      PB 1353000M  67          1987</t>
  </si>
  <si>
    <t>More Irish short stories / John B. Keane.</t>
  </si>
  <si>
    <t>Keane, John B., 1928-2002.</t>
  </si>
  <si>
    <t>Cork ; Dublin : Mercier, 1987, c1981.</t>
  </si>
  <si>
    <t>1987</t>
  </si>
  <si>
    <t>1993-03-15</t>
  </si>
  <si>
    <t>1992-04-09</t>
  </si>
  <si>
    <t>197318180:eng</t>
  </si>
  <si>
    <t>22638485</t>
  </si>
  <si>
    <t>991001801209702656</t>
  </si>
  <si>
    <t>2270114940002656</t>
  </si>
  <si>
    <t>9780853428183</t>
  </si>
  <si>
    <t>32285001009561</t>
  </si>
  <si>
    <t>893590656</t>
  </si>
  <si>
    <t>PB1395.M7 P64 1997</t>
  </si>
  <si>
    <t>0                      PB 1395000M  7                  P  64          1997</t>
  </si>
  <si>
    <t>Poets and poetry of Munster, 1885 / [compiled and translated by] James Clarence Mangan.</t>
  </si>
  <si>
    <t>Poole, England ; Washington, D.C. : Woodstock Books, 1997.</t>
  </si>
  <si>
    <t>1997</t>
  </si>
  <si>
    <t>Hibernia</t>
  </si>
  <si>
    <t>1999-05-10</t>
  </si>
  <si>
    <t>1997-12-11</t>
  </si>
  <si>
    <t>432712363:eng</t>
  </si>
  <si>
    <t>34798178</t>
  </si>
  <si>
    <t>991002662889702656</t>
  </si>
  <si>
    <t>2259831040002656</t>
  </si>
  <si>
    <t>9781854772176</t>
  </si>
  <si>
    <t>32285003282661</t>
  </si>
  <si>
    <t>893409384</t>
  </si>
  <si>
    <t>PB1399.D315 A6 2000</t>
  </si>
  <si>
    <t>0                      PB 1399000D  315                A  6           2000</t>
  </si>
  <si>
    <t>Freacnairc mhearcair : rogha daanta 1970-1998 = The oomph of quicksilver : selected poems 1970-1998 / Michael Davitt ; edited by Louis de Paor.</t>
  </si>
  <si>
    <t>Davitt, Michael.</t>
  </si>
  <si>
    <t>Cork : Cork University, 2000.</t>
  </si>
  <si>
    <t>2000</t>
  </si>
  <si>
    <t>gle</t>
  </si>
  <si>
    <t>2004-05-17</t>
  </si>
  <si>
    <t>1808001366:gle</t>
  </si>
  <si>
    <t>44714862</t>
  </si>
  <si>
    <t>991004243909702656</t>
  </si>
  <si>
    <t>2259360660002656</t>
  </si>
  <si>
    <t>9781859182475</t>
  </si>
  <si>
    <t>32285004905609</t>
  </si>
  <si>
    <t>893325117</t>
  </si>
  <si>
    <t>PB1399.H9 A24 1991</t>
  </si>
  <si>
    <t>0                      PB 1399000H  9                  A  24          1991</t>
  </si>
  <si>
    <t>Selected plays of Douglas Hyde : "An Craoibhin Aoibhinn" / chosen and with an introduction by Gareth W. Dunleavy and Janet Egleson Dunleavy ; with translations by Lady Gregory.</t>
  </si>
  <si>
    <t>Gerrards Cross, Bucks : Colin Smythe ; Washington, D.C. : Catholic University of America Press, 1991.</t>
  </si>
  <si>
    <t>1991</t>
  </si>
  <si>
    <t>Irish drama selections, 0260-7962 ; 7</t>
  </si>
  <si>
    <t>2009-02-23</t>
  </si>
  <si>
    <t>1992-11-12</t>
  </si>
  <si>
    <t>2564800493:eng</t>
  </si>
  <si>
    <t>18323109</t>
  </si>
  <si>
    <t>991001330799702656</t>
  </si>
  <si>
    <t>2258097280002656</t>
  </si>
  <si>
    <t>9780813206837</t>
  </si>
  <si>
    <t>32285001362374</t>
  </si>
  <si>
    <t>893772515</t>
  </si>
  <si>
    <t>PB1399.N473 A24 2000</t>
  </si>
  <si>
    <t>0                      PB 1399000N  473                A  24          2000</t>
  </si>
  <si>
    <t>Selected poems = Rogha dánta / Nuala Ní Dhomhnaill ; translated by Michael Hartnett.</t>
  </si>
  <si>
    <t>Ní Dhomhnaill, Nuala, 1952-</t>
  </si>
  <si>
    <t>Dublin : New Island Books, 2000.</t>
  </si>
  <si>
    <t>2007-03-28</t>
  </si>
  <si>
    <t>1059140894:eng</t>
  </si>
  <si>
    <t>45328405</t>
  </si>
  <si>
    <t>991005052639702656</t>
  </si>
  <si>
    <t>2255305040002656</t>
  </si>
  <si>
    <t>9781851860272</t>
  </si>
  <si>
    <t>32285005284194</t>
  </si>
  <si>
    <t>893789363</t>
  </si>
  <si>
    <t>PB1399.N473 A88 1992</t>
  </si>
  <si>
    <t>0                      PB 1399000N  473                A  88          1992</t>
  </si>
  <si>
    <t>The Astrakhan cloak / Nuala Ní Dhomhnaill ; [translated by] Paul Muldoon.</t>
  </si>
  <si>
    <t>Loughcrew, Oldcastle, County Meath, Ireland : Gallery Press, 1992.</t>
  </si>
  <si>
    <t>Gallery books</t>
  </si>
  <si>
    <t>2000-02-03</t>
  </si>
  <si>
    <t>1993-11-22</t>
  </si>
  <si>
    <t>381315:eng</t>
  </si>
  <si>
    <t>28413694</t>
  </si>
  <si>
    <t>991002208549702656</t>
  </si>
  <si>
    <t>2264420630002656</t>
  </si>
  <si>
    <t>9781852351045</t>
  </si>
  <si>
    <t>32285001812204</t>
  </si>
  <si>
    <t>893804349</t>
  </si>
  <si>
    <t>PB1399.N54 U58 1996</t>
  </si>
  <si>
    <t>0                      PB 1399000N  54                 U  58          1996</t>
  </si>
  <si>
    <t>Unshed tears = Deora nár caoineadh / Áine Ní Ghlinn ; translated by Pádraig Ó Snodaigh.</t>
  </si>
  <si>
    <t>Nı́ Ghlinn, Áine.</t>
  </si>
  <si>
    <t>Dublin : Dedalus, 1996.</t>
  </si>
  <si>
    <t>1996</t>
  </si>
  <si>
    <t>2009-09-15</t>
  </si>
  <si>
    <t>1997-02-26</t>
  </si>
  <si>
    <t>645292:eng</t>
  </si>
  <si>
    <t>36908945</t>
  </si>
  <si>
    <t>991002768859702656</t>
  </si>
  <si>
    <t>2257825960002656</t>
  </si>
  <si>
    <t>9781873790670</t>
  </si>
  <si>
    <t>32285002433620</t>
  </si>
  <si>
    <t>893440494</t>
  </si>
  <si>
    <t>PB1399.O59 B43 1996</t>
  </si>
  <si>
    <t>0                      PB 1399000O  59                 B  43          1996</t>
  </si>
  <si>
    <t>The poor mouth : a bad story about the hard life / by Flann O'Brien ; translated by Patrick C. Power ; illustrated by Ralph Steadman.</t>
  </si>
  <si>
    <t>O'Brien, Flann, 1911-1966.</t>
  </si>
  <si>
    <t>Normal, Ill. : Dalkey Archive Press, 1996.</t>
  </si>
  <si>
    <t>1st Dalkey Archive ed.</t>
  </si>
  <si>
    <t>2005-10-25</t>
  </si>
  <si>
    <t>2005-04-05</t>
  </si>
  <si>
    <t>4926804136:eng</t>
  </si>
  <si>
    <t>33863614</t>
  </si>
  <si>
    <t>991004505559702656</t>
  </si>
  <si>
    <t>2262746340002656</t>
  </si>
  <si>
    <t>9781564780911</t>
  </si>
  <si>
    <t>32285005047856</t>
  </si>
  <si>
    <t>893788772</t>
  </si>
  <si>
    <t>PB1421 .G68</t>
  </si>
  <si>
    <t>0                      PB 1421000G  68</t>
  </si>
  <si>
    <t>An anthology of Irish literature.</t>
  </si>
  <si>
    <t>Greene, David H. (David Herbert), 1913-2008, editor.</t>
  </si>
  <si>
    <t>New York : Modern Library, [1954]</t>
  </si>
  <si>
    <t>1954</t>
  </si>
  <si>
    <t>The Modern library of the world's best books [288]</t>
  </si>
  <si>
    <t>2007-10-01</t>
  </si>
  <si>
    <t>509837052:eng</t>
  </si>
  <si>
    <t>1627217</t>
  </si>
  <si>
    <t>991003844889702656</t>
  </si>
  <si>
    <t>2268537350002656</t>
  </si>
  <si>
    <t>32285000760636</t>
  </si>
  <si>
    <t>893894227</t>
  </si>
  <si>
    <t>PB1421 .G7 1970b</t>
  </si>
  <si>
    <t>0                      PB 1421000G  7           1970b</t>
  </si>
  <si>
    <t>Gods and fighting men : the story of the Tuatha de Danaan and of the Fianna of Ireland / arranged and put into English, by Lady Gregory. With a pref. by W. B. Yeats and a foreword by Daniel Murphy.</t>
  </si>
  <si>
    <t>Gregory, Lady, 1852-1932.</t>
  </si>
  <si>
    <t>Gerrards Cross, [Eng.] : Colin Smythe, [1970]</t>
  </si>
  <si>
    <t>[2d ed.]</t>
  </si>
  <si>
    <t>Coole edition, v. 3</t>
  </si>
  <si>
    <t>380462:eng</t>
  </si>
  <si>
    <t>499312</t>
  </si>
  <si>
    <t>991002871209702656</t>
  </si>
  <si>
    <t>2271157350002656</t>
  </si>
  <si>
    <t>32285001764298</t>
  </si>
  <si>
    <t>893616686</t>
  </si>
  <si>
    <t>PB1421 .I76 1987</t>
  </si>
  <si>
    <t>0                      PB 1421000I  76          1987</t>
  </si>
  <si>
    <t>Irish literature : a reader / [compiled by] Maureen O'Rourke Murphy and James Mackillop.</t>
  </si>
  <si>
    <t>Syracuse, N.Y. : Syracuse University Press, 1987.</t>
  </si>
  <si>
    <t>Irish studies</t>
  </si>
  <si>
    <t>2005-09-30</t>
  </si>
  <si>
    <t>2260850722:eng</t>
  </si>
  <si>
    <t>15427196</t>
  </si>
  <si>
    <t>991001023709702656</t>
  </si>
  <si>
    <t>2262467680002656</t>
  </si>
  <si>
    <t>9780815624059</t>
  </si>
  <si>
    <t>32285005174304</t>
  </si>
  <si>
    <t>893608477</t>
  </si>
  <si>
    <t>PB1421 .V65 2002</t>
  </si>
  <si>
    <t>0                      PB 1421000V  65          2002</t>
  </si>
  <si>
    <t>Voices of Ireland : classic writings of a rich and rare land / [compiled by] Malachy McCourt.</t>
  </si>
  <si>
    <t>Philadelphia : Running Press, c2002.</t>
  </si>
  <si>
    <t>2002</t>
  </si>
  <si>
    <t>2008-01-23</t>
  </si>
  <si>
    <t>2002-12-12</t>
  </si>
  <si>
    <t>796376663:eng</t>
  </si>
  <si>
    <t>50796212</t>
  </si>
  <si>
    <t>991003942489702656</t>
  </si>
  <si>
    <t>2265274700002656</t>
  </si>
  <si>
    <t>9780762413362</t>
  </si>
  <si>
    <t>32285004667514</t>
  </si>
  <si>
    <t>893417027</t>
  </si>
  <si>
    <t>PB1421 .Y4</t>
  </si>
  <si>
    <t>0                      PB 1421000Y  4</t>
  </si>
  <si>
    <t>Irish fairy and folk tales.</t>
  </si>
  <si>
    <t>Yeats, W. B. (William Butler), 1865-1939 editor.</t>
  </si>
  <si>
    <t>New York : Modern Library, [195-]</t>
  </si>
  <si>
    <t>1950</t>
  </si>
  <si>
    <t>The modern library of the world's best books, 44</t>
  </si>
  <si>
    <t>3901002645:eng</t>
  </si>
  <si>
    <t>12175311</t>
  </si>
  <si>
    <t>991003216059702656</t>
  </si>
  <si>
    <t>2270262040002656</t>
  </si>
  <si>
    <t>32285001639722</t>
  </si>
  <si>
    <t>893410025</t>
  </si>
  <si>
    <t>PB1421 .Y43</t>
  </si>
  <si>
    <t>0                      PB 1421000Y  43</t>
  </si>
  <si>
    <t>Irish folk stories and fairy tales / edited by William Butler Yeats.</t>
  </si>
  <si>
    <t>Yeats, W. B. (William Butler), 1865-1939 compiler.</t>
  </si>
  <si>
    <t>New York : Grosset &amp; Dunlap, [1957?]</t>
  </si>
  <si>
    <t>1957</t>
  </si>
  <si>
    <t>Grosset's universal library, UL21</t>
  </si>
  <si>
    <t>2007-10-07</t>
  </si>
  <si>
    <t>1993-09-28</t>
  </si>
  <si>
    <t>2999394658:eng</t>
  </si>
  <si>
    <t>682811</t>
  </si>
  <si>
    <t>991003141379702656</t>
  </si>
  <si>
    <t>2262722420002656</t>
  </si>
  <si>
    <t>32285001769719</t>
  </si>
  <si>
    <t>893511595</t>
  </si>
  <si>
    <t>PB1423.C8 G7 1970a</t>
  </si>
  <si>
    <t>0                      PB 1423000C  8                  G  7           1970a</t>
  </si>
  <si>
    <t>Cuchulain of Muirthemne : the story of the men of the Red Branch of Ulster. Arr. and put into English by Lady Gregory / with a pref. by W. B. Yeats; and a foreword by Daniel Murphy.</t>
  </si>
  <si>
    <t>Cuchulain. English.</t>
  </si>
  <si>
    <t>New York : Oxford University Press ; Gerrards Cross : Colin Smythe, 1970.</t>
  </si>
  <si>
    <t>[5th ed.]</t>
  </si>
  <si>
    <t>Coole edition, 2</t>
  </si>
  <si>
    <t>5619284571:eng</t>
  </si>
  <si>
    <t>92405</t>
  </si>
  <si>
    <t>991000550069702656</t>
  </si>
  <si>
    <t>2262590010002656</t>
  </si>
  <si>
    <t>32285000875327</t>
  </si>
  <si>
    <t>893315042</t>
  </si>
  <si>
    <t>PB1423.C8 O28 1970</t>
  </si>
  <si>
    <t>0                      PB 1423000C  8                  O  28          1970</t>
  </si>
  <si>
    <t>History of Ireland.</t>
  </si>
  <si>
    <t>O'Grady, Standish, 1846-1928.</t>
  </si>
  <si>
    <t>New York, Lemma Pub. Corp., 1970.</t>
  </si>
  <si>
    <t>1995-10-09</t>
  </si>
  <si>
    <t>1992-04-22</t>
  </si>
  <si>
    <t>10567749865:eng</t>
  </si>
  <si>
    <t>95906</t>
  </si>
  <si>
    <t>991000584579702656</t>
  </si>
  <si>
    <t>2272549740002656</t>
  </si>
  <si>
    <t>9780876960035</t>
  </si>
  <si>
    <t>32285001069193</t>
  </si>
  <si>
    <t>893683554</t>
  </si>
  <si>
    <t>PB1423.C8 O28 1970 V.2</t>
  </si>
  <si>
    <t>0                      PB 1423000C  8                  O  28          1970                  V.2</t>
  </si>
  <si>
    <t>V.2*</t>
  </si>
  <si>
    <t>1993-10-01</t>
  </si>
  <si>
    <t>32285001069201</t>
  </si>
  <si>
    <t>893708504</t>
  </si>
  <si>
    <t>PB1423.T3 F3 1972</t>
  </si>
  <si>
    <t>0                      PB 1423000T  3                  F  3           1972</t>
  </si>
  <si>
    <t>The cattle-raid of Cualnge (Tain bo Cuailnge) : an old Irish prose-epic translated for the first time from Leabhar na h-Uidhri and the Yellow book of Lecan / by L. Winifred Faraday. London, D. Nutt, 1904.</t>
  </si>
  <si>
    <t>Táin bó Cúailnge. English.</t>
  </si>
  <si>
    <t>[New York : AMS Press, 1972]</t>
  </si>
  <si>
    <t>1972</t>
  </si>
  <si>
    <t>2009-02-11</t>
  </si>
  <si>
    <t>1992-04-08</t>
  </si>
  <si>
    <t>1213552918:eng</t>
  </si>
  <si>
    <t>427343</t>
  </si>
  <si>
    <t>991002759109702656</t>
  </si>
  <si>
    <t>2264544890002656</t>
  </si>
  <si>
    <t>9780404535599</t>
  </si>
  <si>
    <t>32285001056273</t>
  </si>
  <si>
    <t>893427984</t>
  </si>
  <si>
    <t>PB1424 .H6</t>
  </si>
  <si>
    <t>0                      PB 1424000H  6</t>
  </si>
  <si>
    <t>1000 years of Irish poetry : the Gaelic and Anglo-Irish poets from pagan times to the present.</t>
  </si>
  <si>
    <t>Hoagland, Kathleen editor.</t>
  </si>
  <si>
    <t>New York : Devin-Adair Co., 1947.</t>
  </si>
  <si>
    <t>1947</t>
  </si>
  <si>
    <t>2004-10-04</t>
  </si>
  <si>
    <t>1992-03-20</t>
  </si>
  <si>
    <t>836395486:eng</t>
  </si>
  <si>
    <t>743556</t>
  </si>
  <si>
    <t>991003217379702656</t>
  </si>
  <si>
    <t>2267372150002656</t>
  </si>
  <si>
    <t>32285001025641</t>
  </si>
  <si>
    <t>893524553</t>
  </si>
  <si>
    <t>PB1424 .L64 1989</t>
  </si>
  <si>
    <t>0                      PB 1424000L  64          1989</t>
  </si>
  <si>
    <t>Love of Ireland : poems from the Irish / [collected by] Brendan Kennelly.</t>
  </si>
  <si>
    <t>Cork : Mercier Press ; [Chester Springs, PA : U.S. distributor, Dufour Editions], c1989.</t>
  </si>
  <si>
    <t>1989</t>
  </si>
  <si>
    <t>1996-11-25</t>
  </si>
  <si>
    <t>1990-12-04</t>
  </si>
  <si>
    <t>836837500:eng</t>
  </si>
  <si>
    <t>20996952</t>
  </si>
  <si>
    <t>991001639539702656</t>
  </si>
  <si>
    <t>2271296740002656</t>
  </si>
  <si>
    <t>9780853429012</t>
  </si>
  <si>
    <t>32285000358100</t>
  </si>
  <si>
    <t>893244265</t>
  </si>
  <si>
    <t>PB1424 .M37 1985</t>
  </si>
  <si>
    <t>0                      PB 1424000M  37          1985</t>
  </si>
  <si>
    <t>Medieval Irish lyrics : selected and translated with, The Irish bardic poet : a study in the relationship of poet and patron / James Carney.</t>
  </si>
  <si>
    <t>Mountrath, Portlaoise, Ireland : Dolmen Press, 1985.</t>
  </si>
  <si>
    <t>2008-08-26</t>
  </si>
  <si>
    <t>1994-03-11</t>
  </si>
  <si>
    <t>4663473751:eng</t>
  </si>
  <si>
    <t>17105782</t>
  </si>
  <si>
    <t>991001178699702656</t>
  </si>
  <si>
    <t>2267330540002656</t>
  </si>
  <si>
    <t>9780851053608</t>
  </si>
  <si>
    <t>32285001855765</t>
  </si>
  <si>
    <t>893621127</t>
  </si>
  <si>
    <t>PB1427 .W7</t>
  </si>
  <si>
    <t>0                      PB 1427000W  7</t>
  </si>
  <si>
    <t>The Writers : a sense of Ireland : new works by 44 Irish writers / edited by Andrew Carpenter, Peter Fallon.</t>
  </si>
  <si>
    <t>New York : G. Braziller, [1980]</t>
  </si>
  <si>
    <t>2007-09-27</t>
  </si>
  <si>
    <t>891425051:eng</t>
  </si>
  <si>
    <t>6143848</t>
  </si>
  <si>
    <t>991004936889702656</t>
  </si>
  <si>
    <t>2259962480002656</t>
  </si>
  <si>
    <t>9780807609705</t>
  </si>
  <si>
    <t>32285001645018</t>
  </si>
  <si>
    <t>893344428</t>
  </si>
  <si>
    <t>PB1429 .D4</t>
  </si>
  <si>
    <t>0                      PB 1429000D  4</t>
  </si>
  <si>
    <t>Prayers of the Gael : being a translation from Irish into English / by R. MacCrócaigh [R. Crookes] of the collection of Miss Charlotte Dease entitled "Paidreacha na nDaoine" and pub. by the Irish messenger, Dublin.</t>
  </si>
  <si>
    <t>Dease, Charlotte, compiler.</t>
  </si>
  <si>
    <t>London and Edinburgh : Sands &amp; company ; St. Louis, Mo. : B. Herder, [1915]</t>
  </si>
  <si>
    <t>1915</t>
  </si>
  <si>
    <t>1992-08-04</t>
  </si>
  <si>
    <t>5109438:eng</t>
  </si>
  <si>
    <t>2550061</t>
  </si>
  <si>
    <t>991004160469702656</t>
  </si>
  <si>
    <t>2256712680002656</t>
  </si>
  <si>
    <t>32285001240661</t>
  </si>
  <si>
    <t>893235122</t>
  </si>
  <si>
    <t>PB1429 .I75 1999</t>
  </si>
  <si>
    <t>0                      PB 1429000I  75          1999</t>
  </si>
  <si>
    <t>Irish Americans : a versified company / compiled, edited, and annotated by Richard Demeter.</t>
  </si>
  <si>
    <t>Pasadena, Calif. : Cranford Press, c1999.</t>
  </si>
  <si>
    <t>1999</t>
  </si>
  <si>
    <t>cau</t>
  </si>
  <si>
    <t>2000-08-23</t>
  </si>
  <si>
    <t>2000-07-31</t>
  </si>
  <si>
    <t>34057368:eng</t>
  </si>
  <si>
    <t>44514205</t>
  </si>
  <si>
    <t>991003228579702656</t>
  </si>
  <si>
    <t>2263660380002656</t>
  </si>
  <si>
    <t>9780964825345</t>
  </si>
  <si>
    <t>32285003689212</t>
  </si>
  <si>
    <t>893434777</t>
  </si>
  <si>
    <t>PB1511 .M3</t>
  </si>
  <si>
    <t>0                      PB 1511000M  3</t>
  </si>
  <si>
    <t>Language, education, and social processes in a Gaelic community / Kenneth Mackinnon.</t>
  </si>
  <si>
    <t>MacKinnon, Kenneth, 1933-</t>
  </si>
  <si>
    <t>London ; Boston : Routledge and Kegan Paul, 1977.</t>
  </si>
  <si>
    <t>1977</t>
  </si>
  <si>
    <t>Routledge direct editions</t>
  </si>
  <si>
    <t>2005-11-10</t>
  </si>
  <si>
    <t>7324148:eng</t>
  </si>
  <si>
    <t>2993278</t>
  </si>
  <si>
    <t>991004310779702656</t>
  </si>
  <si>
    <t>2257140960002656</t>
  </si>
  <si>
    <t>9780710084668</t>
  </si>
  <si>
    <t>32285003213567</t>
  </si>
  <si>
    <t>893624582</t>
  </si>
  <si>
    <t>PB1523 .G5 1902</t>
  </si>
  <si>
    <t>0                      PB 1523000G  5           1902</t>
  </si>
  <si>
    <t>The elements of Gaelic grammar : based on the work of Rev. Alexander Stewart, D.D. / by H. Cameron Gillies, M.D.</t>
  </si>
  <si>
    <t>Gillies, H. Cameron (Hugh Cameron)</t>
  </si>
  <si>
    <t>London : D. Nutt, 1902.</t>
  </si>
  <si>
    <t>1902</t>
  </si>
  <si>
    <t>2d ed., with appendix.</t>
  </si>
  <si>
    <t>1995-04-11</t>
  </si>
  <si>
    <t>2287004379:eng</t>
  </si>
  <si>
    <t>6037978</t>
  </si>
  <si>
    <t>991004918559702656</t>
  </si>
  <si>
    <t>2261267860002656</t>
  </si>
  <si>
    <t>32285002026242</t>
  </si>
  <si>
    <t>893241972</t>
  </si>
  <si>
    <t>PB1607 .T5 1990</t>
  </si>
  <si>
    <t>0                      PB 1607000T  5           1990</t>
  </si>
  <si>
    <t>An introduction to Gaelic poetry / Derick Thomson.</t>
  </si>
  <si>
    <t>Thomson, Derick S.</t>
  </si>
  <si>
    <t>Edinburgh : Edinburgh University Press, 1989, c1990.</t>
  </si>
  <si>
    <t>2nd ed.</t>
  </si>
  <si>
    <t>stk</t>
  </si>
  <si>
    <t>1992-07-15</t>
  </si>
  <si>
    <t>1991-04-03</t>
  </si>
  <si>
    <t>1806466:eng</t>
  </si>
  <si>
    <t>24248815</t>
  </si>
  <si>
    <t>991001584349702656</t>
  </si>
  <si>
    <t>2271238230002656</t>
  </si>
  <si>
    <t>9780748601271</t>
  </si>
  <si>
    <t>32285000565324</t>
  </si>
  <si>
    <t>893791519</t>
  </si>
  <si>
    <t>PB1645 .C313 1997</t>
  </si>
  <si>
    <t>0                      PB 1645000C  313         1997</t>
  </si>
  <si>
    <t>Charms of the Gaels : hymns and incantations : with illustrative notes on words, rites and customs, dying and obsolete : orally collected in the Highlands and islands of Scotland / by Alexander Carmichael.</t>
  </si>
  <si>
    <t>Carmichael, Alexander, 1832-1912. Carmina Gadelica. English.</t>
  </si>
  <si>
    <t>Hudson, NY : Lindisfarne Press, 1997.</t>
  </si>
  <si>
    <t>Reprinted with revisions.</t>
  </si>
  <si>
    <t>2004-01-31</t>
  </si>
  <si>
    <t>2000-03-23</t>
  </si>
  <si>
    <t>8908494657:eng</t>
  </si>
  <si>
    <t>38892951</t>
  </si>
  <si>
    <t>991002926449702656</t>
  </si>
  <si>
    <t>2268818590002656</t>
  </si>
  <si>
    <t>9780940262508</t>
  </si>
  <si>
    <t>32285003673588</t>
  </si>
  <si>
    <t>893517939</t>
  </si>
  <si>
    <t>PB1645 .C3213 1996</t>
  </si>
  <si>
    <t>0                      PB 1645000C  3213        1996</t>
  </si>
  <si>
    <t>Celtic prayers / translated by Alexander Carmichael ; edited by Trace Murphy.</t>
  </si>
  <si>
    <t>New York : Image, Doubleday, 1996.</t>
  </si>
  <si>
    <t>1st Image Books ed.</t>
  </si>
  <si>
    <t>2007-12-11</t>
  </si>
  <si>
    <t>1996-09-04</t>
  </si>
  <si>
    <t>1809707513:eng</t>
  </si>
  <si>
    <t>33664765</t>
  </si>
  <si>
    <t>991002576289702656</t>
  </si>
  <si>
    <t>2259114010002656</t>
  </si>
  <si>
    <t>9780385482417</t>
  </si>
  <si>
    <t>32285002294394</t>
  </si>
  <si>
    <t>893622445</t>
  </si>
  <si>
    <t>PB1645 .F579 1998</t>
  </si>
  <si>
    <t>0                      PB 1645000F  579         1998</t>
  </si>
  <si>
    <t>A contemporary Celtic prayer book / William John Fitzgerald ; foreword by Joyce Rupp.</t>
  </si>
  <si>
    <t>Fitzgerald, William John.</t>
  </si>
  <si>
    <t>Maryland : ACTA Publications, 1998.</t>
  </si>
  <si>
    <t>mdu</t>
  </si>
  <si>
    <t>2010-01-25</t>
  </si>
  <si>
    <t>1998-12-09</t>
  </si>
  <si>
    <t>15580675:eng</t>
  </si>
  <si>
    <t>40456789</t>
  </si>
  <si>
    <t>991002994079702656</t>
  </si>
  <si>
    <t>2270952530002656</t>
  </si>
  <si>
    <t>9780879461898</t>
  </si>
  <si>
    <t>32285003505301</t>
  </si>
  <si>
    <t>893887013</t>
  </si>
  <si>
    <t>PB1648.M328 A26 1990</t>
  </si>
  <si>
    <t>0                      PB 1648000M  328                A  26          1990</t>
  </si>
  <si>
    <t>O choille gu Bearradh / Somhairle MacGill-Eain = From wood to ridge : collected poems in Gaelic and English / Sorley MacLean.</t>
  </si>
  <si>
    <t>MacGill-Eain, Somhairle, 1911-1996.</t>
  </si>
  <si>
    <t>Manchester : Carcanet, 1990.</t>
  </si>
  <si>
    <t>1990</t>
  </si>
  <si>
    <t>2009-02-13</t>
  </si>
  <si>
    <t>1991-03-21</t>
  </si>
  <si>
    <t>137894765:eng</t>
  </si>
  <si>
    <t>22734658</t>
  </si>
  <si>
    <t>991001810689702656</t>
  </si>
  <si>
    <t>2254832360002656</t>
  </si>
  <si>
    <t>9780856358449</t>
  </si>
  <si>
    <t>32285000512797</t>
  </si>
  <si>
    <t>893779103</t>
  </si>
  <si>
    <t>PB2363.M2 J6 2000</t>
  </si>
  <si>
    <t>0                      PB 2363000M  2                  J  6           2000</t>
  </si>
  <si>
    <t>The Mabinogion / translated by Gwyn Jones and Thomas Jones, with an introduction by Gwyn Jones and a preface by John Updike.</t>
  </si>
  <si>
    <t>Mabinogion. English.</t>
  </si>
  <si>
    <t>London : Everyman, 2000.</t>
  </si>
  <si>
    <t>Revised ed. 1993 / revised by Gwyn Jones and Mair Jones, with a new preface (2000)</t>
  </si>
  <si>
    <t>Everyman's library ; 168</t>
  </si>
  <si>
    <t>2003-10-16</t>
  </si>
  <si>
    <t>4927275732:eng</t>
  </si>
  <si>
    <t>47057050</t>
  </si>
  <si>
    <t>991004153229702656</t>
  </si>
  <si>
    <t>2268462950002656</t>
  </si>
  <si>
    <t>9781857151688</t>
  </si>
  <si>
    <t>32285004789318</t>
  </si>
  <si>
    <t>893324994</t>
  </si>
  <si>
    <t>PB35 .H345 1993</t>
  </si>
  <si>
    <t>0                      PB 0035000H  345         1993</t>
  </si>
  <si>
    <t>Teaching language in context / Alice Omaggio Hadley.</t>
  </si>
  <si>
    <t>Hadley, Alice Omaggio, 1947-</t>
  </si>
  <si>
    <t>Boston, Mass. : Heinle &amp; Heinle, c1993.</t>
  </si>
  <si>
    <t>1993</t>
  </si>
  <si>
    <t>2005-10-11</t>
  </si>
  <si>
    <t>1997-02-14</t>
  </si>
  <si>
    <t>4927838062:eng</t>
  </si>
  <si>
    <t>28573324</t>
  </si>
  <si>
    <t>991002218109702656</t>
  </si>
  <si>
    <t>2259779350002656</t>
  </si>
  <si>
    <t>9780838440674</t>
  </si>
  <si>
    <t>32285002431640</t>
  </si>
  <si>
    <t>893347250</t>
  </si>
  <si>
    <t>PB35 .I57 1992</t>
  </si>
  <si>
    <t>0                      PB 0035000I  57          1992</t>
  </si>
  <si>
    <t>Introduction to scholarship in modern languages and literatures / edited by Joseph Gibaldi.</t>
  </si>
  <si>
    <t>New York : Modern Language Association of America, 1992.</t>
  </si>
  <si>
    <t>2008-08-11</t>
  </si>
  <si>
    <t>54430028:eng</t>
  </si>
  <si>
    <t>25008548</t>
  </si>
  <si>
    <t>991005043899702656</t>
  </si>
  <si>
    <t>2268937530002656</t>
  </si>
  <si>
    <t>9780873523851</t>
  </si>
  <si>
    <t>32285005452494</t>
  </si>
  <si>
    <t>893870426</t>
  </si>
  <si>
    <t>PB35 .T43 1983</t>
  </si>
  <si>
    <t>0                      PB 0035000T  43          1983</t>
  </si>
  <si>
    <t>Teaching modern languages / edited by G. Richardson.</t>
  </si>
  <si>
    <t>London : Croom Helm ; New York : Nichols Pub. Co., 1983.</t>
  </si>
  <si>
    <t>1983</t>
  </si>
  <si>
    <t>1993-04-14</t>
  </si>
  <si>
    <t>355894025:eng</t>
  </si>
  <si>
    <t>9393433</t>
  </si>
  <si>
    <t>991000185349702656</t>
  </si>
  <si>
    <t>2265988270002656</t>
  </si>
  <si>
    <t>9780893971571</t>
  </si>
  <si>
    <t>32285001639573</t>
  </si>
  <si>
    <t>893607733</t>
  </si>
  <si>
    <t>PB38.U6 S5</t>
  </si>
  <si>
    <t>0                      PB 0038000U  6                  S  5</t>
  </si>
  <si>
    <t>The tongue-tied American : confronting the foreign language crisis / by Paul Simon.</t>
  </si>
  <si>
    <t>Simon, Paul, 1928-2003.</t>
  </si>
  <si>
    <t>New York : Continuum, c1980.</t>
  </si>
  <si>
    <t>1996-02-22</t>
  </si>
  <si>
    <t>292082641:eng</t>
  </si>
  <si>
    <t>6446854</t>
  </si>
  <si>
    <t>991004984509702656</t>
  </si>
  <si>
    <t>2255946660002656</t>
  </si>
  <si>
    <t>9780826400222</t>
  </si>
  <si>
    <t>32285001639615</t>
  </si>
  <si>
    <t>893344477</t>
  </si>
  <si>
    <t>PB6 .M45 1941</t>
  </si>
  <si>
    <t>0                      PB 0006000M  45          1941</t>
  </si>
  <si>
    <t>A graded Spanish word book / compiled by Milton A. Buchanan.</t>
  </si>
  <si>
    <t>Toronto : University of Toronto Press, 1929 [reprinted 1941].</t>
  </si>
  <si>
    <t>1941</t>
  </si>
  <si>
    <t>3rd ed.</t>
  </si>
  <si>
    <t>onc</t>
  </si>
  <si>
    <t>American and Candadian committees on modern languages. Publications ; volume III.</t>
  </si>
  <si>
    <t>2003-07-08</t>
  </si>
  <si>
    <t>1997-09-10</t>
  </si>
  <si>
    <t>1956634:eng</t>
  </si>
  <si>
    <t>12709468</t>
  </si>
  <si>
    <t>991000727409702656</t>
  </si>
  <si>
    <t>2271468060002656</t>
  </si>
  <si>
    <t>32285003213062</t>
  </si>
  <si>
    <t>893225251</t>
  </si>
  <si>
    <t>PC1111 .M722 1920</t>
  </si>
  <si>
    <t>0                      PC 1111000M  722         1920</t>
  </si>
  <si>
    <t>An elementary grammar of the Italian language / by A. Marinoni.</t>
  </si>
  <si>
    <t>Marinoni, A. (Antonio), 1879-1944.</t>
  </si>
  <si>
    <t>New York : Brentano's, [1920]</t>
  </si>
  <si>
    <t>1920</t>
  </si>
  <si>
    <t xml:space="preserve">PC </t>
  </si>
  <si>
    <t>2009-07-09</t>
  </si>
  <si>
    <t>1991-10-23</t>
  </si>
  <si>
    <t>47081370:eng</t>
  </si>
  <si>
    <t>4066529</t>
  </si>
  <si>
    <t>991005372089702656</t>
  </si>
  <si>
    <t>2268608060002656</t>
  </si>
  <si>
    <t>32285000776822</t>
  </si>
  <si>
    <t>893236743</t>
  </si>
  <si>
    <t>PC1111 .R87 1941</t>
  </si>
  <si>
    <t>0                      PC 1111000R  87          1941</t>
  </si>
  <si>
    <t>Second year Italian / by Joseph Louis Russo.</t>
  </si>
  <si>
    <t>Russo, Joseph Louis, 1884-1971.</t>
  </si>
  <si>
    <t>Boston ; New York [etc.] : D.C. Heath and company, [c1941]</t>
  </si>
  <si>
    <t>Heath's modern language series</t>
  </si>
  <si>
    <t>2005-07-29</t>
  </si>
  <si>
    <t>2704485:eng</t>
  </si>
  <si>
    <t>1971080</t>
  </si>
  <si>
    <t>991003957529702656</t>
  </si>
  <si>
    <t>2265064320002656</t>
  </si>
  <si>
    <t>32285001645091</t>
  </si>
  <si>
    <t>893435708</t>
  </si>
  <si>
    <t>PC1111 .W5</t>
  </si>
  <si>
    <t>0                      PC 1111000W  5</t>
  </si>
  <si>
    <t>First Italian book / by Ernest Hatch Wilkins.</t>
  </si>
  <si>
    <t>Wilkins, Ernest Hatch, 1880-1966.</t>
  </si>
  <si>
    <t>Boston : D.C. Heath ; Chicago, Ill. : The University of Chicago press, [c1920]</t>
  </si>
  <si>
    <t>The University of Chicago Italian series</t>
  </si>
  <si>
    <t>1992-05-07</t>
  </si>
  <si>
    <t>6276386:eng</t>
  </si>
  <si>
    <t>2821711</t>
  </si>
  <si>
    <t>991005370269702656</t>
  </si>
  <si>
    <t>2263152530002656</t>
  </si>
  <si>
    <t>32285001094415</t>
  </si>
  <si>
    <t>893351171</t>
  </si>
  <si>
    <t>PC1112 .T65</t>
  </si>
  <si>
    <t>0                      PC 1112000T  65</t>
  </si>
  <si>
    <t>Idioma in prospettiva secondo corso d'Italiano / Vincenzo Traversa ; Profili da Ii Gattopardo.</t>
  </si>
  <si>
    <t>Traversa, Vincenzo, 1923-</t>
  </si>
  <si>
    <t>New York : Harper &amp; Row, 1969.</t>
  </si>
  <si>
    <t>1969</t>
  </si>
  <si>
    <t>ita</t>
  </si>
  <si>
    <t>2005-07-05</t>
  </si>
  <si>
    <t>1152062863:ita</t>
  </si>
  <si>
    <t>3307914</t>
  </si>
  <si>
    <t>991004402179702656</t>
  </si>
  <si>
    <t>2267782400002656</t>
  </si>
  <si>
    <t>32285003213922</t>
  </si>
  <si>
    <t>893411489</t>
  </si>
  <si>
    <t>32285003213914</t>
  </si>
  <si>
    <t>893411488</t>
  </si>
  <si>
    <t>PC1112.5 .J3 1960</t>
  </si>
  <si>
    <t>0                      PC 1112500J  3           1960</t>
  </si>
  <si>
    <t>Italian made simple / by Eugene Jackson and Joseph Lopreato.</t>
  </si>
  <si>
    <t>Jackson, Eugene.</t>
  </si>
  <si>
    <t>New York : Made Simple Books ; distributed to the book trade by Doubleday &amp; Company ; Garden City, N.Y., [1960]</t>
  </si>
  <si>
    <t>1960</t>
  </si>
  <si>
    <t>The Made simple books</t>
  </si>
  <si>
    <t>2008-03-29</t>
  </si>
  <si>
    <t>1991-10-18</t>
  </si>
  <si>
    <t>181446:eng</t>
  </si>
  <si>
    <t>1268892</t>
  </si>
  <si>
    <t>991005369899702656</t>
  </si>
  <si>
    <t>2260377340002656</t>
  </si>
  <si>
    <t>32285000776814</t>
  </si>
  <si>
    <t>893345094</t>
  </si>
  <si>
    <t>PC1117 .M26 1996</t>
  </si>
  <si>
    <t>0                      PC 1117000M  26          1996</t>
  </si>
  <si>
    <t>Made in Italy : letture verso il 2000 : testo per l'insegnamento della civiltà e della cultura italiana nei corsi di livello intermedio / Daniela Alessandroni, Sabrina Cittadini.</t>
  </si>
  <si>
    <t>Alessandroni, Daniela.</t>
  </si>
  <si>
    <t>Perugia : Guerra, 1996.</t>
  </si>
  <si>
    <t xml:space="preserve">it </t>
  </si>
  <si>
    <t>2009-04-08</t>
  </si>
  <si>
    <t>2007-03-13</t>
  </si>
  <si>
    <t>476897454:ita</t>
  </si>
  <si>
    <t>35915044</t>
  </si>
  <si>
    <t>991005029809702656</t>
  </si>
  <si>
    <t>2260868170002656</t>
  </si>
  <si>
    <t>9788877151902</t>
  </si>
  <si>
    <t>32285005281125</t>
  </si>
  <si>
    <t>893344538</t>
  </si>
  <si>
    <t>PC1127.A7 A53 2006</t>
  </si>
  <si>
    <t>0                      PC 1127000A  7                  A  53          2006</t>
  </si>
  <si>
    <t>L'italiano attraverso la storia dell'arte / Maddalena Angelino, Elena Ballarin.</t>
  </si>
  <si>
    <t>Angelino, Maddalena.</t>
  </si>
  <si>
    <t>Perugia : Guerra, 2006.</t>
  </si>
  <si>
    <t>2006</t>
  </si>
  <si>
    <t>2010-03-08</t>
  </si>
  <si>
    <t>2007-04-25</t>
  </si>
  <si>
    <t>368583127:ita</t>
  </si>
  <si>
    <t>77557183</t>
  </si>
  <si>
    <t>991005046579702656</t>
  </si>
  <si>
    <t>2264633060002656</t>
  </si>
  <si>
    <t>9788877159304</t>
  </si>
  <si>
    <t>32285005284392</t>
  </si>
  <si>
    <t>893700952</t>
  </si>
  <si>
    <t>PC1127.H5 C3</t>
  </si>
  <si>
    <t>0                      PC 1127000H  5                  C  3</t>
  </si>
  <si>
    <t>The Italian heritage.</t>
  </si>
  <si>
    <t>Cantarella, Michele, 1899-1988.</t>
  </si>
  <si>
    <t>[New York] : Holt, [1959]</t>
  </si>
  <si>
    <t>1959</t>
  </si>
  <si>
    <t>A Holt-Dryden book</t>
  </si>
  <si>
    <t>2000-05-11</t>
  </si>
  <si>
    <t>1991-09-05</t>
  </si>
  <si>
    <t>2584640:eng</t>
  </si>
  <si>
    <t>1812170</t>
  </si>
  <si>
    <t>991005365409702656</t>
  </si>
  <si>
    <t>2257474350002656</t>
  </si>
  <si>
    <t>32285000736198</t>
  </si>
  <si>
    <t>893332843</t>
  </si>
  <si>
    <t>PC1640 .H35 1963</t>
  </si>
  <si>
    <t>0                      PC 1640000H  35          1963</t>
  </si>
  <si>
    <t>Garzanti comprehensive Italian-English, English-Italian dictionary.</t>
  </si>
  <si>
    <t>Hazon, Mario, 1885-</t>
  </si>
  <si>
    <t>New York : McGraw-Hill, [1963, c1961]</t>
  </si>
  <si>
    <t>1963</t>
  </si>
  <si>
    <t>2007-09-06</t>
  </si>
  <si>
    <t>1998-01-26</t>
  </si>
  <si>
    <t>33582842:eng</t>
  </si>
  <si>
    <t>912791</t>
  </si>
  <si>
    <t>991001321459702656</t>
  </si>
  <si>
    <t>2268501710002656</t>
  </si>
  <si>
    <t>32285003326807</t>
  </si>
  <si>
    <t>893496997</t>
  </si>
  <si>
    <t>PC2064.K5 A3 1996</t>
  </si>
  <si>
    <t>0                      PC 2064000K  5                  A  3           1996</t>
  </si>
  <si>
    <t>Ich will Zeugnis ablegen bis zum letzten / Victor Klemperer ; herausgegeben von Walter Nowojski ; unter Mitarbeit von Hadwig Klemperer.</t>
  </si>
  <si>
    <t>Klemperer, Victor, 1881-1960.</t>
  </si>
  <si>
    <t>Berlin : Aufbau-Verlag, 1996, c1995</t>
  </si>
  <si>
    <t>8. Aufl.</t>
  </si>
  <si>
    <t>ger</t>
  </si>
  <si>
    <t xml:space="preserve">gw </t>
  </si>
  <si>
    <t>1999-02-18</t>
  </si>
  <si>
    <t>1997-08-11</t>
  </si>
  <si>
    <t>4915881482:ger</t>
  </si>
  <si>
    <t>33361308</t>
  </si>
  <si>
    <t>991002771159702656</t>
  </si>
  <si>
    <t>2261170360002656</t>
  </si>
  <si>
    <t>9783351023409</t>
  </si>
  <si>
    <t>32285003000931</t>
  </si>
  <si>
    <t>893245612</t>
  </si>
  <si>
    <t>32285003000949</t>
  </si>
  <si>
    <t>893239470</t>
  </si>
  <si>
    <t>PC2075 .F6 1968</t>
  </si>
  <si>
    <t>0                      PC 2075000F  6           1968</t>
  </si>
  <si>
    <t>A concise history of the French language (phonology and morphology) [by] John Fox [and] Robin Wood.</t>
  </si>
  <si>
    <t>Fox, John, 1925-</t>
  </si>
  <si>
    <t>Oxford, Blackwell, 1968.</t>
  </si>
  <si>
    <t>1968</t>
  </si>
  <si>
    <t>2003-01-18</t>
  </si>
  <si>
    <t>1131124:eng</t>
  </si>
  <si>
    <t>93662</t>
  </si>
  <si>
    <t>991000563729702656</t>
  </si>
  <si>
    <t>2265707660002656</t>
  </si>
  <si>
    <t>9780631117308</t>
  </si>
  <si>
    <t>32285003214029</t>
  </si>
  <si>
    <t>893601862</t>
  </si>
  <si>
    <t>PC2075 .P6 1952</t>
  </si>
  <si>
    <t>0                      PC 2075000P  6           1952</t>
  </si>
  <si>
    <t>From Latin to modern French, with especial consideration of Anglo-Norman; phonology and morphology.</t>
  </si>
  <si>
    <t>Pope, Mildred K. (Mildred Katharine), 1872-1956.</t>
  </si>
  <si>
    <t>Manchester] Manchester University Press [1952]</t>
  </si>
  <si>
    <t>1952</t>
  </si>
  <si>
    <t>[2d, rev. ed.</t>
  </si>
  <si>
    <t>Publications of the University of Manchester, no. 229. French series, no. 6</t>
  </si>
  <si>
    <t>2010-11-03</t>
  </si>
  <si>
    <t>196991420:eng</t>
  </si>
  <si>
    <t>4511938</t>
  </si>
  <si>
    <t>991004668149702656</t>
  </si>
  <si>
    <t>2271480650002656</t>
  </si>
  <si>
    <t>32285003214052</t>
  </si>
  <si>
    <t>893353489</t>
  </si>
  <si>
    <t>PC2101 .W3</t>
  </si>
  <si>
    <t>0                      PC 2101000W  3</t>
  </si>
  <si>
    <t>Grammaire du français classique et moderne [par] R.L. Wagner [et] J. Pinchon.</t>
  </si>
  <si>
    <t>Wagner, Robert Léon.</t>
  </si>
  <si>
    <t>Paris, Hachette [1962]</t>
  </si>
  <si>
    <t>fre</t>
  </si>
  <si>
    <t xml:space="preserve">fr </t>
  </si>
  <si>
    <t>1999-10-25</t>
  </si>
  <si>
    <t>1782411:fre</t>
  </si>
  <si>
    <t>7050235</t>
  </si>
  <si>
    <t>991005072399702656</t>
  </si>
  <si>
    <t>2267850630002656</t>
  </si>
  <si>
    <t>32285003214318</t>
  </si>
  <si>
    <t>893795562</t>
  </si>
  <si>
    <t>PC2111 .B357</t>
  </si>
  <si>
    <t>0                      PC 2111000B  357</t>
  </si>
  <si>
    <t>French review grammar and composition, by Francis Brown Barton and Edward Hinman Sirich.</t>
  </si>
  <si>
    <t>Barton, Francis Brown, 1886-1971.</t>
  </si>
  <si>
    <t>New York, F. S. Crofts &amp; co., 1928.</t>
  </si>
  <si>
    <t>1928</t>
  </si>
  <si>
    <t>1999-03-22</t>
  </si>
  <si>
    <t>149175144:eng</t>
  </si>
  <si>
    <t>3646526</t>
  </si>
  <si>
    <t>991004486229702656</t>
  </si>
  <si>
    <t>2254836220002656</t>
  </si>
  <si>
    <t>32285003214359</t>
  </si>
  <si>
    <t>893519713</t>
  </si>
  <si>
    <t>PC2111 .B788</t>
  </si>
  <si>
    <t>0                      PC 2111000B  788</t>
  </si>
  <si>
    <t>French composition and conversation, with review grammar, by Joseph Brown, Jr., and Dwight Ingersoll Chapman.</t>
  </si>
  <si>
    <t>Brown, Joseph, 1901-</t>
  </si>
  <si>
    <t>New York, London, Century [c1928]</t>
  </si>
  <si>
    <t>The Century modern language series</t>
  </si>
  <si>
    <t>1031300490:eng</t>
  </si>
  <si>
    <t>3980845</t>
  </si>
  <si>
    <t>991004558369702656</t>
  </si>
  <si>
    <t>2272078620002656</t>
  </si>
  <si>
    <t>32285003214433</t>
  </si>
  <si>
    <t>893719078</t>
  </si>
  <si>
    <t>PC2111 .H69 1973</t>
  </si>
  <si>
    <t>0                      PC 2111000H  69          1973</t>
  </si>
  <si>
    <t>L'essentiel de la grammaire française / Léon-Frano̧is Hoffmann.</t>
  </si>
  <si>
    <t>Hoffmann, Léon-François.</t>
  </si>
  <si>
    <t>New York : Scribner, [1973]</t>
  </si>
  <si>
    <t>1973</t>
  </si>
  <si>
    <t>Deuxième édition.</t>
  </si>
  <si>
    <t>The Scribner French series</t>
  </si>
  <si>
    <t>1998-04-06</t>
  </si>
  <si>
    <t>1992-07-20</t>
  </si>
  <si>
    <t>348799364:fre</t>
  </si>
  <si>
    <t>1750170</t>
  </si>
  <si>
    <t>991003889799702656</t>
  </si>
  <si>
    <t>2255463510002656</t>
  </si>
  <si>
    <t>9780684130866</t>
  </si>
  <si>
    <t>32285001201390</t>
  </si>
  <si>
    <t>893593020</t>
  </si>
  <si>
    <t>PC2111 .L52</t>
  </si>
  <si>
    <t>0                      PC 2111000L  52</t>
  </si>
  <si>
    <t>A modern French grammar : for secondary schools and colleges / by Philippe de La Rochelle.</t>
  </si>
  <si>
    <t>La Rochelle, Philippe de, 1871-</t>
  </si>
  <si>
    <t>New York : Putnam, 1919</t>
  </si>
  <si>
    <t>1919</t>
  </si>
  <si>
    <t>1999-02-05</t>
  </si>
  <si>
    <t>427580687:eng</t>
  </si>
  <si>
    <t>7725655</t>
  </si>
  <si>
    <t>991005150089702656</t>
  </si>
  <si>
    <t>2259346400002656</t>
  </si>
  <si>
    <t>32285003214573</t>
  </si>
  <si>
    <t>893600711</t>
  </si>
  <si>
    <t>PC2111 .L588</t>
  </si>
  <si>
    <t>0                      PC 2111000L  588</t>
  </si>
  <si>
    <t>Unified French course, an integrated course for beginners, by Irville C. Lecompte and Myrtle Violet Sundeen</t>
  </si>
  <si>
    <t>LeCompte, Irville C., 1872-1957.</t>
  </si>
  <si>
    <t>Boston, D.C. Heath [c1937]</t>
  </si>
  <si>
    <t>1937</t>
  </si>
  <si>
    <t>___</t>
  </si>
  <si>
    <t>2009-05-26</t>
  </si>
  <si>
    <t>422790248:eng</t>
  </si>
  <si>
    <t>602652</t>
  </si>
  <si>
    <t>991003041399702656</t>
  </si>
  <si>
    <t>2260037910002656</t>
  </si>
  <si>
    <t>32285001645133</t>
  </si>
  <si>
    <t>893698616</t>
  </si>
  <si>
    <t>PC2111 .L7</t>
  </si>
  <si>
    <t>0                      PC 2111000L  7</t>
  </si>
  <si>
    <t>French composition : a trip to Paris / by Moritz Levi.</t>
  </si>
  <si>
    <t>Levi, Moritz, 1857-</t>
  </si>
  <si>
    <t>New York : Holt, c1916.</t>
  </si>
  <si>
    <t>1916</t>
  </si>
  <si>
    <t>1997-10-08</t>
  </si>
  <si>
    <t>1992-03-12</t>
  </si>
  <si>
    <t>3355928:eng</t>
  </si>
  <si>
    <t>10126501</t>
  </si>
  <si>
    <t>991000317899702656</t>
  </si>
  <si>
    <t>2259210570002656</t>
  </si>
  <si>
    <t>32285000998426</t>
  </si>
  <si>
    <t>893802677</t>
  </si>
  <si>
    <t>PC2111 .P72 1963</t>
  </si>
  <si>
    <t>0                      PC 2111000P  72          1963</t>
  </si>
  <si>
    <t>Active review of French : selected patterns, vocabulary, and pronunciation problems for speakers of English / [by] Robert L. Politzer [and] Michio P. Hagiwara.</t>
  </si>
  <si>
    <t>Politzer, Robert Louis, 1921-</t>
  </si>
  <si>
    <t>Boston : Ginn, [1963]</t>
  </si>
  <si>
    <t>2001-08-22</t>
  </si>
  <si>
    <t>1996-07-17</t>
  </si>
  <si>
    <t>3873775:eng</t>
  </si>
  <si>
    <t>2069482</t>
  </si>
  <si>
    <t>991003998839702656</t>
  </si>
  <si>
    <t>2266069270002656</t>
  </si>
  <si>
    <t>32285002213311</t>
  </si>
  <si>
    <t>893525504</t>
  </si>
  <si>
    <t>PC2112 .J82 1983</t>
  </si>
  <si>
    <t>0                      PC 2112000J  82          1983</t>
  </si>
  <si>
    <t>A Reference grammar of modern French / Anne Judge, F.G. Healey.</t>
  </si>
  <si>
    <t>Judge, Anne.</t>
  </si>
  <si>
    <t>London : Edward Arnold, 1983.</t>
  </si>
  <si>
    <t>2005-07-11</t>
  </si>
  <si>
    <t>3197260:eng</t>
  </si>
  <si>
    <t>12586462</t>
  </si>
  <si>
    <t>991000372799702656</t>
  </si>
  <si>
    <t>2268903940002656</t>
  </si>
  <si>
    <t>9780713162851</t>
  </si>
  <si>
    <t>32285000829563</t>
  </si>
  <si>
    <t>893413291</t>
  </si>
  <si>
    <t>PC2115 .K8</t>
  </si>
  <si>
    <t>0                      PC 2115000K  8</t>
  </si>
  <si>
    <t>French reading for beginners.</t>
  </si>
  <si>
    <t>Kuhns, Oscar, 1856-1929, compiler.</t>
  </si>
  <si>
    <t>H. Holt and company, 1899.</t>
  </si>
  <si>
    <t>1899</t>
  </si>
  <si>
    <t>1997-09-15</t>
  </si>
  <si>
    <t>2288281333:fre</t>
  </si>
  <si>
    <t>313876</t>
  </si>
  <si>
    <t>991002293119702656</t>
  </si>
  <si>
    <t>2269512410002656</t>
  </si>
  <si>
    <t>32285003214656</t>
  </si>
  <si>
    <t>893685199</t>
  </si>
  <si>
    <t>PC2117 .F82</t>
  </si>
  <si>
    <t>0                      PC 2117000F  82</t>
  </si>
  <si>
    <t>Quelques journées françaises / [par] Émile Frère [et] Robert Laborde.</t>
  </si>
  <si>
    <t>Frère, Émile.</t>
  </si>
  <si>
    <t>Waltham, Mass. : Blaisdell Pub. Co., [1969]</t>
  </si>
  <si>
    <t>A Blaisdell book in the modern languages</t>
  </si>
  <si>
    <t>2004-11-02</t>
  </si>
  <si>
    <t>1992-03-11</t>
  </si>
  <si>
    <t>1145890:fre</t>
  </si>
  <si>
    <t>23674</t>
  </si>
  <si>
    <t>991000057339702656</t>
  </si>
  <si>
    <t>2267609980002656</t>
  </si>
  <si>
    <t>32285000996511</t>
  </si>
  <si>
    <t>893224695</t>
  </si>
  <si>
    <t>PC2117 .M61</t>
  </si>
  <si>
    <t>0                      PC 2117000M  61</t>
  </si>
  <si>
    <t>La belle France; a French reader for beginners, by Adolphe de Monvert; with illustrations prepared and arranged by Charles H. Munson.</t>
  </si>
  <si>
    <t>Monvert, Adolphe de.</t>
  </si>
  <si>
    <t>Boston, New York [etc.] Allyn and Bacon [c1916]</t>
  </si>
  <si>
    <t>1995-11-08</t>
  </si>
  <si>
    <t>1992-02-10</t>
  </si>
  <si>
    <t>422806248:fre</t>
  </si>
  <si>
    <t>5654724</t>
  </si>
  <si>
    <t>991004853799702656</t>
  </si>
  <si>
    <t>2256469760002656</t>
  </si>
  <si>
    <t>32285000954221</t>
  </si>
  <si>
    <t>893526600</t>
  </si>
  <si>
    <t>PC2120.C6 B46 1982</t>
  </si>
  <si>
    <t>0                      PC 2120000C  6                  B  46          1982</t>
  </si>
  <si>
    <t>Le français économique et commercial / Mustapha K. Bénouis.</t>
  </si>
  <si>
    <t>Bénouis, Mustapha K. (Mustapha Kemal)</t>
  </si>
  <si>
    <t>New York : Harcourt Brace Jovanovich, [c1982].</t>
  </si>
  <si>
    <t>1982</t>
  </si>
  <si>
    <t>1998-02-19</t>
  </si>
  <si>
    <t>355719578:fre</t>
  </si>
  <si>
    <t>8273869</t>
  </si>
  <si>
    <t>991005224319702656</t>
  </si>
  <si>
    <t>2272252440002656</t>
  </si>
  <si>
    <t>9780155283008</t>
  </si>
  <si>
    <t>32285001645166</t>
  </si>
  <si>
    <t>893628631</t>
  </si>
  <si>
    <t>PC2120.C6 L446 1995</t>
  </si>
  <si>
    <t>0                      PC 2120000C  6                  L  446         1995</t>
  </si>
  <si>
    <t>Le nouveau French for business = Le Français des affaires : livret du professeur / Claude Le Goff.</t>
  </si>
  <si>
    <t>Le Goff, Claude.</t>
  </si>
  <si>
    <t>Paris : Hatier/Didier, c1995.</t>
  </si>
  <si>
    <t>1995</t>
  </si>
  <si>
    <t>1999-12-02</t>
  </si>
  <si>
    <t>1999-01-25</t>
  </si>
  <si>
    <t>3860177950:fre</t>
  </si>
  <si>
    <t>40670383</t>
  </si>
  <si>
    <t>991003001819702656</t>
  </si>
  <si>
    <t>2268335160002656</t>
  </si>
  <si>
    <t>9782278044108</t>
  </si>
  <si>
    <t>32285003219598</t>
  </si>
  <si>
    <t>893623026</t>
  </si>
  <si>
    <t>PC2127.F7 C6 1999</t>
  </si>
  <si>
    <t>0                      PC 2127000F  7                  C  6           1999</t>
  </si>
  <si>
    <t>Ensemble. Culture et société / Raymond F. Comeau, Normand J. Lamoureux, Marie-Paule Tranvouez.</t>
  </si>
  <si>
    <t>Comeau, Raymond F.</t>
  </si>
  <si>
    <t>Fort Worth ; London : Holt, Reinhart and Winston, c1999.</t>
  </si>
  <si>
    <t>6e éd.</t>
  </si>
  <si>
    <t>2008-09-23</t>
  </si>
  <si>
    <t>1999-04-29</t>
  </si>
  <si>
    <t>3769310645:eng</t>
  </si>
  <si>
    <t>41528453</t>
  </si>
  <si>
    <t>991003023149702656</t>
  </si>
  <si>
    <t>2260781910002656</t>
  </si>
  <si>
    <t>9780030222467</t>
  </si>
  <si>
    <t>32285003557807</t>
  </si>
  <si>
    <t>893692304</t>
  </si>
  <si>
    <t>PC2129.E5 G46 1992</t>
  </si>
  <si>
    <t>0                      PC 2129000E  5                  G  46          1992</t>
  </si>
  <si>
    <t>A la française : correct French for English speakers / Marie Gontier Geno.</t>
  </si>
  <si>
    <t>Geno, Marie Gontier.</t>
  </si>
  <si>
    <t>London ; New York : University Press of America, c1992.</t>
  </si>
  <si>
    <t>2003-02-26</t>
  </si>
  <si>
    <t>1996-06-24</t>
  </si>
  <si>
    <t>28542317:fre</t>
  </si>
  <si>
    <t>25915496</t>
  </si>
  <si>
    <t>991002034989702656</t>
  </si>
  <si>
    <t>2269926060002656</t>
  </si>
  <si>
    <t>9780819187376</t>
  </si>
  <si>
    <t>32285002172459</t>
  </si>
  <si>
    <t>893232484</t>
  </si>
  <si>
    <t>PC2129.E5 H445 1997</t>
  </si>
  <si>
    <t>0                      PC 2129000E  5                  H  445         1997</t>
  </si>
  <si>
    <t>Barron's 1001 pitfalls in French / Annie Heminway, James H. Grew, Daniel D. Olivier.</t>
  </si>
  <si>
    <t>Heminway, Annie.</t>
  </si>
  <si>
    <t>Hauppage, N.Y. : Barron's Educational Series, Inc., c1997.</t>
  </si>
  <si>
    <t>2009-04-16</t>
  </si>
  <si>
    <t>2007-05-16</t>
  </si>
  <si>
    <t>40794046:eng</t>
  </si>
  <si>
    <t>36565386</t>
  </si>
  <si>
    <t>991005043729702656</t>
  </si>
  <si>
    <t>2266407120002656</t>
  </si>
  <si>
    <t>9780812096514</t>
  </si>
  <si>
    <t>32285005313357</t>
  </si>
  <si>
    <t>893876845</t>
  </si>
  <si>
    <t>PC2137 .M47</t>
  </si>
  <si>
    <t>0                      PC 2137000M  47</t>
  </si>
  <si>
    <t>French pronunciation and diction : with a special study of American speech-habits / by Louis J.A. Mercier.</t>
  </si>
  <si>
    <t>Mercier, Louis J. A. (Louis Joseph Alexandre), 1880-</t>
  </si>
  <si>
    <t>New York : Silver, Burdett and Company, c1929.</t>
  </si>
  <si>
    <t>1929</t>
  </si>
  <si>
    <t>The oral self-expression method series</t>
  </si>
  <si>
    <t>1994-08-31</t>
  </si>
  <si>
    <t>1992-06-25</t>
  </si>
  <si>
    <t>47072627:eng</t>
  </si>
  <si>
    <t>5363464</t>
  </si>
  <si>
    <t>991004827189702656</t>
  </si>
  <si>
    <t>2272160530002656</t>
  </si>
  <si>
    <t>32285001145332</t>
  </si>
  <si>
    <t>893594145</t>
  </si>
  <si>
    <t>PC2171 .P54 1979</t>
  </si>
  <si>
    <t>0                      PC 2171000P  54          1979</t>
  </si>
  <si>
    <t>Précis de morphologie historique du français / Jacqueline Picoche.</t>
  </si>
  <si>
    <t>Picoche, Jacqueline.</t>
  </si>
  <si>
    <t>[Paris] : Nathan, c1979.</t>
  </si>
  <si>
    <t>1979</t>
  </si>
  <si>
    <t>Linguistique française</t>
  </si>
  <si>
    <t>1992-07-03</t>
  </si>
  <si>
    <t>1991-04-30</t>
  </si>
  <si>
    <t>22169322:fre</t>
  </si>
  <si>
    <t>6583463</t>
  </si>
  <si>
    <t>991005008839702656</t>
  </si>
  <si>
    <t>2259360020002656</t>
  </si>
  <si>
    <t>9782091905099</t>
  </si>
  <si>
    <t>32285000570183</t>
  </si>
  <si>
    <t>893719652</t>
  </si>
  <si>
    <t>PC2271 .B66 2005</t>
  </si>
  <si>
    <t>0                      PC 2271000B  66          2005</t>
  </si>
  <si>
    <t>French verbs and idioms / Trudie Maria Booth.</t>
  </si>
  <si>
    <t>Booth, Trudie Maria.</t>
  </si>
  <si>
    <t>Lanham : University Press of America, c2005.</t>
  </si>
  <si>
    <t>2005</t>
  </si>
  <si>
    <t>2007-06-12</t>
  </si>
  <si>
    <t>46683344:eng</t>
  </si>
  <si>
    <t>62303436</t>
  </si>
  <si>
    <t>991005087419702656</t>
  </si>
  <si>
    <t>2260694380002656</t>
  </si>
  <si>
    <t>9780761831945</t>
  </si>
  <si>
    <t>32285005316988</t>
  </si>
  <si>
    <t>893536367</t>
  </si>
  <si>
    <t>PC2361 .H65 1994</t>
  </si>
  <si>
    <t>0                      PC 2361000H  65          1994</t>
  </si>
  <si>
    <t>The syntax of contemporary French : a pedagogical handbook and reference grammar / Wolf Hollerbach.</t>
  </si>
  <si>
    <t>Hollerbach, Wolf.</t>
  </si>
  <si>
    <t>Lanham, Md. : University Press of America, c1994.</t>
  </si>
  <si>
    <t>1994</t>
  </si>
  <si>
    <t>1998-01-22</t>
  </si>
  <si>
    <t>21009269:eng</t>
  </si>
  <si>
    <t>29477956</t>
  </si>
  <si>
    <t>991002271579702656</t>
  </si>
  <si>
    <t>2270850890002656</t>
  </si>
  <si>
    <t>9780819193803</t>
  </si>
  <si>
    <t>32285002172434</t>
  </si>
  <si>
    <t>893510530</t>
  </si>
  <si>
    <t>PC2505 .C6418 1970</t>
  </si>
  <si>
    <t>0                      PC 2505000C  6418        1970</t>
  </si>
  <si>
    <t>Estructura del lenguaje poaetico / Jean Cohen ; versiaon espaanola de Martain Blanco Alvarez.</t>
  </si>
  <si>
    <t>Cohen, Jean.</t>
  </si>
  <si>
    <t>Madrid : Gredos, 1970.</t>
  </si>
  <si>
    <t>spa</t>
  </si>
  <si>
    <t xml:space="preserve">sp </t>
  </si>
  <si>
    <t>Biblioteca romaanica hispaanica. II, Estudios y ensayos ; 140</t>
  </si>
  <si>
    <t>2004-08-03</t>
  </si>
  <si>
    <t>5092423397:spa</t>
  </si>
  <si>
    <t>15379180</t>
  </si>
  <si>
    <t>991004334739702656</t>
  </si>
  <si>
    <t>2260190470002656</t>
  </si>
  <si>
    <t>9788424903954</t>
  </si>
  <si>
    <t>32285004927306</t>
  </si>
  <si>
    <t>893888584</t>
  </si>
  <si>
    <t>PC2580 .D35 1973</t>
  </si>
  <si>
    <t>0                      PC 2580000D  35          1973</t>
  </si>
  <si>
    <t>Nouveau dictionnaire étymologique et historique / par Albert Dauzat, Jean Dubois, Henri Mitterand.</t>
  </si>
  <si>
    <t>Dauzat, Albert, 1877-1955.</t>
  </si>
  <si>
    <t>Paris : Librairie Larousse, [1973]</t>
  </si>
  <si>
    <t>3.éd., rev. et corr.</t>
  </si>
  <si>
    <t>2000-11-01</t>
  </si>
  <si>
    <t>1358681:fre</t>
  </si>
  <si>
    <t>4646124</t>
  </si>
  <si>
    <t>991003336649702656</t>
  </si>
  <si>
    <t>2260117810002656</t>
  </si>
  <si>
    <t>32285004261763</t>
  </si>
  <si>
    <t>893505486</t>
  </si>
  <si>
    <t>PC2585 .G715 1971</t>
  </si>
  <si>
    <t>0                      PC 2585000G  715         1971</t>
  </si>
  <si>
    <t>Semaantica estructural : investigaciaon metodolaogica / [por] A.J. Greimas. Versiaon espaanola de Alfredo de la Fuente.</t>
  </si>
  <si>
    <t>Greimas, Algirdas Julien.</t>
  </si>
  <si>
    <t>Madrid : Editorial Gredos, [1971]</t>
  </si>
  <si>
    <t>Biblioteca romaanica hispaanica. 3: Manuales ; 27</t>
  </si>
  <si>
    <t>2004-08-05</t>
  </si>
  <si>
    <t>4663631258:spa</t>
  </si>
  <si>
    <t>296835</t>
  </si>
  <si>
    <t>991004338619702656</t>
  </si>
  <si>
    <t>2262721350002656</t>
  </si>
  <si>
    <t>32285004928775</t>
  </si>
  <si>
    <t>893337596</t>
  </si>
  <si>
    <t>PC2625 .L53</t>
  </si>
  <si>
    <t>0                      PC 2625000L  53</t>
  </si>
  <si>
    <t>Larousse de la langue française. --</t>
  </si>
  <si>
    <t>V. 2</t>
  </si>
  <si>
    <t>Paris : Librairie Larousse, 1977.</t>
  </si>
  <si>
    <t>2006-12-14</t>
  </si>
  <si>
    <t>8909284150:fre</t>
  </si>
  <si>
    <t>4512701</t>
  </si>
  <si>
    <t>991001715639702656</t>
  </si>
  <si>
    <t>2271346230002656</t>
  </si>
  <si>
    <t>9782030202876</t>
  </si>
  <si>
    <t>32285003326864</t>
  </si>
  <si>
    <t>893696971</t>
  </si>
  <si>
    <t>V. 1</t>
  </si>
  <si>
    <t>32285003326856</t>
  </si>
  <si>
    <t>893696972</t>
  </si>
  <si>
    <t>PC2625 .R553</t>
  </si>
  <si>
    <t>0                      PC 2625000R  553</t>
  </si>
  <si>
    <t>Dictionnaire alphabétique et analogique de la langue française ...</t>
  </si>
  <si>
    <t>Robert, Paul, 1910-1980.</t>
  </si>
  <si>
    <t>Paris : Société du nouveau Littré, 1967.</t>
  </si>
  <si>
    <t>1967</t>
  </si>
  <si>
    <t>2008-07-16</t>
  </si>
  <si>
    <t>4160068124:fre</t>
  </si>
  <si>
    <t>1053357</t>
  </si>
  <si>
    <t>991001351399702656</t>
  </si>
  <si>
    <t>2270817060002656</t>
  </si>
  <si>
    <t>32285003326872</t>
  </si>
  <si>
    <t>893250180</t>
  </si>
  <si>
    <t>PC2640 .C3 1973</t>
  </si>
  <si>
    <t>0                      PC 2640000C  3           1973</t>
  </si>
  <si>
    <t>The New Cassell's French dictionary : French-English, English-French.</t>
  </si>
  <si>
    <t>New York : Funk &amp; Wagnalls, c1973.</t>
  </si>
  <si>
    <t>Completely rev. / by Denis Girard ; with the assistance of Gaston Dulong, Oliver Van Oss and Charles Guinness.</t>
  </si>
  <si>
    <t>2006-10-30</t>
  </si>
  <si>
    <t>3449177439:eng</t>
  </si>
  <si>
    <t>3090943</t>
  </si>
  <si>
    <t>991001596179702656</t>
  </si>
  <si>
    <t>2260602170002656</t>
  </si>
  <si>
    <t>9780308100015</t>
  </si>
  <si>
    <t>32285003326880</t>
  </si>
  <si>
    <t>893408225</t>
  </si>
  <si>
    <t>PC2640 .D42 1996</t>
  </si>
  <si>
    <t>0                      PC 2640000D  42          1996</t>
  </si>
  <si>
    <t>2001 French and English idioms = 2001 idiotismes français et anglais / François Denoeu, David Sices and Jacqueline B. Sices.</t>
  </si>
  <si>
    <t>Denoeu, François, 1898-1975.</t>
  </si>
  <si>
    <t>Hauppauge, N.Y. : Barron's, c1996.</t>
  </si>
  <si>
    <t>2003-10-06</t>
  </si>
  <si>
    <t>836686661:eng</t>
  </si>
  <si>
    <t>34644124</t>
  </si>
  <si>
    <t>991002647879702656</t>
  </si>
  <si>
    <t>2258055370002656</t>
  </si>
  <si>
    <t>9780812090246</t>
  </si>
  <si>
    <t>32285002294451</t>
  </si>
  <si>
    <t>893329352</t>
  </si>
  <si>
    <t>PC2680 .O93 1983</t>
  </si>
  <si>
    <t>0                      PC 2680000O  93          1983</t>
  </si>
  <si>
    <t>The Oxford-Duden pictorial French-English dictionary / [French text edited by Daniel Moskowitz with the assistance of Florence Herbulot ... et al. ; English text edited by John Pheby with the assistance of Roland Breitsprecher ... et al. ; illustrations by Jochen Schmidt].</t>
  </si>
  <si>
    <t>Oxford : Clarendon Press ; New York : Oxford University Press, 1983.</t>
  </si>
  <si>
    <t>2008-05-19</t>
  </si>
  <si>
    <t>3856301698:eng</t>
  </si>
  <si>
    <t>9413009</t>
  </si>
  <si>
    <t>991005222909702656</t>
  </si>
  <si>
    <t>2263899620002656</t>
  </si>
  <si>
    <t>9780198641537</t>
  </si>
  <si>
    <t>32285005409346</t>
  </si>
  <si>
    <t>893896086</t>
  </si>
  <si>
    <t>PC2680 .V3</t>
  </si>
  <si>
    <t>0                      PC 2680000V  3</t>
  </si>
  <si>
    <t>French word book / tabulated and edited by George E. Vander Beke.</t>
  </si>
  <si>
    <t>Vander Beke, George E. (George Emil), 1891-, editor.</t>
  </si>
  <si>
    <t>New York, The Macmillan Company, 1929.</t>
  </si>
  <si>
    <t>Publications of the American and Canadian Committees on Modern Languages ; v. 15</t>
  </si>
  <si>
    <t>1997-11-06</t>
  </si>
  <si>
    <t>2721566:fre</t>
  </si>
  <si>
    <t>1831507</t>
  </si>
  <si>
    <t>991003903439702656</t>
  </si>
  <si>
    <t>2260032060002656</t>
  </si>
  <si>
    <t>32285003170353</t>
  </si>
  <si>
    <t>893259073</t>
  </si>
  <si>
    <t>PC2814 .L87 1987</t>
  </si>
  <si>
    <t>0                      PC 2814000L  87          1987</t>
  </si>
  <si>
    <t>Parler vulgairement : les intellectuels et la langue française aux XIIIe et XIVe siècles / Serge Lusignan.</t>
  </si>
  <si>
    <t>Lusignan, Serge.</t>
  </si>
  <si>
    <t>Paris : Vrin ; Montréal, Québec, Canada : Presses de l'Université de Montréal, 1987.</t>
  </si>
  <si>
    <t>2ème éd.</t>
  </si>
  <si>
    <t>Etudes médiévales (Presses de l'Université de Montréal)</t>
  </si>
  <si>
    <t>2006-02-07</t>
  </si>
  <si>
    <t>11103949:fre</t>
  </si>
  <si>
    <t>15915003</t>
  </si>
  <si>
    <t>991001071629702656</t>
  </si>
  <si>
    <t>2260811940002656</t>
  </si>
  <si>
    <t>9782760607972</t>
  </si>
  <si>
    <t>32285001645273</t>
  </si>
  <si>
    <t>893225588</t>
  </si>
  <si>
    <t>PC2815 .M3 1990</t>
  </si>
  <si>
    <t>0                      PC 2815000M  3           1990</t>
  </si>
  <si>
    <t>Histoire de la langue. Du latin à l'ancien français / Peter A. Machonis.</t>
  </si>
  <si>
    <t>Machonis, Peter A., 1952-</t>
  </si>
  <si>
    <t>Lanham, Md. : University Press of America, c1990.</t>
  </si>
  <si>
    <t>1993-04-16</t>
  </si>
  <si>
    <t>1993-03-16</t>
  </si>
  <si>
    <t>23252747:fre</t>
  </si>
  <si>
    <t>21874408</t>
  </si>
  <si>
    <t>991001724669702656</t>
  </si>
  <si>
    <t>2270301000002656</t>
  </si>
  <si>
    <t>9780819178749</t>
  </si>
  <si>
    <t>32285001497600</t>
  </si>
  <si>
    <t>893408300</t>
  </si>
  <si>
    <t>PC3301 .J3 1973</t>
  </si>
  <si>
    <t>0                      PC 3301000J  3           1973</t>
  </si>
  <si>
    <t>Histoire sommaire de la poésie occitane des origines a la fin du XVIIIe siècle / Alfred Jeanroy. --</t>
  </si>
  <si>
    <t>Jeanroy, Alfred, 1859-1953.</t>
  </si>
  <si>
    <t>Genève : Slatkine, 1973.</t>
  </si>
  <si>
    <t xml:space="preserve">sw </t>
  </si>
  <si>
    <t>2001-02-22</t>
  </si>
  <si>
    <t>1844352:fre</t>
  </si>
  <si>
    <t>878709</t>
  </si>
  <si>
    <t>991003346849702656</t>
  </si>
  <si>
    <t>2272256830002656</t>
  </si>
  <si>
    <t>32285001645315</t>
  </si>
  <si>
    <t>893240133</t>
  </si>
  <si>
    <t>PC3304 .A57 1973</t>
  </si>
  <si>
    <t>0                      PC 3304000A  57          1973</t>
  </si>
  <si>
    <t>Histoire sommaire de la littérature méridionale au Moyen Age; des origines à la fin du XVe siècle.</t>
  </si>
  <si>
    <t>Anglade, Joseph, 1868-1930.</t>
  </si>
  <si>
    <t>Genève, Slatkine Reprints, 1973.</t>
  </si>
  <si>
    <t xml:space="preserve">sz </t>
  </si>
  <si>
    <t>1997-09-12</t>
  </si>
  <si>
    <t>1388190:fre</t>
  </si>
  <si>
    <t>812174</t>
  </si>
  <si>
    <t>991003290129702656</t>
  </si>
  <si>
    <t>2267258720002656</t>
  </si>
  <si>
    <t>32285003225314</t>
  </si>
  <si>
    <t>893531054</t>
  </si>
  <si>
    <t>PC3304 .B683 1965</t>
  </si>
  <si>
    <t>0                      PC 3304000B  683         1965</t>
  </si>
  <si>
    <t>The troubadours. Translated from the French by the author. Edited by Lawrence F. Koons.</t>
  </si>
  <si>
    <t>Briffault, Robert, 1876-1948.</t>
  </si>
  <si>
    <t>Bloomington, Indiana University Press, 1965.</t>
  </si>
  <si>
    <t>1965</t>
  </si>
  <si>
    <t>inu</t>
  </si>
  <si>
    <t>1996-06-11</t>
  </si>
  <si>
    <t>350275955:eng</t>
  </si>
  <si>
    <t>238196</t>
  </si>
  <si>
    <t>991001875359702656</t>
  </si>
  <si>
    <t>2255346870002656</t>
  </si>
  <si>
    <t>32285002170115</t>
  </si>
  <si>
    <t>893684720</t>
  </si>
  <si>
    <t>PC3304 .L54</t>
  </si>
  <si>
    <t>0                      PC 3304000L  54</t>
  </si>
  <si>
    <t>The troubadours &amp; their world of the twelfth and thirteenth centuries / Jack Lindsay.</t>
  </si>
  <si>
    <t>Lindsay, Jack, 1900-1990.</t>
  </si>
  <si>
    <t>London : F. Muller, 1976.</t>
  </si>
  <si>
    <t>1976</t>
  </si>
  <si>
    <t>2005-02-28</t>
  </si>
  <si>
    <t>5809927:eng</t>
  </si>
  <si>
    <t>2634284</t>
  </si>
  <si>
    <t>991004192439702656</t>
  </si>
  <si>
    <t>2272087050002656</t>
  </si>
  <si>
    <t>9780584103168</t>
  </si>
  <si>
    <t>32285001645299</t>
  </si>
  <si>
    <t>893532103</t>
  </si>
  <si>
    <t>PC3308 .B75</t>
  </si>
  <si>
    <t>0                      PC 3308000B  75</t>
  </si>
  <si>
    <t>Les troubadours et le sentiment romanesque / Robert Briffault.</t>
  </si>
  <si>
    <t>Genève : Slatkine Reprints, 1974.</t>
  </si>
  <si>
    <t>1974</t>
  </si>
  <si>
    <t>1999-01-29</t>
  </si>
  <si>
    <t>1995-08-24</t>
  </si>
  <si>
    <t>350275955:fre</t>
  </si>
  <si>
    <t>1307389</t>
  </si>
  <si>
    <t>991003681609702656</t>
  </si>
  <si>
    <t>2262601250002656</t>
  </si>
  <si>
    <t>32285002065323</t>
  </si>
  <si>
    <t>893800019</t>
  </si>
  <si>
    <t>PC3308 .R54 1991</t>
  </si>
  <si>
    <t>0                      PC 3308000R  54          1991</t>
  </si>
  <si>
    <t>Trobairitz : der Beitrag der Frau in der altokzitanischen höfischen Lyrik : Edition des Gesamtkorpus / Angelica Rieger.</t>
  </si>
  <si>
    <t>Rieger, Angelica.</t>
  </si>
  <si>
    <t>Tübingen : M. Niemeyer, 1991.</t>
  </si>
  <si>
    <t>Beihefte zur Zeitschrift für romanische Philologie, 0084-5396 ; Bd. 233</t>
  </si>
  <si>
    <t>2009-02-12</t>
  </si>
  <si>
    <t>289820631:ger</t>
  </si>
  <si>
    <t>24607685</t>
  </si>
  <si>
    <t>991005295969702656</t>
  </si>
  <si>
    <t>2259542920002656</t>
  </si>
  <si>
    <t>9783484522336</t>
  </si>
  <si>
    <t>32285005503882</t>
  </si>
  <si>
    <t>893783369</t>
  </si>
  <si>
    <t>PC3308 .V65 1989</t>
  </si>
  <si>
    <t>0                      PC 3308000V  65          1989</t>
  </si>
  <si>
    <t>The Voice of the trobairitz : perspectives on the women troubadours / edited by William D. Paden.</t>
  </si>
  <si>
    <t>Philadelphia : University of Pennsylvania Press, c1989.</t>
  </si>
  <si>
    <t>University of Pennsylvania Press Middle Ages series</t>
  </si>
  <si>
    <t>2010-03-31</t>
  </si>
  <si>
    <t>1995-12-11</t>
  </si>
  <si>
    <t>836893398:eng</t>
  </si>
  <si>
    <t>19589333</t>
  </si>
  <si>
    <t>991001477409702656</t>
  </si>
  <si>
    <t>2263953070002656</t>
  </si>
  <si>
    <t>9780812281675</t>
  </si>
  <si>
    <t>32285002088978</t>
  </si>
  <si>
    <t>893690654</t>
  </si>
  <si>
    <t>PC3309 .L44 2000</t>
  </si>
  <si>
    <t>0                      PC 3309000L  44          2000</t>
  </si>
  <si>
    <t>Between sequence and sirventes : aspects of parody in the troubadour lyric / by Catherine Léglu.</t>
  </si>
  <si>
    <t>Léglu, Catherine.</t>
  </si>
  <si>
    <t>Oxford : Legenda, 2000.</t>
  </si>
  <si>
    <t>Research monographs in French studies ; 8</t>
  </si>
  <si>
    <t>2006-09-20</t>
  </si>
  <si>
    <t>2004-12-06</t>
  </si>
  <si>
    <t>371357382:eng</t>
  </si>
  <si>
    <t>46432703</t>
  </si>
  <si>
    <t>991004393559702656</t>
  </si>
  <si>
    <t>2258181620002656</t>
  </si>
  <si>
    <t>9781900755443</t>
  </si>
  <si>
    <t>32285005015143</t>
  </si>
  <si>
    <t>893532335</t>
  </si>
  <si>
    <t>PC3322 .B6</t>
  </si>
  <si>
    <t>0                      PC 3322000B  6</t>
  </si>
  <si>
    <t>Les femmes troubadours / Meg Bogin ; traduit de l'américain par Jeanne Faure-Cousin avec la collaboration d'Anne Richou.</t>
  </si>
  <si>
    <t>Bogin, Magda.</t>
  </si>
  <si>
    <t>Paris : Denoël/Gonthier, c1978.</t>
  </si>
  <si>
    <t>1978</t>
  </si>
  <si>
    <t>Collection Femme</t>
  </si>
  <si>
    <t>459632:fre</t>
  </si>
  <si>
    <t>6151523</t>
  </si>
  <si>
    <t>991004938319702656</t>
  </si>
  <si>
    <t>2261858390002656</t>
  </si>
  <si>
    <t>32285001645323</t>
  </si>
  <si>
    <t>893338304</t>
  </si>
  <si>
    <t>PC3330.F65 S38 2001</t>
  </si>
  <si>
    <t>0                      PC 3330000F  65                 S  38          2001</t>
  </si>
  <si>
    <t>Where troubadours were bishops : the Occitania of Folc of Marseille, 1150-1231 / N.M. Schulman.</t>
  </si>
  <si>
    <t>Schulman, Nicole M.</t>
  </si>
  <si>
    <t>New York : Routledge, 2001.</t>
  </si>
  <si>
    <t>2001</t>
  </si>
  <si>
    <t>Studies in medieval history and culture ; 7</t>
  </si>
  <si>
    <t>2004-12-07</t>
  </si>
  <si>
    <t>837080438:eng</t>
  </si>
  <si>
    <t>46822305</t>
  </si>
  <si>
    <t>991004393449702656</t>
  </si>
  <si>
    <t>2260780360002656</t>
  </si>
  <si>
    <t>9780415936651</t>
  </si>
  <si>
    <t>32285005015523</t>
  </si>
  <si>
    <t>893612297</t>
  </si>
  <si>
    <t>PC3330.S6 A28 1987</t>
  </si>
  <si>
    <t>0                      PC 3330000S  6                  A  28          1987</t>
  </si>
  <si>
    <t>The poetry of Sordello / edited and translated by James J. Wilhelm.</t>
  </si>
  <si>
    <t>Sordello, of Goito, active 13th century.</t>
  </si>
  <si>
    <t>New York : Garland, 1987.</t>
  </si>
  <si>
    <t>Garland library of medieval literature ; v. 42. Series A</t>
  </si>
  <si>
    <t>341368739:eng</t>
  </si>
  <si>
    <t>14904132</t>
  </si>
  <si>
    <t>991005296089702656</t>
  </si>
  <si>
    <t>2266782980002656</t>
  </si>
  <si>
    <t>9780824086398</t>
  </si>
  <si>
    <t>32285005503635</t>
  </si>
  <si>
    <t>893594795</t>
  </si>
  <si>
    <t>PC3340.G84 C4 1989</t>
  </si>
  <si>
    <t>0                      PC 3340000G  84                 C  4           1989</t>
  </si>
  <si>
    <t>Chanson de la croisade albigeoise : texte original / préface de Georges Duby ; adaptation de Henri Gougaud ; introduction de Michel Zink.</t>
  </si>
  <si>
    <t>Guillaume, de Tudèle, active 1199-1214.</t>
  </si>
  <si>
    <t>Paris : Librairie générale française, c1989.</t>
  </si>
  <si>
    <t>Le Livre de poche</t>
  </si>
  <si>
    <t>2008-03-25</t>
  </si>
  <si>
    <t>3855788458:fre</t>
  </si>
  <si>
    <t>21454345</t>
  </si>
  <si>
    <t>991005192309702656</t>
  </si>
  <si>
    <t>2272234670002656</t>
  </si>
  <si>
    <t>9782253050841</t>
  </si>
  <si>
    <t>32285005398648</t>
  </si>
  <si>
    <t>893446637</t>
  </si>
  <si>
    <t>PC3365.E3 S66 2000</t>
  </si>
  <si>
    <t>0                      PC 3365000E  3                  S  66          2000</t>
  </si>
  <si>
    <t>Songs of the women troubadours / edited and translated by Matilda Tomaryn Bruckner, Laurie Shepard, Sarah White.</t>
  </si>
  <si>
    <t>New York : Garland Pub., 2000.</t>
  </si>
  <si>
    <t>1st pbk. ed.</t>
  </si>
  <si>
    <t>Garland library of medieval literature ; v. 97A</t>
  </si>
  <si>
    <t>2009-01-19</t>
  </si>
  <si>
    <t>1046111115:eng</t>
  </si>
  <si>
    <t>47132786</t>
  </si>
  <si>
    <t>991004153349702656</t>
  </si>
  <si>
    <t>2265362080002656</t>
  </si>
  <si>
    <t>9780815335689</t>
  </si>
  <si>
    <t>32285004789425</t>
  </si>
  <si>
    <t>893781912</t>
  </si>
  <si>
    <t>PC3428 .J4 1957</t>
  </si>
  <si>
    <t>0                      PC 3428000J  4           1957</t>
  </si>
  <si>
    <t>Jongleurs et troubadours gascons des XIIe et XIIIe siècles : matériaux / édités par Alfred Jeanroy.</t>
  </si>
  <si>
    <t>Paris : H. Champion, 1957.</t>
  </si>
  <si>
    <t>Les Classiques français du moyen âge ; 39</t>
  </si>
  <si>
    <t>1996-07-25</t>
  </si>
  <si>
    <t>1996-06-27</t>
  </si>
  <si>
    <t>10567291590:fre</t>
  </si>
  <si>
    <t>3273398</t>
  </si>
  <si>
    <t>991004392839702656</t>
  </si>
  <si>
    <t>2263044670002656</t>
  </si>
  <si>
    <t>32285002174406</t>
  </si>
  <si>
    <t>893706347</t>
  </si>
  <si>
    <t>PC3615 .W35 1984</t>
  </si>
  <si>
    <t>0                      PC 3615000W  35          1984</t>
  </si>
  <si>
    <t>The pronunciation of Canadian French / Douglas C. Walker.</t>
  </si>
  <si>
    <t>Walker, Douglas C.</t>
  </si>
  <si>
    <t>Ottawa, Canada : University of Ottawa Press 1984.</t>
  </si>
  <si>
    <t>1984</t>
  </si>
  <si>
    <t>2000-03-20</t>
  </si>
  <si>
    <t>1993-04-20</t>
  </si>
  <si>
    <t>5124843:eng</t>
  </si>
  <si>
    <t>12379344</t>
  </si>
  <si>
    <t>991000680189702656</t>
  </si>
  <si>
    <t>2256602820002656</t>
  </si>
  <si>
    <t>9780776645001</t>
  </si>
  <si>
    <t>32285001645380</t>
  </si>
  <si>
    <t>893255635</t>
  </si>
  <si>
    <t>PC3631 .C62 1982</t>
  </si>
  <si>
    <t>0                      PC 3631000C  62          1982</t>
  </si>
  <si>
    <t>Dictionnaire des anglicismes / Gilles Colpron.</t>
  </si>
  <si>
    <t>Colpron, Gilles, 1936-</t>
  </si>
  <si>
    <t>Montréal, Québec, Canada : Beauchemin, 1982.</t>
  </si>
  <si>
    <t>quc</t>
  </si>
  <si>
    <t>1996-02-08</t>
  </si>
  <si>
    <t>1992-03-26</t>
  </si>
  <si>
    <t>43248171:fre</t>
  </si>
  <si>
    <t>9772983</t>
  </si>
  <si>
    <t>991000256259702656</t>
  </si>
  <si>
    <t>2261339290002656</t>
  </si>
  <si>
    <t>9782761600682</t>
  </si>
  <si>
    <t>32285001004976</t>
  </si>
  <si>
    <t>893345510</t>
  </si>
  <si>
    <t>PC3680.C65 N98 2001</t>
  </si>
  <si>
    <t>0                      PC 3680000C  65                 N  98          2001</t>
  </si>
  <si>
    <t>Les pratiques discursives du Congo Belge au Congo-Kinshasa : une interprétation sociolinguistique / Nyunda ya Rubango ; préface par Benoît Verhaegen ; postface par V.Y. Mudimbe.</t>
  </si>
  <si>
    <t>Nyunda ya Rubango.</t>
  </si>
  <si>
    <t>Paris : L'Harmattan, c2001.</t>
  </si>
  <si>
    <t>Collection Congo-Zaïre--histoire et société</t>
  </si>
  <si>
    <t>2010-09-13</t>
  </si>
  <si>
    <t>2003-03-11</t>
  </si>
  <si>
    <t>350821416:fre</t>
  </si>
  <si>
    <t>47927267</t>
  </si>
  <si>
    <t>991003923999702656</t>
  </si>
  <si>
    <t>2268201030002656</t>
  </si>
  <si>
    <t>9782747503624</t>
  </si>
  <si>
    <t>32285004683685</t>
  </si>
  <si>
    <t>893800373</t>
  </si>
  <si>
    <t>PC3739 .C35 1993</t>
  </si>
  <si>
    <t>0                      PC 3739000C  35          1993</t>
  </si>
  <si>
    <t>L'argot en 20 leçons, ou, Comment ne pas en perdre son français : suivi d'un appendice grammatical / Louis-Jean Calvet.</t>
  </si>
  <si>
    <t>Calvet, Louis-Jean, 1942-</t>
  </si>
  <si>
    <t>Paris : Editions Payot &amp; Rivages, c1993.</t>
  </si>
  <si>
    <t>Essais Payot</t>
  </si>
  <si>
    <t>1996-10-30</t>
  </si>
  <si>
    <t>1996-08-12</t>
  </si>
  <si>
    <t>478675488:fre</t>
  </si>
  <si>
    <t>30087008</t>
  </si>
  <si>
    <t>991002319899702656</t>
  </si>
  <si>
    <t>2256364750002656</t>
  </si>
  <si>
    <t>9782228887212</t>
  </si>
  <si>
    <t>32285002273851</t>
  </si>
  <si>
    <t>893886105</t>
  </si>
  <si>
    <t>PC3741 .S77 2002</t>
  </si>
  <si>
    <t>0                      PC 3741000S  77          2002</t>
  </si>
  <si>
    <t>Streetwise French dictionary/thesaurus : the user-friendly guide to French slang and idioms / Ian Pickup, Rod Hares.</t>
  </si>
  <si>
    <t>Chicago : McGraw-Hill, c2002.</t>
  </si>
  <si>
    <t>2008-11-30</t>
  </si>
  <si>
    <t>2007-06-13</t>
  </si>
  <si>
    <t>37482954:eng</t>
  </si>
  <si>
    <t>48177297</t>
  </si>
  <si>
    <t>991005087439702656</t>
  </si>
  <si>
    <t>2255895370002656</t>
  </si>
  <si>
    <t>9780658004179</t>
  </si>
  <si>
    <t>32285005317135</t>
  </si>
  <si>
    <t>893418352</t>
  </si>
  <si>
    <t>PC3823.5 .Y3 1994</t>
  </si>
  <si>
    <t>0                      PC 3823500Y  3           1994</t>
  </si>
  <si>
    <t>Catalan / Alan Yates.</t>
  </si>
  <si>
    <t>Yates, Alan.</t>
  </si>
  <si>
    <t>Lincolnwood (Chicago), Ill. : NTC Publishing Group, 1993.</t>
  </si>
  <si>
    <t>Teach yourself books</t>
  </si>
  <si>
    <t>2000-11-16</t>
  </si>
  <si>
    <t>1998-03-05</t>
  </si>
  <si>
    <t>91957:eng</t>
  </si>
  <si>
    <t>28055295</t>
  </si>
  <si>
    <t>991002178959702656</t>
  </si>
  <si>
    <t>2270635880002656</t>
  </si>
  <si>
    <t>9780844237558</t>
  </si>
  <si>
    <t>32285003356622</t>
  </si>
  <si>
    <t>893785807</t>
  </si>
  <si>
    <t>PC3941.R57 Z67 1994</t>
  </si>
  <si>
    <t>0                      PC 3941000R  57                 Z  67          1994</t>
  </si>
  <si>
    <t>The Garden across the border : Mercè Rodoreda's fiction / edited by Kathleen McNerney and Nancy Vosburg.</t>
  </si>
  <si>
    <t>Selinsgrove : Susquehanna University Press ; London : Associated University Presses, c1994.</t>
  </si>
  <si>
    <t>2006-07-19</t>
  </si>
  <si>
    <t>2006-03-08</t>
  </si>
  <si>
    <t>365465803:eng</t>
  </si>
  <si>
    <t>29428852</t>
  </si>
  <si>
    <t>991004762639702656</t>
  </si>
  <si>
    <t>2269739480002656</t>
  </si>
  <si>
    <t>9780945636632</t>
  </si>
  <si>
    <t>32285005166862</t>
  </si>
  <si>
    <t>893417991</t>
  </si>
  <si>
    <t>PC3942.12.E36 S313 2004</t>
  </si>
  <si>
    <t>0                      PC 3942120E  36                 S  313         2004</t>
  </si>
  <si>
    <t>Blood = La sang / Sergi Belbel ; translated from the Catalan by Marion Peter Holt.</t>
  </si>
  <si>
    <t>Belbel, Sergi.</t>
  </si>
  <si>
    <t>New Brunswick, N.J. : Estreno Plays, 2004.</t>
  </si>
  <si>
    <t>2004</t>
  </si>
  <si>
    <t>nju</t>
  </si>
  <si>
    <t>Estreno Collection of contemporary Spanish plays ; 25</t>
  </si>
  <si>
    <t>2004-09-22</t>
  </si>
  <si>
    <t>1810009583:eng</t>
  </si>
  <si>
    <t>55603072</t>
  </si>
  <si>
    <t>991004381469702656</t>
  </si>
  <si>
    <t>2255877190002656</t>
  </si>
  <si>
    <t>9781888463170</t>
  </si>
  <si>
    <t>32285004986229</t>
  </si>
  <si>
    <t>893687663</t>
  </si>
  <si>
    <t>PC3942.17.I5 D5 1984</t>
  </si>
  <si>
    <t>0                      PC 3942170I  5                  D  5           1984</t>
  </si>
  <si>
    <t>Dietario (1979-1980) / Pere Gimferrer ; traducción del catalán por Basilio Losada ; prólogo de J.M. Castellet.</t>
  </si>
  <si>
    <t>Gimferrer, Pere, 1945-</t>
  </si>
  <si>
    <t>Barcelona : Seix Barral, 1984.</t>
  </si>
  <si>
    <t>1a ed.</t>
  </si>
  <si>
    <t>Biblioteca breve</t>
  </si>
  <si>
    <t>1993-07-07</t>
  </si>
  <si>
    <t>1990-06-13</t>
  </si>
  <si>
    <t>4540892:spa</t>
  </si>
  <si>
    <t>11777953</t>
  </si>
  <si>
    <t>991000587739702656</t>
  </si>
  <si>
    <t>2267549870002656</t>
  </si>
  <si>
    <t>9788432204944</t>
  </si>
  <si>
    <t>32285000176155</t>
  </si>
  <si>
    <t>893689833</t>
  </si>
  <si>
    <t>PC3942.23.O35 N6 1991</t>
  </si>
  <si>
    <t>0                      PC 3942230O  35                 N  6           1991</t>
  </si>
  <si>
    <t>No digas que fue un sueño : Marco Antonio y Cleopatra / Terenci Moix.</t>
  </si>
  <si>
    <t>Moix, Terenci, 1943-</t>
  </si>
  <si>
    <t>Barcelona : Planeta, 1991, c1986.</t>
  </si>
  <si>
    <t>40a ed.</t>
  </si>
  <si>
    <t>Colección Autores españoles e hispanoamericanos</t>
  </si>
  <si>
    <t>1995-07-16</t>
  </si>
  <si>
    <t>1991-10-04</t>
  </si>
  <si>
    <t>37310667:spa</t>
  </si>
  <si>
    <t>15243108</t>
  </si>
  <si>
    <t>991001006019702656</t>
  </si>
  <si>
    <t>2260701110002656</t>
  </si>
  <si>
    <t>9788432055911</t>
  </si>
  <si>
    <t>32285000725548</t>
  </si>
  <si>
    <t>893872204</t>
  </si>
  <si>
    <t>PC4026.S35 L5 1991</t>
  </si>
  <si>
    <t>0                      PC 4026000S  35                 L  5           1991</t>
  </si>
  <si>
    <t>Linguistic studies in medieval Spanish / edited by Ray Harris-Northall, Thomas D. Cravens.</t>
  </si>
  <si>
    <t>Madison : Hispanic Seminary of Medieval Studies, 1991.</t>
  </si>
  <si>
    <t>wiu</t>
  </si>
  <si>
    <t>2007-06-19</t>
  </si>
  <si>
    <t>2005-03-02</t>
  </si>
  <si>
    <t>476273138:eng</t>
  </si>
  <si>
    <t>25022813</t>
  </si>
  <si>
    <t>991004489599702656</t>
  </si>
  <si>
    <t>2260421250002656</t>
  </si>
  <si>
    <t>9780940639676</t>
  </si>
  <si>
    <t>32285005028633</t>
  </si>
  <si>
    <t>893500629</t>
  </si>
  <si>
    <t>PC4064.B45 S25 1986</t>
  </si>
  <si>
    <t>0                      PC 4064000B  45                 S  25          1986</t>
  </si>
  <si>
    <t>Cronología de Andrés Bello, 1781-1865 / Oscar Sambrano Urdaneta.</t>
  </si>
  <si>
    <t>Sambrano Urdaneta, Oscar, 1929-2011.</t>
  </si>
  <si>
    <t>Caracas : Casa de Bello, 1986.</t>
  </si>
  <si>
    <t xml:space="preserve">ve </t>
  </si>
  <si>
    <t>Colección Anauco. Textos y estudios bellistas</t>
  </si>
  <si>
    <t>2010-07-12</t>
  </si>
  <si>
    <t>2002-05-16</t>
  </si>
  <si>
    <t>12848245:spa</t>
  </si>
  <si>
    <t>16648551</t>
  </si>
  <si>
    <t>991003810819702656</t>
  </si>
  <si>
    <t>2265708390002656</t>
  </si>
  <si>
    <t>9789802140077</t>
  </si>
  <si>
    <t>32285004489034</t>
  </si>
  <si>
    <t>893525255</t>
  </si>
  <si>
    <t>PC4065 .A7</t>
  </si>
  <si>
    <t>0                      PC 4065000A  7</t>
  </si>
  <si>
    <t>Teacher of Spanish : high school and junior high school, regular and substitute.</t>
  </si>
  <si>
    <t>Arco Publishing Company.</t>
  </si>
  <si>
    <t>Arco teacher's license training text</t>
  </si>
  <si>
    <t>1995-07-24</t>
  </si>
  <si>
    <t>1992-01-02</t>
  </si>
  <si>
    <t>2197183:eng</t>
  </si>
  <si>
    <t>1269301</t>
  </si>
  <si>
    <t>991003660989702656</t>
  </si>
  <si>
    <t>2259836960002656</t>
  </si>
  <si>
    <t>32285000881838</t>
  </si>
  <si>
    <t>893252598</t>
  </si>
  <si>
    <t>PC4065 .B83</t>
  </si>
  <si>
    <t>0                      PC 4065000B  83</t>
  </si>
  <si>
    <t>Spanish for teachers : applied linguistics / [by] William E. Bull.</t>
  </si>
  <si>
    <t>Bull, William Emerson, 1909-</t>
  </si>
  <si>
    <t>New York : Ronald Press Co., [1965]</t>
  </si>
  <si>
    <t>2007-05-02</t>
  </si>
  <si>
    <t>1992-08-05</t>
  </si>
  <si>
    <t>1309199:eng</t>
  </si>
  <si>
    <t>175711</t>
  </si>
  <si>
    <t>991001039909702656</t>
  </si>
  <si>
    <t>2265199300002656</t>
  </si>
  <si>
    <t>32285001242162</t>
  </si>
  <si>
    <t>893243806</t>
  </si>
  <si>
    <t>PC4066 .P6 1965</t>
  </si>
  <si>
    <t>0                      PC 4066000P  6           1965</t>
  </si>
  <si>
    <t>Teaching Spanish : a linguistic orientation / [by] Robert L. Politzer [and] Charles N. Staubach.</t>
  </si>
  <si>
    <t>New York : Blaisdell Pub. Co., [1965]</t>
  </si>
  <si>
    <t>[Rev. ed.]</t>
  </si>
  <si>
    <t>A Blaisdell book in the humanities</t>
  </si>
  <si>
    <t>2004-10-18</t>
  </si>
  <si>
    <t>1400005:eng</t>
  </si>
  <si>
    <t>246082</t>
  </si>
  <si>
    <t>991001924839702656</t>
  </si>
  <si>
    <t>2257272490002656</t>
  </si>
  <si>
    <t>32285001242154</t>
  </si>
  <si>
    <t>893516684</t>
  </si>
  <si>
    <t>1992-05-19</t>
  </si>
  <si>
    <t>32285001111631</t>
  </si>
  <si>
    <t>893516685</t>
  </si>
  <si>
    <t>PC4068.U5 T28</t>
  </si>
  <si>
    <t>0                      PC 4068000U  5                  T  28</t>
  </si>
  <si>
    <t>Teaching Spanish to the Hispanic bilingual : issues, aims, and methods / edited by Guadalupe Valdés, Anthony G. Lozano, Rodolfo García-Moya.</t>
  </si>
  <si>
    <t>New York : Teachers College, Columbia University, 1981.</t>
  </si>
  <si>
    <t>1981</t>
  </si>
  <si>
    <t>1994-11-21</t>
  </si>
  <si>
    <t>1993-04-21</t>
  </si>
  <si>
    <t>465048:eng</t>
  </si>
  <si>
    <t>6627301</t>
  </si>
  <si>
    <t>991005017209702656</t>
  </si>
  <si>
    <t>2255105870002656</t>
  </si>
  <si>
    <t>9780807726297</t>
  </si>
  <si>
    <t>32285001645505</t>
  </si>
  <si>
    <t>893520295</t>
  </si>
  <si>
    <t>PC4071 .B55 1995</t>
  </si>
  <si>
    <t>0                      PC 4071000B  55          1995</t>
  </si>
  <si>
    <t>A sourcebook for Hispanic literature and language : a selected, annotated guide to Spanish, Spanish-American, and United States Hispanic bibliography, literature, linguistics, journals, and other source materials / by Donald W. Bleznick.</t>
  </si>
  <si>
    <t>Bleznick, Donald William, 1924-</t>
  </si>
  <si>
    <t>Lanham, Md. : Scarecrow Press, c1995.</t>
  </si>
  <si>
    <t>2000-11-26</t>
  </si>
  <si>
    <t>9593924947:eng</t>
  </si>
  <si>
    <t>31814748</t>
  </si>
  <si>
    <t>991002440099702656</t>
  </si>
  <si>
    <t>2255377120002656</t>
  </si>
  <si>
    <t>9780810829817</t>
  </si>
  <si>
    <t>32285002191285</t>
  </si>
  <si>
    <t>893226836</t>
  </si>
  <si>
    <t>PC4073 .G84 2000</t>
  </si>
  <si>
    <t>0                      PC 4073000G  84          2000</t>
  </si>
  <si>
    <t>Repensando el aprendizaje de la lengua / Nicol©Łs Guevara.</t>
  </si>
  <si>
    <t>Guevara, Nicola¿¿s.</t>
  </si>
  <si>
    <t>Santo Domingo : Centro Cultural Poveda, 2000.</t>
  </si>
  <si>
    <t>2. ed.</t>
  </si>
  <si>
    <t xml:space="preserve">dr </t>
  </si>
  <si>
    <t>Cuadernos de sociedad y educaci©đn ; 8</t>
  </si>
  <si>
    <t>2006-02-10</t>
  </si>
  <si>
    <t>2006-01-23</t>
  </si>
  <si>
    <t>47069837:spa</t>
  </si>
  <si>
    <t>62751826</t>
  </si>
  <si>
    <t>991004720629702656</t>
  </si>
  <si>
    <t>2271431020002656</t>
  </si>
  <si>
    <t>9788492389322</t>
  </si>
  <si>
    <t>32285005100200</t>
  </si>
  <si>
    <t>893507156</t>
  </si>
  <si>
    <t>PC4073 .L66 1991</t>
  </si>
  <si>
    <t>0                      PC 4073000L  66          1991</t>
  </si>
  <si>
    <t>Gramática femenina / Angel López García y Ricardo Morant.</t>
  </si>
  <si>
    <t>López García, Ángel, 1949-</t>
  </si>
  <si>
    <t>Madrid : Cátedra, 1991.</t>
  </si>
  <si>
    <t>Lingüística</t>
  </si>
  <si>
    <t>2006-10-04</t>
  </si>
  <si>
    <t>2002-03-14</t>
  </si>
  <si>
    <t>26301596:spa</t>
  </si>
  <si>
    <t>26333684</t>
  </si>
  <si>
    <t>991003765099702656</t>
  </si>
  <si>
    <t>2265424780002656</t>
  </si>
  <si>
    <t>9788437610337</t>
  </si>
  <si>
    <t>32285004461058</t>
  </si>
  <si>
    <t>893330759</t>
  </si>
  <si>
    <t>PC4075 .O75 1981</t>
  </si>
  <si>
    <t>0                      PC 4075000O  75          1981</t>
  </si>
  <si>
    <t>Orígenes de la lengua española / [recogidos] por Gregorio Mayans y Siscar.</t>
  </si>
  <si>
    <t>Madrid : Atlas, 1981.</t>
  </si>
  <si>
    <t>2010-04-21</t>
  </si>
  <si>
    <t>10678435572:spa</t>
  </si>
  <si>
    <t>8124135</t>
  </si>
  <si>
    <t>991005206919702656</t>
  </si>
  <si>
    <t>2271286350002656</t>
  </si>
  <si>
    <t>9788436305340</t>
  </si>
  <si>
    <t>32285001645539</t>
  </si>
  <si>
    <t>893807999</t>
  </si>
  <si>
    <t>32285001645521</t>
  </si>
  <si>
    <t>893795783</t>
  </si>
  <si>
    <t>PC4075 .S6 1948</t>
  </si>
  <si>
    <t>0                      PC 4075000S  6           1948</t>
  </si>
  <si>
    <t>How Spanish grew / by Robert K. Spaulding.</t>
  </si>
  <si>
    <t>Spaulding, Robert K. (Robert Kilburn), 1898-1991.</t>
  </si>
  <si>
    <t>Berkeley ; Los Angeles : University of California Press, 1948, c1943.</t>
  </si>
  <si>
    <t>1997-08-29</t>
  </si>
  <si>
    <t>500389:eng</t>
  </si>
  <si>
    <t>10631668</t>
  </si>
  <si>
    <t>991000402649702656</t>
  </si>
  <si>
    <t>2272819350002656</t>
  </si>
  <si>
    <t>32285003161295</t>
  </si>
  <si>
    <t>893790466</t>
  </si>
  <si>
    <t>PC4101 .M3 1970</t>
  </si>
  <si>
    <t>0                      PC 4101000M  3           1970</t>
  </si>
  <si>
    <t>Diccionario gramatical y de dudas del idioma / por Emilio M. Martinez Amador.</t>
  </si>
  <si>
    <t>Martínez Amador, Emilio María, 1881-1951.</t>
  </si>
  <si>
    <t>Barcelona : R. Sopena, [1970]</t>
  </si>
  <si>
    <t>2003-10-08</t>
  </si>
  <si>
    <t>2001-12-11</t>
  </si>
  <si>
    <t>5574440222:eng</t>
  </si>
  <si>
    <t>581468</t>
  </si>
  <si>
    <t>991003694609702656</t>
  </si>
  <si>
    <t>2271480390002656</t>
  </si>
  <si>
    <t>32285004427505</t>
  </si>
  <si>
    <t>893875051</t>
  </si>
  <si>
    <t>PC4105 .A3 1973</t>
  </si>
  <si>
    <t>0                      PC 4105000A  3           1973</t>
  </si>
  <si>
    <t>Esbozo de una nueva gramática de la lengua española.</t>
  </si>
  <si>
    <t>Real Academia Española. Comisión de Gramática.</t>
  </si>
  <si>
    <t>Madrid, Espasa-Calpe, 1973.</t>
  </si>
  <si>
    <t>2003-01-15</t>
  </si>
  <si>
    <t>3772559288:spa</t>
  </si>
  <si>
    <t>742617</t>
  </si>
  <si>
    <t>991003974969702656</t>
  </si>
  <si>
    <t>2267197450002656</t>
  </si>
  <si>
    <t>9788423947591</t>
  </si>
  <si>
    <t>32285004694229</t>
  </si>
  <si>
    <t>893337198</t>
  </si>
  <si>
    <t>PC4105 .A6 1972</t>
  </si>
  <si>
    <t>0                      PC 4105000A  6           1972</t>
  </si>
  <si>
    <t>Estudios de gramática funcional del español / Emilio Alarcos LLorach.</t>
  </si>
  <si>
    <t>Alarcos Llorach, Emilio.</t>
  </si>
  <si>
    <t>Madrid : Editorial Gredos, 1972.</t>
  </si>
  <si>
    <t>Biblioteca románica hispánica. 2. Estudios y ensayos, 147</t>
  </si>
  <si>
    <t>2003-05-01</t>
  </si>
  <si>
    <t>1288369:spa</t>
  </si>
  <si>
    <t>864075</t>
  </si>
  <si>
    <t>991004044569702656</t>
  </si>
  <si>
    <t>2266389130002656</t>
  </si>
  <si>
    <t>32285004683255</t>
  </si>
  <si>
    <t>893605567</t>
  </si>
  <si>
    <t>PC4105 .A62 1999</t>
  </si>
  <si>
    <t>0                      PC 4105000A  62          1999</t>
  </si>
  <si>
    <t>Gramática de la lengua española / Emilio Alarcos Llorach.</t>
  </si>
  <si>
    <t>Madrid : Espasa Calpe, 1999.</t>
  </si>
  <si>
    <t>1. ed.</t>
  </si>
  <si>
    <t>Colección Nebrija y Bello</t>
  </si>
  <si>
    <t>2008-01-17</t>
  </si>
  <si>
    <t>3817587473:spa</t>
  </si>
  <si>
    <t>41234809</t>
  </si>
  <si>
    <t>991005173729702656</t>
  </si>
  <si>
    <t>2260101480002656</t>
  </si>
  <si>
    <t>9788423979165</t>
  </si>
  <si>
    <t>32285005378939</t>
  </si>
  <si>
    <t>893507728</t>
  </si>
  <si>
    <t>PC4111 .T65</t>
  </si>
  <si>
    <t>0                      PC 4111000T  65</t>
  </si>
  <si>
    <t>Pitman's commercial Spanish grammar, by C.A. Toledano.</t>
  </si>
  <si>
    <t>Pitman, Isaac, 1813-1897.</t>
  </si>
  <si>
    <t>New York, Isaac Pitman &amp; Sons, 1915.</t>
  </si>
  <si>
    <t>2006-06-20</t>
  </si>
  <si>
    <t>1862285887:eng</t>
  </si>
  <si>
    <t>11491619</t>
  </si>
  <si>
    <t>991000541309702656</t>
  </si>
  <si>
    <t>2261701240002656</t>
  </si>
  <si>
    <t>32285003225686</t>
  </si>
  <si>
    <t>893243368</t>
  </si>
  <si>
    <t>PC4112 .A74</t>
  </si>
  <si>
    <t>0                      PC 4112000A  74</t>
  </si>
  <si>
    <t>Lengua española / [por] Doris King Arjona, Pablo Gil Casado [y] Albert Ramos Turner.</t>
  </si>
  <si>
    <t>Arjona, Doris King.</t>
  </si>
  <si>
    <t>[Glenview, Ill.] : Scott, Foresman, [1969-</t>
  </si>
  <si>
    <t>2007-11-01</t>
  </si>
  <si>
    <t>2031962:spa</t>
  </si>
  <si>
    <t>1073868</t>
  </si>
  <si>
    <t>991003516149702656</t>
  </si>
  <si>
    <t>2254960230002656</t>
  </si>
  <si>
    <t>32285000881804</t>
  </si>
  <si>
    <t>893900058</t>
  </si>
  <si>
    <t>V. 2 MANUAL</t>
  </si>
  <si>
    <t>32285001645554</t>
  </si>
  <si>
    <t>893893799</t>
  </si>
  <si>
    <t>1993-04-22</t>
  </si>
  <si>
    <t>32285001623221</t>
  </si>
  <si>
    <t>893874839</t>
  </si>
  <si>
    <t>V. 1 MANUAL</t>
  </si>
  <si>
    <t>2004-04-22</t>
  </si>
  <si>
    <t>32285001645547</t>
  </si>
  <si>
    <t>893900057</t>
  </si>
  <si>
    <t>PC4112 .B88 2004</t>
  </si>
  <si>
    <t>0                      PC 4112000B  88          2004</t>
  </si>
  <si>
    <t>A new reference grammar of modern Spanish / John Butt, Carmen Benjamin.</t>
  </si>
  <si>
    <t>Butt, John, 1943-</t>
  </si>
  <si>
    <t>New York : McGraw-Hill, c2004.</t>
  </si>
  <si>
    <t>4th ed.</t>
  </si>
  <si>
    <t>2009-04-06</t>
  </si>
  <si>
    <t>2007-06-25</t>
  </si>
  <si>
    <t>4783197910:eng</t>
  </si>
  <si>
    <t>56058008</t>
  </si>
  <si>
    <t>991005087369702656</t>
  </si>
  <si>
    <t>2257072590002656</t>
  </si>
  <si>
    <t>9780071440493</t>
  </si>
  <si>
    <t>32285005318257</t>
  </si>
  <si>
    <t>893520402</t>
  </si>
  <si>
    <t>PC4112 .C2 1993</t>
  </si>
  <si>
    <t>0                      PC 4112000C  2           1993</t>
  </si>
  <si>
    <t>Más fácil : a concise review of Spanish grammar / Estelita Calderón-Young, Rodney M. Mebane.</t>
  </si>
  <si>
    <t>Calderón-Young, Estelita.</t>
  </si>
  <si>
    <t>Englewood Cliffs, N.J. : Prentice Hall, c1993.</t>
  </si>
  <si>
    <t>2009-01-21</t>
  </si>
  <si>
    <t>1995-08-21</t>
  </si>
  <si>
    <t>29491175:eng</t>
  </si>
  <si>
    <t>26722759</t>
  </si>
  <si>
    <t>991002083269702656</t>
  </si>
  <si>
    <t>2270050520002656</t>
  </si>
  <si>
    <t>9780131783362</t>
  </si>
  <si>
    <t>32285005500334</t>
  </si>
  <si>
    <t>893439751</t>
  </si>
  <si>
    <t>PC4112 .D4 1999</t>
  </si>
  <si>
    <t>0                      PC 4112000D  4           1999</t>
  </si>
  <si>
    <t>Español contemporáneo / George DeMello.</t>
  </si>
  <si>
    <t>De Mello, George.</t>
  </si>
  <si>
    <t>Lanham : University Press of America, c1999.</t>
  </si>
  <si>
    <t>2008-09-24</t>
  </si>
  <si>
    <t>2001-02-27</t>
  </si>
  <si>
    <t>1626379:spa</t>
  </si>
  <si>
    <t>42009406</t>
  </si>
  <si>
    <t>991003453649702656</t>
  </si>
  <si>
    <t>2259206260002656</t>
  </si>
  <si>
    <t>9780761815068</t>
  </si>
  <si>
    <t>32285004297825</t>
  </si>
  <si>
    <t>893787330</t>
  </si>
  <si>
    <t>PC4112 .G48 1995</t>
  </si>
  <si>
    <t>0                      PC 4112000G  48          1995</t>
  </si>
  <si>
    <t>En contacto : gramática en acción / Mary McVey Gill, Brenda Wegmann, Teresa Méndez-Faith.</t>
  </si>
  <si>
    <t>Gill, Mary McVey.</t>
  </si>
  <si>
    <t>Fort Worth : Holt, Rinehart and Winston : Harcourt Brace College Publishers, c1995.</t>
  </si>
  <si>
    <t>5. ed.</t>
  </si>
  <si>
    <t>txu</t>
  </si>
  <si>
    <t>2004-06-30</t>
  </si>
  <si>
    <t>1995-12-15</t>
  </si>
  <si>
    <t>3943288093:spa</t>
  </si>
  <si>
    <t>32432340</t>
  </si>
  <si>
    <t>991002493249702656</t>
  </si>
  <si>
    <t>2256086700002656</t>
  </si>
  <si>
    <t>9780030046186</t>
  </si>
  <si>
    <t>32285002089240</t>
  </si>
  <si>
    <t>893892622</t>
  </si>
  <si>
    <t>PC4112 .K38 1988</t>
  </si>
  <si>
    <t>0                      PC 4112000K  38          1988</t>
  </si>
  <si>
    <t>Spain after Franco : language in context / Juan Kattán-Ibarra, Tim Connell.</t>
  </si>
  <si>
    <t>Kattán-Ibarra, Juan.</t>
  </si>
  <si>
    <t>Lincolnwood, Ill. : National Textbook Co., 1988.</t>
  </si>
  <si>
    <t>1988</t>
  </si>
  <si>
    <t>1998-03-03</t>
  </si>
  <si>
    <t>5344620:eng</t>
  </si>
  <si>
    <t>19031368</t>
  </si>
  <si>
    <t>991001426409702656</t>
  </si>
  <si>
    <t>2255898800002656</t>
  </si>
  <si>
    <t>32285003356218</t>
  </si>
  <si>
    <t>893602599</t>
  </si>
  <si>
    <t>PC4112 .R35 1994</t>
  </si>
  <si>
    <t>0                      PC 4112000R  35          1994</t>
  </si>
  <si>
    <t>En breve : a concise review of Spanish grammar / Seymour Resnick, William Giuliano ; with the collaboration of Phyllis M. Golding.</t>
  </si>
  <si>
    <t>Resnick, Seymour.</t>
  </si>
  <si>
    <t>Fort Worth : Holt, Rinehart and Winston, c1994.</t>
  </si>
  <si>
    <t>2004-04-07</t>
  </si>
  <si>
    <t>1995-09-27</t>
  </si>
  <si>
    <t>887592:eng</t>
  </si>
  <si>
    <t>31808191</t>
  </si>
  <si>
    <t>991002439959702656</t>
  </si>
  <si>
    <t>2260163030002656</t>
  </si>
  <si>
    <t>9780155007482</t>
  </si>
  <si>
    <t>32285002094646</t>
  </si>
  <si>
    <t>893697780</t>
  </si>
  <si>
    <t>PC4115 .W3</t>
  </si>
  <si>
    <t>0                      PC 4115000W  3</t>
  </si>
  <si>
    <t>Primer libro de lectura, by Gertrude M. Walsh...</t>
  </si>
  <si>
    <t>Walsh, Gertrude M. (Gertrude Margaret), 1884-</t>
  </si>
  <si>
    <t>Boston, New York [etc.] D. C. Heath &amp; co. [c1919]</t>
  </si>
  <si>
    <t>2000-08-18</t>
  </si>
  <si>
    <t>4716047:spa</t>
  </si>
  <si>
    <t>2292054</t>
  </si>
  <si>
    <t>991004068509702656</t>
  </si>
  <si>
    <t>2265382990002656</t>
  </si>
  <si>
    <t>32285003225769</t>
  </si>
  <si>
    <t>893806602</t>
  </si>
  <si>
    <t>PC4117 .A34</t>
  </si>
  <si>
    <t>0                      PC 4117000A  34</t>
  </si>
  <si>
    <t>Del solar hispánico; lecturas de literatura española e hispanoamericana, edited by Amelia A. de del Río ... [y] Angel del Río ...</t>
  </si>
  <si>
    <t>Agostini de del Río, Amelia, 1896-1996, editor.</t>
  </si>
  <si>
    <t>New York, The Dryden Press [1945]</t>
  </si>
  <si>
    <t>1945</t>
  </si>
  <si>
    <t>The Dryden press modern language publications</t>
  </si>
  <si>
    <t>1998-02-01</t>
  </si>
  <si>
    <t>5114036:spa</t>
  </si>
  <si>
    <t>3338370</t>
  </si>
  <si>
    <t>991004410509702656</t>
  </si>
  <si>
    <t>2270522420002656</t>
  </si>
  <si>
    <t>32285003225777</t>
  </si>
  <si>
    <t>893446196</t>
  </si>
  <si>
    <t>PC4117 .C25</t>
  </si>
  <si>
    <t>0                      PC 4117000C  25</t>
  </si>
  <si>
    <t>La vida de un pícaro, by Juan Cano... edited with notes, direct-method exercises, and vocabulary.</t>
  </si>
  <si>
    <t>Cano, Juan, 1890-</t>
  </si>
  <si>
    <t>New York, The Macmillan company, 1928.</t>
  </si>
  <si>
    <t>On cover: The Macmillan Hispanic series</t>
  </si>
  <si>
    <t>2001-11-27</t>
  </si>
  <si>
    <t>375390257:spa</t>
  </si>
  <si>
    <t>1295942</t>
  </si>
  <si>
    <t>991003675429702656</t>
  </si>
  <si>
    <t>2263776700002656</t>
  </si>
  <si>
    <t>32285003225850</t>
  </si>
  <si>
    <t>893252619</t>
  </si>
  <si>
    <t>PC4117 .C37</t>
  </si>
  <si>
    <t>0                      PC 4117000C  37</t>
  </si>
  <si>
    <t>Graded Spanish readers : books one to five / prepared by Carlos Castillo and Colley F. Sparkman.</t>
  </si>
  <si>
    <t>Castillo, Carlos editor.</t>
  </si>
  <si>
    <t>Boston : Heath, 1937.</t>
  </si>
  <si>
    <t>Heath-Chicago Spanish series</t>
  </si>
  <si>
    <t>1996-04-01</t>
  </si>
  <si>
    <t>3770014846:eng</t>
  </si>
  <si>
    <t>4647228</t>
  </si>
  <si>
    <t>991004697629702656</t>
  </si>
  <si>
    <t>2260627560002656</t>
  </si>
  <si>
    <t>32285001645562</t>
  </si>
  <si>
    <t>893344148</t>
  </si>
  <si>
    <t>PC4117 .C829</t>
  </si>
  <si>
    <t>0                      PC 4117000C  829</t>
  </si>
  <si>
    <t>El cuento / [by] John A. Crow [and] Edward J. Dudley.</t>
  </si>
  <si>
    <t>Crow, John A., 1906-2001.</t>
  </si>
  <si>
    <t>New York, Holt, Rinehart and Winston [c1966]</t>
  </si>
  <si>
    <t>1966</t>
  </si>
  <si>
    <t>1999-09-24</t>
  </si>
  <si>
    <t>3857499632:eng</t>
  </si>
  <si>
    <t>365463</t>
  </si>
  <si>
    <t>991002512529702656</t>
  </si>
  <si>
    <t>2266041470002656</t>
  </si>
  <si>
    <t>32285003170361</t>
  </si>
  <si>
    <t>893786236</t>
  </si>
  <si>
    <t>PC4117 .K37</t>
  </si>
  <si>
    <t>0                      PC 4117000K  37</t>
  </si>
  <si>
    <t>El gaucho y la pampa, un drama y ocho cuentos, edited by L. Clark Keating and Joseph S. Flores.</t>
  </si>
  <si>
    <t>Keating, L. Clark (Louis Clark), 1907-1991 editor.</t>
  </si>
  <si>
    <t>New York, Chicago [etc.] American book company [1943]</t>
  </si>
  <si>
    <t>1943</t>
  </si>
  <si>
    <t>2007-10-12</t>
  </si>
  <si>
    <t>53657284:spa</t>
  </si>
  <si>
    <t>3190100</t>
  </si>
  <si>
    <t>991004370929702656</t>
  </si>
  <si>
    <t>2257906710002656</t>
  </si>
  <si>
    <t>32285003225991</t>
  </si>
  <si>
    <t>893506775</t>
  </si>
  <si>
    <t>PC4117 .M254 1979</t>
  </si>
  <si>
    <t>0                      PC 4117000M  254         1979</t>
  </si>
  <si>
    <t>Maestros hispánicos del siglo veinte / Emir Rodríguez Monegal, Suzanne Jill Levine [compiladores].</t>
  </si>
  <si>
    <t>New York : Harcourt Brace Jovanovich, c1979.</t>
  </si>
  <si>
    <t>2005-03-23</t>
  </si>
  <si>
    <t>16071780:spa</t>
  </si>
  <si>
    <t>5105226</t>
  </si>
  <si>
    <t>991004509569702656</t>
  </si>
  <si>
    <t>2267220040002656</t>
  </si>
  <si>
    <t>32285005044457</t>
  </si>
  <si>
    <t>893712686</t>
  </si>
  <si>
    <t>PC4120.P64 H37 1996</t>
  </si>
  <si>
    <t>0                      PC 4120000P  64                 H  37          1996</t>
  </si>
  <si>
    <t>Spanish for law enforcement personnel / William C. Harvey.</t>
  </si>
  <si>
    <t>Harvey, William C.</t>
  </si>
  <si>
    <t>2004-07-15</t>
  </si>
  <si>
    <t>1998-05-21</t>
  </si>
  <si>
    <t>40561144:eng</t>
  </si>
  <si>
    <t>34594822</t>
  </si>
  <si>
    <t>991002642699702656</t>
  </si>
  <si>
    <t>2264831170002656</t>
  </si>
  <si>
    <t>9780812093674</t>
  </si>
  <si>
    <t>32285003411286</t>
  </si>
  <si>
    <t>893792707</t>
  </si>
  <si>
    <t>PC4120.S34 S84 2007</t>
  </si>
  <si>
    <t>0                      PC 4120000S  34                 S  84          2007</t>
  </si>
  <si>
    <t>Working Spanish for teachers and education professionals / Gail Stein.</t>
  </si>
  <si>
    <t>Stein, Gail.</t>
  </si>
  <si>
    <t>Hoboken, NJ : Wiley, c2007.</t>
  </si>
  <si>
    <t>2007</t>
  </si>
  <si>
    <t>An on-the-job phrasebook</t>
  </si>
  <si>
    <t>62922642:eng</t>
  </si>
  <si>
    <t>77256791</t>
  </si>
  <si>
    <t>991005116539702656</t>
  </si>
  <si>
    <t>2257390280002656</t>
  </si>
  <si>
    <t>9780470095232</t>
  </si>
  <si>
    <t>32285005327266</t>
  </si>
  <si>
    <t>893254490</t>
  </si>
  <si>
    <t>PC4121 .C26 1966</t>
  </si>
  <si>
    <t>0                      PC 4121000C  26          1966</t>
  </si>
  <si>
    <t>Spanish for hotels and motels : a comprehensive manual with conversation and vocabulary used by employees of hotels and motels ... = Inglés para hoteles y moteles ... / compiled by Antonio Carbajo.</t>
  </si>
  <si>
    <t>Carbajo, Antonio.</t>
  </si>
  <si>
    <t>Miami Springs, Fla. : Language Research Press, c1966.</t>
  </si>
  <si>
    <t>flu</t>
  </si>
  <si>
    <t>2001-09-14</t>
  </si>
  <si>
    <t>1810270856:eng</t>
  </si>
  <si>
    <t>3320000</t>
  </si>
  <si>
    <t>991004405339702656</t>
  </si>
  <si>
    <t>2272520650002656</t>
  </si>
  <si>
    <t>32285003411294</t>
  </si>
  <si>
    <t>893876068</t>
  </si>
  <si>
    <t>PC4121 .C27 1966</t>
  </si>
  <si>
    <t>0                      PC 4121000C  27          1966</t>
  </si>
  <si>
    <t>Spanish for retail selling : a comprehensive manual with conversation and vocabulary used in all phases of retail selling = Inglés comercial : manual con la conversación y el vocabulario usados en el comercio / Antonio Carbajo.</t>
  </si>
  <si>
    <t>[Miami Springs, Fla. : Language Research Press], 1966.</t>
  </si>
  <si>
    <t>1809334611:eng</t>
  </si>
  <si>
    <t>3196169</t>
  </si>
  <si>
    <t>991004372009702656</t>
  </si>
  <si>
    <t>2263216460002656</t>
  </si>
  <si>
    <t>32285003411310</t>
  </si>
  <si>
    <t>893259650</t>
  </si>
  <si>
    <t>PC4121 .C28 1963</t>
  </si>
  <si>
    <t>0                      PC 4121000C  28          1963</t>
  </si>
  <si>
    <t>Spanish for doctors, dentists, oculists, optometrists and nurses / compiled by Antonio Carbajo.</t>
  </si>
  <si>
    <t>Miami Springs, Fla. : Language Research Press, c1963.</t>
  </si>
  <si>
    <t>3d ed.</t>
  </si>
  <si>
    <t>2001-05-23</t>
  </si>
  <si>
    <t>2302358:eng</t>
  </si>
  <si>
    <t>2918302</t>
  </si>
  <si>
    <t>991004284079702656</t>
  </si>
  <si>
    <t>2269226080002656</t>
  </si>
  <si>
    <t>32285003411328</t>
  </si>
  <si>
    <t>893706186</t>
  </si>
  <si>
    <t>PC4121 .L43 1997</t>
  </si>
  <si>
    <t>0                      PC 4121000L  43          1997</t>
  </si>
  <si>
    <t>Responde en español / Nilda Lebrón Montás ; [traducción al inglés, Fabeka Lebrón].</t>
  </si>
  <si>
    <t>Lebrón Montás, Nilda.</t>
  </si>
  <si>
    <t>Santo Domingo, República Dominicana : [s.n.], 1997</t>
  </si>
  <si>
    <t>2007-11-13</t>
  </si>
  <si>
    <t>2003-12-09</t>
  </si>
  <si>
    <t>12773334:spa</t>
  </si>
  <si>
    <t>53698556</t>
  </si>
  <si>
    <t>991004202939702656</t>
  </si>
  <si>
    <t>2256822220002656</t>
  </si>
  <si>
    <t>32285004887468</t>
  </si>
  <si>
    <t>893241146</t>
  </si>
  <si>
    <t>PC4127.G3 S3</t>
  </si>
  <si>
    <t>0                      PC 4127000G  3                  S  3</t>
  </si>
  <si>
    <t>Vida gaucha, by Hilario Sáenz and Lloyd D. Teale ... Illustrations by Florencio Molina Campos.</t>
  </si>
  <si>
    <t>Saenz, Hilario.</t>
  </si>
  <si>
    <t>New York, F. S. Crofts &amp; Co., inc., 1946.</t>
  </si>
  <si>
    <t>1946</t>
  </si>
  <si>
    <t>4147335:spa</t>
  </si>
  <si>
    <t>2082445</t>
  </si>
  <si>
    <t>991004004939702656</t>
  </si>
  <si>
    <t>2257156080002656</t>
  </si>
  <si>
    <t>32285003226221</t>
  </si>
  <si>
    <t>893337232</t>
  </si>
  <si>
    <t>PC4127.G4 G72</t>
  </si>
  <si>
    <t>0                      PC 4127000G  4                  G  72</t>
  </si>
  <si>
    <t>Buenos amigos, buenos vecinos, by Raymond L. Grismer ... and César I. Arroyo ... illustrated by Melva Teubner.</t>
  </si>
  <si>
    <t>Grismer, Raymond L. (Raymond Leonard), 1895-1979.</t>
  </si>
  <si>
    <t>New York, Cincinnati [etc.] American Book Company [1943]</t>
  </si>
  <si>
    <t>2007-10-17</t>
  </si>
  <si>
    <t>2524605:spa</t>
  </si>
  <si>
    <t>1680417</t>
  </si>
  <si>
    <t>991003866889702656</t>
  </si>
  <si>
    <t>2256071620002656</t>
  </si>
  <si>
    <t>32285003226239</t>
  </si>
  <si>
    <t>893627826</t>
  </si>
  <si>
    <t>PC4127.H5 T4</t>
  </si>
  <si>
    <t>0                      PC 4127000H  5                  T  4</t>
  </si>
  <si>
    <t>España y la América española (bocetos y cuentos) by Giovanni Terzano ...</t>
  </si>
  <si>
    <t>Terzano, Giovanni.</t>
  </si>
  <si>
    <t>Philadelphia, Chicago, The John C. Winston Company [c1921]</t>
  </si>
  <si>
    <t>1921</t>
  </si>
  <si>
    <t>The Winston modern language series</t>
  </si>
  <si>
    <t>2003-07-21</t>
  </si>
  <si>
    <t>23295280:spa</t>
  </si>
  <si>
    <t>6945245</t>
  </si>
  <si>
    <t>991005065009702656</t>
  </si>
  <si>
    <t>2254755310002656</t>
  </si>
  <si>
    <t>32285003226296</t>
  </si>
  <si>
    <t>893795551</t>
  </si>
  <si>
    <t>PC4127.S63 K38 1995</t>
  </si>
  <si>
    <t>0                      PC 4127000S  63                 K  38          1995</t>
  </si>
  <si>
    <t>Perspectivas culturales de España / Juan Kattán-Ibarra.</t>
  </si>
  <si>
    <t>Lincolnwood, Ill., USA : National Textbook Co., c1989.</t>
  </si>
  <si>
    <t>21845758:spa</t>
  </si>
  <si>
    <t>31035363</t>
  </si>
  <si>
    <t>991004490229702656</t>
  </si>
  <si>
    <t>2265723870002656</t>
  </si>
  <si>
    <t>9780844271590</t>
  </si>
  <si>
    <t>32285005028864</t>
  </si>
  <si>
    <t>893343895</t>
  </si>
  <si>
    <t>PC4127.S63 K38 1995 Supp.</t>
  </si>
  <si>
    <t>0                      PC 4127000S  63                 K  38          1995                  Supp.</t>
  </si>
  <si>
    <t>Instructor's manual Perspectivas culturales de espãna / Juan Kattán-Ibarra.</t>
  </si>
  <si>
    <t>Supp.*</t>
  </si>
  <si>
    <t>Lincolnwood, Ill.: National Textbook Co., c1995.</t>
  </si>
  <si>
    <t>2d ed., Teacher's ed.</t>
  </si>
  <si>
    <t>33417663</t>
  </si>
  <si>
    <t>991004490289702656</t>
  </si>
  <si>
    <t>2271644470002656</t>
  </si>
  <si>
    <t>9780844271620</t>
  </si>
  <si>
    <t>32285005028997</t>
  </si>
  <si>
    <t>893500634</t>
  </si>
  <si>
    <t>PC4131 .G66 2002</t>
  </si>
  <si>
    <t>0                      PC 4131000G  66          2002</t>
  </si>
  <si>
    <t>Fonetología general e hispánica / Carlisle González Tapia.</t>
  </si>
  <si>
    <t>González Tapia, Carlisle.</t>
  </si>
  <si>
    <t>Santo Domingo, R.D. : Ediciones Tapia, 2002.</t>
  </si>
  <si>
    <t>Publicaciones de la Universidad Autónoma de Santo Domingo ; v. 1050. Colección Lingüistica y sociedad ; no. 24</t>
  </si>
  <si>
    <t>2003-05-19</t>
  </si>
  <si>
    <t>9349364:spa</t>
  </si>
  <si>
    <t>51842905</t>
  </si>
  <si>
    <t>991004055649702656</t>
  </si>
  <si>
    <t>2268855900002656</t>
  </si>
  <si>
    <t>9789993477082</t>
  </si>
  <si>
    <t>32285004746524</t>
  </si>
  <si>
    <t>893888261</t>
  </si>
  <si>
    <t>PC4131 .H3</t>
  </si>
  <si>
    <t>0                      PC 4131000H  3</t>
  </si>
  <si>
    <t>Spanish phonology / James W. Harris.</t>
  </si>
  <si>
    <t>Harris, James W. (James Wesley)</t>
  </si>
  <si>
    <t>Cambridge, Mass. : M.I.T. Press, [1969]</t>
  </si>
  <si>
    <t>The M.I.T. Press research monograph ; no. 54</t>
  </si>
  <si>
    <t>1999-04-13</t>
  </si>
  <si>
    <t>118241257:eng</t>
  </si>
  <si>
    <t>57265</t>
  </si>
  <si>
    <t>991000138629702656</t>
  </si>
  <si>
    <t>2261755560002656</t>
  </si>
  <si>
    <t>9780262080323</t>
  </si>
  <si>
    <t>32285003226304</t>
  </si>
  <si>
    <t>893896650</t>
  </si>
  <si>
    <t>PC4131 .N3</t>
  </si>
  <si>
    <t>0                      PC 4131000N  3</t>
  </si>
  <si>
    <t>Estudios de fonología española.</t>
  </si>
  <si>
    <t>Navarro Tomás, Tomás, 1884-1979.</t>
  </si>
  <si>
    <t>Syracuse, N.Y., Syracuse University Press, 1946.</t>
  </si>
  <si>
    <t>Syracuse University. Centro de Estudios Hispánicos. [Publicaciones, 1]</t>
  </si>
  <si>
    <t>2001-06-25</t>
  </si>
  <si>
    <t>381079190:spa</t>
  </si>
  <si>
    <t>3334141</t>
  </si>
  <si>
    <t>991004409679702656</t>
  </si>
  <si>
    <t>2269886080002656</t>
  </si>
  <si>
    <t>32285003226312</t>
  </si>
  <si>
    <t>893876076</t>
  </si>
  <si>
    <t>PC4131 .Q5 1972</t>
  </si>
  <si>
    <t>0                      PC 4131000Q  5           1972</t>
  </si>
  <si>
    <t>Curso de fonética y fonología españolas para estudiantes angloamericanos / [por] Antonio Quilis y Joseph A. Fernandez.</t>
  </si>
  <si>
    <t>Quilis, Antonio.</t>
  </si>
  <si>
    <t>Madrid : Consejo Superior de Investigaciones Científicas, Instituto "Miguel de Cervantes," 1972.</t>
  </si>
  <si>
    <t>6. ed. rev. y aum.</t>
  </si>
  <si>
    <t>Collectanea phonetica ; 2</t>
  </si>
  <si>
    <t>2005-03-22</t>
  </si>
  <si>
    <t>4916531998:spa</t>
  </si>
  <si>
    <t>728482</t>
  </si>
  <si>
    <t>991004508389702656</t>
  </si>
  <si>
    <t>2263066020002656</t>
  </si>
  <si>
    <t>32285005029623</t>
  </si>
  <si>
    <t>893513319</t>
  </si>
  <si>
    <t>PC4131.A32 F6 1974</t>
  </si>
  <si>
    <t>0                      PC 4131000A  32                 F  6           1974</t>
  </si>
  <si>
    <t>Fonología española / Emilio Alarcos Llorach.</t>
  </si>
  <si>
    <t>Madrid : Editorial Gredos, c1974.</t>
  </si>
  <si>
    <t>4. ed., aumentada y rev.</t>
  </si>
  <si>
    <t>Biblioteca románica hispánica : 3, Manuales ; 1</t>
  </si>
  <si>
    <t>2005-04-06</t>
  </si>
  <si>
    <t>10677869491:spa</t>
  </si>
  <si>
    <t>2981683</t>
  </si>
  <si>
    <t>991004523339702656</t>
  </si>
  <si>
    <t>2260138600002656</t>
  </si>
  <si>
    <t>9788424911027</t>
  </si>
  <si>
    <t>32285005029524</t>
  </si>
  <si>
    <t>893895090</t>
  </si>
  <si>
    <t>PC4143 .F85 1991</t>
  </si>
  <si>
    <t>0                      PC 4143000F  85          1991</t>
  </si>
  <si>
    <t>Diccionario practico ortografía / Juan Luis Fuentes ; con la colaboración de José Manuel Blecua.</t>
  </si>
  <si>
    <t>Fuentes de la Corte, Juan Luis.</t>
  </si>
  <si>
    <t>México, D.F. : Larousse, c1991.</t>
  </si>
  <si>
    <t>primera ed.</t>
  </si>
  <si>
    <t xml:space="preserve">mx </t>
  </si>
  <si>
    <t>1997-11-10</t>
  </si>
  <si>
    <t>1997-02-03</t>
  </si>
  <si>
    <t>3857924119:spa</t>
  </si>
  <si>
    <t>32303443</t>
  </si>
  <si>
    <t>991002481129702656</t>
  </si>
  <si>
    <t>2264550810002656</t>
  </si>
  <si>
    <t>9789706071699</t>
  </si>
  <si>
    <t>32285002413572</t>
  </si>
  <si>
    <t>893233022</t>
  </si>
  <si>
    <t>PC4271 .G65 2002</t>
  </si>
  <si>
    <t>0                      PC 4271000G  65          2002</t>
  </si>
  <si>
    <t>The big red book of Spanish verbs : 555 fully conjugated verbs / Ronni Gordon, David Stillman.</t>
  </si>
  <si>
    <t>Gordon, Ronni L.</t>
  </si>
  <si>
    <t>2003-04-14</t>
  </si>
  <si>
    <t>2002-08-20</t>
  </si>
  <si>
    <t>2865483693:eng</t>
  </si>
  <si>
    <t>48123354</t>
  </si>
  <si>
    <t>991003849679702656</t>
  </si>
  <si>
    <t>2259519040002656</t>
  </si>
  <si>
    <t>9780658014871</t>
  </si>
  <si>
    <t>32285004644182</t>
  </si>
  <si>
    <t>893435532</t>
  </si>
  <si>
    <t>PC4271 .Q56 1980</t>
  </si>
  <si>
    <t>0                      PC 4271000Q  56          1980</t>
  </si>
  <si>
    <t>Los Quince mil verbos españoles : su gramática, clasificación y conjugación.</t>
  </si>
  <si>
    <t>Barcelona : Ramón Sopena, 1980.</t>
  </si>
  <si>
    <t>2001-12-10</t>
  </si>
  <si>
    <t>767728929:spa</t>
  </si>
  <si>
    <t>7736748</t>
  </si>
  <si>
    <t>991003693579702656</t>
  </si>
  <si>
    <t>2256501790002656</t>
  </si>
  <si>
    <t>9788430307913</t>
  </si>
  <si>
    <t>32285004427083</t>
  </si>
  <si>
    <t>893806097</t>
  </si>
  <si>
    <t>PC4271 .S47 1992</t>
  </si>
  <si>
    <t>0                      PC 4271000S  47          1992</t>
  </si>
  <si>
    <t>Spanish verbs : ser and estar : key to mastering the language / by J. Serrano and S. Serrano.</t>
  </si>
  <si>
    <t>Serrano, Juan.</t>
  </si>
  <si>
    <t>New York : Hippocrene Books, c1992.</t>
  </si>
  <si>
    <t>2010-06-22</t>
  </si>
  <si>
    <t>1993-07-14</t>
  </si>
  <si>
    <t>375739014:spa</t>
  </si>
  <si>
    <t>27137199</t>
  </si>
  <si>
    <t>991002079139702656</t>
  </si>
  <si>
    <t>2266716880002656</t>
  </si>
  <si>
    <t>9780781800242</t>
  </si>
  <si>
    <t>32285005500870</t>
  </si>
  <si>
    <t>893709838</t>
  </si>
  <si>
    <t>PC4290 .M36</t>
  </si>
  <si>
    <t>0                      PC 4290000M  36</t>
  </si>
  <si>
    <t>Gramática del subjuntivo / A. Manteca Alonso-Cortés.</t>
  </si>
  <si>
    <t>Manteca Alonso-Cortés, A., 1952-</t>
  </si>
  <si>
    <t>Madrid : Ediciones Cátedra, 1981.</t>
  </si>
  <si>
    <t>Gramática generativa transformacional del español</t>
  </si>
  <si>
    <t>2010-01-05</t>
  </si>
  <si>
    <t>32370969:spa</t>
  </si>
  <si>
    <t>8661817</t>
  </si>
  <si>
    <t>991000041949702656</t>
  </si>
  <si>
    <t>2256788400002656</t>
  </si>
  <si>
    <t>9788437603056</t>
  </si>
  <si>
    <t>32285001645588</t>
  </si>
  <si>
    <t>893777625</t>
  </si>
  <si>
    <t>PC43 .R6 1988</t>
  </si>
  <si>
    <t>0                      PC 0043000R  6           1988</t>
  </si>
  <si>
    <t>The Romance languages / edited by Martin Harris and Nigel Vincent.</t>
  </si>
  <si>
    <t>London : Croom Helm, c1988.</t>
  </si>
  <si>
    <t>Croom Helm Romance linguistics series</t>
  </si>
  <si>
    <t>2006-05-04</t>
  </si>
  <si>
    <t>1990-12-05</t>
  </si>
  <si>
    <t>1051864519:eng</t>
  </si>
  <si>
    <t>18291605</t>
  </si>
  <si>
    <t>991001328099702656</t>
  </si>
  <si>
    <t>2264590670002656</t>
  </si>
  <si>
    <t>9780709937715</t>
  </si>
  <si>
    <t>32285000358605</t>
  </si>
  <si>
    <t>893684254</t>
  </si>
  <si>
    <t>PC43 .R6 1990</t>
  </si>
  <si>
    <t>0                      PC 0043000R  6           1990</t>
  </si>
  <si>
    <t>New York : Oxford University Press, 1990, c1988.</t>
  </si>
  <si>
    <t>1998-03-24</t>
  </si>
  <si>
    <t>23828159</t>
  </si>
  <si>
    <t>991001889379702656</t>
  </si>
  <si>
    <t>2262943990002656</t>
  </si>
  <si>
    <t>9780195208290</t>
  </si>
  <si>
    <t>32285003380309</t>
  </si>
  <si>
    <t>893772991</t>
  </si>
  <si>
    <t>PC4410 .A43 1988</t>
  </si>
  <si>
    <t>0                      PC 4410000A  43          1988</t>
  </si>
  <si>
    <t>Guía de estudio sobre el párrafo / Ilis M. Alfonzo.</t>
  </si>
  <si>
    <t>Alfonzo Perdomo, Ilis M.</t>
  </si>
  <si>
    <t>Caracas, Venezuela : Contexto Editores, 1988.</t>
  </si>
  <si>
    <t>4a ed. corregida y aumentada</t>
  </si>
  <si>
    <t>2003-05-06</t>
  </si>
  <si>
    <t>22370573:spa</t>
  </si>
  <si>
    <t>20573709</t>
  </si>
  <si>
    <t>991004045499702656</t>
  </si>
  <si>
    <t>2258528750002656</t>
  </si>
  <si>
    <t>9789806103054</t>
  </si>
  <si>
    <t>32285004632153</t>
  </si>
  <si>
    <t>893253178</t>
  </si>
  <si>
    <t>PC4410 .M43 2001</t>
  </si>
  <si>
    <t>0                      PC 4410000M  43          2001</t>
  </si>
  <si>
    <t>Curso superior de lengua española básica I / Sonia Medrano, Cristiana Hernández.</t>
  </si>
  <si>
    <t>Medrano Ruiz, Sonia.</t>
  </si>
  <si>
    <t>Santo Domingo, República Dominicana : Universidad Autónoma de Santo Domingo (USAD), 2001.</t>
  </si>
  <si>
    <t>2. ed. (corr. y ampliada).</t>
  </si>
  <si>
    <t>2003-12-10</t>
  </si>
  <si>
    <t>1811455099:spa</t>
  </si>
  <si>
    <t>53691285</t>
  </si>
  <si>
    <t>991004202849702656</t>
  </si>
  <si>
    <t>2258734100002656</t>
  </si>
  <si>
    <t>9789993461012</t>
  </si>
  <si>
    <t>32285004887443</t>
  </si>
  <si>
    <t>893423506</t>
  </si>
  <si>
    <t>PC4410 .M432 1996</t>
  </si>
  <si>
    <t>0                      PC 4410000M  432         1996</t>
  </si>
  <si>
    <t>Curso superior de lengua española básica II / Sonia Medrano, Cristiana Hernández.</t>
  </si>
  <si>
    <t>Santo Domingo, R.D. : Universidad Autónoma de Santo Domingo (USAD), 1996.</t>
  </si>
  <si>
    <t>Colección Lingüística y sociedad ; no. 8</t>
  </si>
  <si>
    <t>12528181:spa</t>
  </si>
  <si>
    <t>53690318</t>
  </si>
  <si>
    <t>991004203039702656</t>
  </si>
  <si>
    <t>2270799650002656</t>
  </si>
  <si>
    <t>32285004887435</t>
  </si>
  <si>
    <t>893423507</t>
  </si>
  <si>
    <t>PC4420 .C29 1980</t>
  </si>
  <si>
    <t>0                      PC 4420000C  29          1980</t>
  </si>
  <si>
    <t>El texto informativo y el esquema del contenido / Rosa P. de Carpineti ; con la colaboración de Mabel V.M. de Rosetti.</t>
  </si>
  <si>
    <t>Carpineti, Rosa P. de.</t>
  </si>
  <si>
    <t>Buenos Aires : Plus Ultra, c1980.</t>
  </si>
  <si>
    <t xml:space="preserve">ag </t>
  </si>
  <si>
    <t>Didáctica del lenguaje y la comunicación</t>
  </si>
  <si>
    <t>26240701:spa</t>
  </si>
  <si>
    <t>24557493</t>
  </si>
  <si>
    <t>991004045579702656</t>
  </si>
  <si>
    <t>2266907410002656</t>
  </si>
  <si>
    <t>9789502103044</t>
  </si>
  <si>
    <t>32285004632120</t>
  </si>
  <si>
    <t>893435829</t>
  </si>
  <si>
    <t>PC4450 .L56 1992</t>
  </si>
  <si>
    <t>0                      PC 4450000L  56          1992</t>
  </si>
  <si>
    <t>La puntuación en el español / Arturo Linares Rivas.</t>
  </si>
  <si>
    <t>Linares Rivas, Arturo, 1949-</t>
  </si>
  <si>
    <t>Mérida, Venezuela : Universidad de Los Andes, Consejo de Publicaciones, 1992.</t>
  </si>
  <si>
    <t>1a. ed.</t>
  </si>
  <si>
    <t>2002-12-18</t>
  </si>
  <si>
    <t>2002-12-03</t>
  </si>
  <si>
    <t>7401421:spa</t>
  </si>
  <si>
    <t>51065796</t>
  </si>
  <si>
    <t>991003953009702656</t>
  </si>
  <si>
    <t>2262289290002656</t>
  </si>
  <si>
    <t>9789802214860</t>
  </si>
  <si>
    <t>32285004630959</t>
  </si>
  <si>
    <t>893794308</t>
  </si>
  <si>
    <t>PC4460 .B4</t>
  </si>
  <si>
    <t>0                      PC 4460000B  4</t>
  </si>
  <si>
    <t>Spanish idioms with their English equivalents embracing nearly ten thousand phrases / collected by Sarah Cary Becker and Federico Mora.</t>
  </si>
  <si>
    <t>Boston : Ginn, 1887, c1886.</t>
  </si>
  <si>
    <t>1887</t>
  </si>
  <si>
    <t>2906460:eng</t>
  </si>
  <si>
    <t>19822472</t>
  </si>
  <si>
    <t>991001505059702656</t>
  </si>
  <si>
    <t>2265695240002656</t>
  </si>
  <si>
    <t>32285003226395</t>
  </si>
  <si>
    <t>893503455</t>
  </si>
  <si>
    <t>PC4460 .P48 1985</t>
  </si>
  <si>
    <t>0                      PC 4460000P  48          1985</t>
  </si>
  <si>
    <t>Guide to Spanish idioms : a practical guide to 2500 Spanish idioms = Guía de modismos españoles / Raymond H. Pierson.</t>
  </si>
  <si>
    <t>Pierson, Raymond H.</t>
  </si>
  <si>
    <t>Lincolnwood, Ill., U.S.A. : Passport Books, c1985.</t>
  </si>
  <si>
    <t>1996-07-09</t>
  </si>
  <si>
    <t>2863394814:eng</t>
  </si>
  <si>
    <t>12804680</t>
  </si>
  <si>
    <t>991000738209702656</t>
  </si>
  <si>
    <t>2255929500002656</t>
  </si>
  <si>
    <t>9780844273259</t>
  </si>
  <si>
    <t>32285002210044</t>
  </si>
  <si>
    <t>893231371</t>
  </si>
  <si>
    <t>PC4511 .D66 1999</t>
  </si>
  <si>
    <t>0                      PC 4511000D  66          1999</t>
  </si>
  <si>
    <t>Diccionario de métrica española / José Domínguez Caparrós.</t>
  </si>
  <si>
    <t>Domínguez Caparrós, José.</t>
  </si>
  <si>
    <t>Madrid : Alianza Editorial, c1999.</t>
  </si>
  <si>
    <t>El libro de bolsillo ; 8,110. Biblioteca temática. Biblioteca de consulta</t>
  </si>
  <si>
    <t>2002-08-27</t>
  </si>
  <si>
    <t>5613676765:spa</t>
  </si>
  <si>
    <t>42811068</t>
  </si>
  <si>
    <t>991003836079702656</t>
  </si>
  <si>
    <t>2263848500002656</t>
  </si>
  <si>
    <t>9788420636764</t>
  </si>
  <si>
    <t>32285004644786</t>
  </si>
  <si>
    <t>893699463</t>
  </si>
  <si>
    <t>PC4511 .L6 1987</t>
  </si>
  <si>
    <t>0                      PC 4511000L  6           1987</t>
  </si>
  <si>
    <t>Métrica española del siglo XX / Francisco López Estrada.</t>
  </si>
  <si>
    <t>López Estrada, Francisco.</t>
  </si>
  <si>
    <t>Madrid : Gredos, 1987.</t>
  </si>
  <si>
    <t>1a ed., 3a reimpr.</t>
  </si>
  <si>
    <t>Biblioteca románica hispánica. III, Manuales ; 24</t>
  </si>
  <si>
    <t>1998-09-14</t>
  </si>
  <si>
    <t>1994-07-20</t>
  </si>
  <si>
    <t>5090484211:spa</t>
  </si>
  <si>
    <t>19269323</t>
  </si>
  <si>
    <t>991001445249702656</t>
  </si>
  <si>
    <t>2265326860002656</t>
  </si>
  <si>
    <t>9788424911928</t>
  </si>
  <si>
    <t>32285001932382</t>
  </si>
  <si>
    <t>893346531</t>
  </si>
  <si>
    <t>PC4511 .N4 1974</t>
  </si>
  <si>
    <t>0                      PC 4511000N  4           1974</t>
  </si>
  <si>
    <t>Métrica española : reseña histórica y descriptiva / T. Navarro Tomás.</t>
  </si>
  <si>
    <t>Madrid : Guadarrama ; Barcelona : Labor, 1974.</t>
  </si>
  <si>
    <t>5a ed.</t>
  </si>
  <si>
    <t>Colección Textos universitarios ; 1</t>
  </si>
  <si>
    <t>378673183:spa</t>
  </si>
  <si>
    <t>8707356</t>
  </si>
  <si>
    <t>991004335139702656</t>
  </si>
  <si>
    <t>2256123490002656</t>
  </si>
  <si>
    <t>9788425056031</t>
  </si>
  <si>
    <t>32285004927637</t>
  </si>
  <si>
    <t>893782118</t>
  </si>
  <si>
    <t>PC4519 .B6 1946</t>
  </si>
  <si>
    <t>0                      PC 4519000B  6           1946</t>
  </si>
  <si>
    <t>Diccionario de la rima : precedido de un tratado de versificacion / Pascual Bloise Campoy.</t>
  </si>
  <si>
    <t>Bloise Campoy, Pascual.</t>
  </si>
  <si>
    <t>Madrid : Aguilar, 1946.</t>
  </si>
  <si>
    <t>2001-12-12</t>
  </si>
  <si>
    <t>368108495:spa</t>
  </si>
  <si>
    <t>10652277</t>
  </si>
  <si>
    <t>991003694459702656</t>
  </si>
  <si>
    <t>2258538590002656</t>
  </si>
  <si>
    <t>32285004427588</t>
  </si>
  <si>
    <t>893342870</t>
  </si>
  <si>
    <t>PC4580 .C59 1980</t>
  </si>
  <si>
    <t>0                      PC 4580000C  59          1980</t>
  </si>
  <si>
    <t>Diccionario crítico etimológico castellano e hispánico / por Joan Corominas ; con la colaboración de José A. Pascual.</t>
  </si>
  <si>
    <t>V. 4</t>
  </si>
  <si>
    <t>Coromines, Joan, 1905-1997.</t>
  </si>
  <si>
    <t>Madrid : Gredos, c1980-c1991.</t>
  </si>
  <si>
    <t>Biblioteca románica hispánica. V, Diccionarios ; 7</t>
  </si>
  <si>
    <t>2006-06-21</t>
  </si>
  <si>
    <t>3373242971:spa</t>
  </si>
  <si>
    <t>9893981</t>
  </si>
  <si>
    <t>991004759079702656</t>
  </si>
  <si>
    <t>2265556220002656</t>
  </si>
  <si>
    <t>9788424913625</t>
  </si>
  <si>
    <t>32285005191829</t>
  </si>
  <si>
    <t>893719317</t>
  </si>
  <si>
    <t>32285005191803</t>
  </si>
  <si>
    <t>893719316</t>
  </si>
  <si>
    <t>V. 5</t>
  </si>
  <si>
    <t>32285005191837</t>
  </si>
  <si>
    <t>893719315</t>
  </si>
  <si>
    <t>32285005191795</t>
  </si>
  <si>
    <t>893719318</t>
  </si>
  <si>
    <t>V. 3</t>
  </si>
  <si>
    <t>32285005191811</t>
  </si>
  <si>
    <t>893700621</t>
  </si>
  <si>
    <t>V. 6</t>
  </si>
  <si>
    <t>32285005191845</t>
  </si>
  <si>
    <t>893700620</t>
  </si>
  <si>
    <t>PC4625 .C3 1959</t>
  </si>
  <si>
    <t>0                      PC 4625000C  3           1959</t>
  </si>
  <si>
    <t>Diccionario ideológico de la lengua española : desde la idea a la palabra, desde la palabra a la idea / Julio Casares.</t>
  </si>
  <si>
    <t>Casares, Julio, 1877-1964.</t>
  </si>
  <si>
    <t>Barcelona : Editorial G. Gili, 1959.</t>
  </si>
  <si>
    <t>2. ed., corr., aumentada y puesta al día.</t>
  </si>
  <si>
    <t>3521640:spa</t>
  </si>
  <si>
    <t>7324686</t>
  </si>
  <si>
    <t>991003694649702656</t>
  </si>
  <si>
    <t>2264526920002656</t>
  </si>
  <si>
    <t>32285004427497</t>
  </si>
  <si>
    <t>893887768</t>
  </si>
  <si>
    <t>PC4635 .S45 1992</t>
  </si>
  <si>
    <t>0                      PC 4635000S  45          1992</t>
  </si>
  <si>
    <t>Diccionario ingles-espanol-tzotzil / R. Seibert.</t>
  </si>
  <si>
    <t>Seibert, R.</t>
  </si>
  <si>
    <t>[S.l. : s.n.], 1992.</t>
  </si>
  <si>
    <t>2006-02-14</t>
  </si>
  <si>
    <t>47059909:spa</t>
  </si>
  <si>
    <t>62740335</t>
  </si>
  <si>
    <t>991004720279702656</t>
  </si>
  <si>
    <t>2255733790002656</t>
  </si>
  <si>
    <t>32285005107908</t>
  </si>
  <si>
    <t>893247898</t>
  </si>
  <si>
    <t>PC4640 .S48 1973</t>
  </si>
  <si>
    <t>0                      PC 4640000S  48          1973</t>
  </si>
  <si>
    <t>Simon and Schuster's international dictionary. Diccionario internacional Simon and Schuster. English/Spanish, Spanish/English. Tana de Gámez, editor in chief.</t>
  </si>
  <si>
    <t>New York : Simon and Schuster, [1973]</t>
  </si>
  <si>
    <t>2006-07-13</t>
  </si>
  <si>
    <t>2001-10-29</t>
  </si>
  <si>
    <t>889800507:eng</t>
  </si>
  <si>
    <t>621861</t>
  </si>
  <si>
    <t>991003662749702656</t>
  </si>
  <si>
    <t>2256949060002656</t>
  </si>
  <si>
    <t>9780671215071</t>
  </si>
  <si>
    <t>32285002091527</t>
  </si>
  <si>
    <t>893800007</t>
  </si>
  <si>
    <t>PC4689 .N38 2003</t>
  </si>
  <si>
    <t>0                      PC 4689000N  38          2003</t>
  </si>
  <si>
    <t>Mastering Spanish vocabulary : a thematic approach / José María Navarro and Axel J. Navarro Ramil.</t>
  </si>
  <si>
    <t>Navarro, José María.</t>
  </si>
  <si>
    <t>Hauppauge, NY : Barron's, c2003.</t>
  </si>
  <si>
    <t>2003</t>
  </si>
  <si>
    <t>2008-09-03</t>
  </si>
  <si>
    <t>2004-01-10</t>
  </si>
  <si>
    <t>1010832390:eng</t>
  </si>
  <si>
    <t>52543878</t>
  </si>
  <si>
    <t>991004176239702656</t>
  </si>
  <si>
    <t>2257010930002656</t>
  </si>
  <si>
    <t>9780764123962</t>
  </si>
  <si>
    <t>32285004633573</t>
  </si>
  <si>
    <t>893894662</t>
  </si>
  <si>
    <t>PC4721 .G8 1964</t>
  </si>
  <si>
    <t>0                      PC 4721000G  8           1964</t>
  </si>
  <si>
    <t>La gramática / Pierre Guiraud. [Traducida ... y adaptada a la lengua española por Abelardo Maljuri]</t>
  </si>
  <si>
    <t>Guiraud, Pierre.</t>
  </si>
  <si>
    <t>Buenos Aires : Editorial Universitaria de Buenos Aires, [1964]</t>
  </si>
  <si>
    <t>1964</t>
  </si>
  <si>
    <t>Cuadernos de EUDEBA, 13</t>
  </si>
  <si>
    <t>2002-02-19</t>
  </si>
  <si>
    <t>8910672640:spa</t>
  </si>
  <si>
    <t>8380712</t>
  </si>
  <si>
    <t>991003740069702656</t>
  </si>
  <si>
    <t>2265541530002656</t>
  </si>
  <si>
    <t>32285004454772</t>
  </si>
  <si>
    <t>893324413</t>
  </si>
  <si>
    <t>PC4811 .S6 1982</t>
  </si>
  <si>
    <t>0                      PC 4811000S  6           1982</t>
  </si>
  <si>
    <t>Glosario de voces ibéricas y latinas usadas entre los Mozárabes / por Francisco Javier Simonet.</t>
  </si>
  <si>
    <t>Simonet, Francisco Javier, 1829-1897.</t>
  </si>
  <si>
    <t>Madrid : Ediciones Atlas, 1982.</t>
  </si>
  <si>
    <t>1992-10-06</t>
  </si>
  <si>
    <t>5585881345:spa</t>
  </si>
  <si>
    <t>13230493</t>
  </si>
  <si>
    <t>991000150869702656</t>
  </si>
  <si>
    <t>2270125090002656</t>
  </si>
  <si>
    <t>9788436305463</t>
  </si>
  <si>
    <t>32285001328300</t>
  </si>
  <si>
    <t>893345434</t>
  </si>
  <si>
    <t>32285001328318</t>
  </si>
  <si>
    <t>893345433</t>
  </si>
  <si>
    <t>PC4813.7 .A74</t>
  </si>
  <si>
    <t>0                      PC 4813700A  74</t>
  </si>
  <si>
    <t>Poesía tradicional de los judíos españoles [por] Manuel Alvar.</t>
  </si>
  <si>
    <t>Alvar, Manuel, 1923-2001 editor.</t>
  </si>
  <si>
    <t>México, Editorial Porrúa, 1966.</t>
  </si>
  <si>
    <t>[1. ed.]</t>
  </si>
  <si>
    <t>Colección "Sepan cuantos," no. 43</t>
  </si>
  <si>
    <t>1998-10-26</t>
  </si>
  <si>
    <t>132755399:spa</t>
  </si>
  <si>
    <t>310353</t>
  </si>
  <si>
    <t>991002276469702656</t>
  </si>
  <si>
    <t>2259590410002656</t>
  </si>
  <si>
    <t>32285003226601</t>
  </si>
  <si>
    <t>893244984</t>
  </si>
  <si>
    <t>PC4821 .D3 1969</t>
  </si>
  <si>
    <t>0                      PC 4821000D  3           1969</t>
  </si>
  <si>
    <t>Spanish pronunciation : theory and practice ; an introductory manual of Spanish phonology and remedial drill / [by] John B. Dalbor.</t>
  </si>
  <si>
    <t>Dalbor, John B.</t>
  </si>
  <si>
    <t>New York : Holt, Rinehart and Winston, [1969]</t>
  </si>
  <si>
    <t>18040007:eng</t>
  </si>
  <si>
    <t>874</t>
  </si>
  <si>
    <t>991004489859702656</t>
  </si>
  <si>
    <t>2272579700002656</t>
  </si>
  <si>
    <t>9780030691201</t>
  </si>
  <si>
    <t>32285005028773</t>
  </si>
  <si>
    <t>893319301</t>
  </si>
  <si>
    <t>PC4821 .P25 1984</t>
  </si>
  <si>
    <t>0                      PC 4821000P  25          1984</t>
  </si>
  <si>
    <t>La lengua nuestra de cada día / Iraset Páez Urdaneta.</t>
  </si>
  <si>
    <t>Páez Urdaneta, Iraset.</t>
  </si>
  <si>
    <t>Caracas : Academia Nacional de la Historia, 1984.</t>
  </si>
  <si>
    <t>El Libro menor ; 59</t>
  </si>
  <si>
    <t>5442270:spa</t>
  </si>
  <si>
    <t>12908857</t>
  </si>
  <si>
    <t>991004340619702656</t>
  </si>
  <si>
    <t>2268324520002656</t>
  </si>
  <si>
    <t>32285004929781</t>
  </si>
  <si>
    <t>893624618</t>
  </si>
  <si>
    <t>PC4822 .A4 1982</t>
  </si>
  <si>
    <t>0                      PC 4822000A  4           1982</t>
  </si>
  <si>
    <t>Americanismos : diccionario ilustrado Sopena.</t>
  </si>
  <si>
    <t>Barcelona : R. Sopena, [1982?]</t>
  </si>
  <si>
    <t>345993297:spa</t>
  </si>
  <si>
    <t>9386359</t>
  </si>
  <si>
    <t>991003693549702656</t>
  </si>
  <si>
    <t>2270049970002656</t>
  </si>
  <si>
    <t>9788430308927</t>
  </si>
  <si>
    <t>32285004427109</t>
  </si>
  <si>
    <t>893717979</t>
  </si>
  <si>
    <t>PC4826 .T47</t>
  </si>
  <si>
    <t>0                      PC 4826000T  47</t>
  </si>
  <si>
    <t>Spanish and English of United States Hispanos : a critical, annotated, linguistic bibliography / Richard V. Teschner, general editor ; Garland D. Bills and Jerry R. Craddock, associate editors.</t>
  </si>
  <si>
    <t>Teschner, Richard V.</t>
  </si>
  <si>
    <t>Arlington, Va. : Center for Applied Linguistics, c1975.</t>
  </si>
  <si>
    <t>vau</t>
  </si>
  <si>
    <t>1993-10-25</t>
  </si>
  <si>
    <t>791976370:eng</t>
  </si>
  <si>
    <t>1923912</t>
  </si>
  <si>
    <t>991003951109702656</t>
  </si>
  <si>
    <t>2262950500002656</t>
  </si>
  <si>
    <t>9780872810426</t>
  </si>
  <si>
    <t>32285001645679</t>
  </si>
  <si>
    <t>893711984</t>
  </si>
  <si>
    <t>PC4832 .H36 1996</t>
  </si>
  <si>
    <t>0                      PC 4832000H  36          1996</t>
  </si>
  <si>
    <t>Hamel's bilingual dictionary of Mexican Spanish = Diccionario bilingue de mexicanismos / Bernard H. Hamel.</t>
  </si>
  <si>
    <t>Hamel, Bernard H.</t>
  </si>
  <si>
    <t>Los Angeles, Calif : Bilingual Book Press, c1996.</t>
  </si>
  <si>
    <t>2000-10-16</t>
  </si>
  <si>
    <t>6616559:eng</t>
  </si>
  <si>
    <t>34166703</t>
  </si>
  <si>
    <t>991002608529702656</t>
  </si>
  <si>
    <t>2261518240002656</t>
  </si>
  <si>
    <t>32285002191319</t>
  </si>
  <si>
    <t>893773801</t>
  </si>
  <si>
    <t>PC4838 .B53 1985</t>
  </si>
  <si>
    <t>0                      PC 4838000B  53          1985</t>
  </si>
  <si>
    <t>Bibliografaia sobre el espaanol del Caribe hispaanico / Rafael Angel Rivas D. ... [et al.] ; praologo de Iraset Paaez U.</t>
  </si>
  <si>
    <t>Caracas : Instituto Universitario Pedagaogico de Caracas, Departamento de Castellano, Literatura y Latain : Centro de Investigaciones Lingeuaisticas y Literarias "Andraes Bello", 1985.</t>
  </si>
  <si>
    <t>2004-08-02</t>
  </si>
  <si>
    <t>7590403:spa</t>
  </si>
  <si>
    <t>14181558</t>
  </si>
  <si>
    <t>991004331979702656</t>
  </si>
  <si>
    <t>2255448300002656</t>
  </si>
  <si>
    <t>32285004925409</t>
  </si>
  <si>
    <t>893241285</t>
  </si>
  <si>
    <t>PC4838 .S55 1981</t>
  </si>
  <si>
    <t>0                      PC 4838000S  55          1981</t>
  </si>
  <si>
    <t>El español del Caribe : ponencias del VI Simposio de Dialectología / Orlando Alba, editor.</t>
  </si>
  <si>
    <t>Simposio de Dialectología (6th : 1981 : Universidad Católica Madre y Maestra)</t>
  </si>
  <si>
    <t>Santiago, República Domincana : Universidad Católica Madre y Maestra, Departamento de Publicaciones, 1982.</t>
  </si>
  <si>
    <t xml:space="preserve">cl </t>
  </si>
  <si>
    <t>Colección "Estudios"</t>
  </si>
  <si>
    <t>2001-07-11</t>
  </si>
  <si>
    <t>1998-04-29</t>
  </si>
  <si>
    <t>891289766:spa</t>
  </si>
  <si>
    <t>10207076</t>
  </si>
  <si>
    <t>991000331159702656</t>
  </si>
  <si>
    <t>2264930800002656</t>
  </si>
  <si>
    <t>32285003379038</t>
  </si>
  <si>
    <t>893534117</t>
  </si>
  <si>
    <t>PC4854.D6 C78 2001</t>
  </si>
  <si>
    <t>0                      PC 4854000D  6                  C  78          2001</t>
  </si>
  <si>
    <t>El latin : su presencia en el habla castellana : una contribución al español dominicano / Luis F. Cruz.</t>
  </si>
  <si>
    <t>Cruz, Luis F. (Luis Federico)</t>
  </si>
  <si>
    <t>Santo Domingo, D.N. : Editora Centenario, 2001.</t>
  </si>
  <si>
    <t>2003-02-27</t>
  </si>
  <si>
    <t>7968943:spa</t>
  </si>
  <si>
    <t>51326747</t>
  </si>
  <si>
    <t>991004009319702656</t>
  </si>
  <si>
    <t>2256850510002656</t>
  </si>
  <si>
    <t>32285004681408</t>
  </si>
  <si>
    <t>893247045</t>
  </si>
  <si>
    <t>PC4854.D6 G66 1999</t>
  </si>
  <si>
    <t>0                      PC 4854000D  6                  G  66          1999</t>
  </si>
  <si>
    <t>La problemática del lenguaje sexista en la República Dominicana ; Feminía de bien / Rafael González Tirado.</t>
  </si>
  <si>
    <t>González Tirado, Rafael, 1931-</t>
  </si>
  <si>
    <t>Santo Domingo, R.D. : [s.n.], 1999</t>
  </si>
  <si>
    <t>Colección Cámara de diputados</t>
  </si>
  <si>
    <t>2000-10-31</t>
  </si>
  <si>
    <t>477471283:spa</t>
  </si>
  <si>
    <t>45006196</t>
  </si>
  <si>
    <t>991003336469702656</t>
  </si>
  <si>
    <t>2272644080002656</t>
  </si>
  <si>
    <t>32285004270509</t>
  </si>
  <si>
    <t>893698922</t>
  </si>
  <si>
    <t>PC4854.D6 H38 1997</t>
  </si>
  <si>
    <t>0                      PC 4854000D  6                  H  38          1997</t>
  </si>
  <si>
    <t>Diccionario dominicano / Pedro Henríquez Ureña.</t>
  </si>
  <si>
    <t>Henríquez Ureña, Pedro, 1884-1946.</t>
  </si>
  <si>
    <t>Santo Domingo, República Dominicana : Editora Alfa &amp; Omega, 1997.</t>
  </si>
  <si>
    <t>2001-11-12</t>
  </si>
  <si>
    <t>2001-07-17</t>
  </si>
  <si>
    <t>3886872:spa</t>
  </si>
  <si>
    <t>40223245</t>
  </si>
  <si>
    <t>991003571029702656</t>
  </si>
  <si>
    <t>2257556290002656</t>
  </si>
  <si>
    <t>32285004327358</t>
  </si>
  <si>
    <t>893623634</t>
  </si>
  <si>
    <t>PC4854.D6 M33 1989</t>
  </si>
  <si>
    <t>0                      PC 4854000D  6                  M  33          1989</t>
  </si>
  <si>
    <t>Obras lexicográficas / Patin Maceo.</t>
  </si>
  <si>
    <t>Maceo, Patín.</t>
  </si>
  <si>
    <t>Santo Domingo, República Dominicana : Sociedad Dominicana de Bibliófilos, 1989.</t>
  </si>
  <si>
    <t>1898</t>
  </si>
  <si>
    <t>2001-06-14</t>
  </si>
  <si>
    <t>14740925:spa</t>
  </si>
  <si>
    <t>24086495</t>
  </si>
  <si>
    <t>991003559699702656</t>
  </si>
  <si>
    <t>2271517280002656</t>
  </si>
  <si>
    <t>32285004326079</t>
  </si>
  <si>
    <t>893518620</t>
  </si>
  <si>
    <t>PC4854.D6 O4 1967</t>
  </si>
  <si>
    <t>0                      PC 4854000D  6                  O  4           1967</t>
  </si>
  <si>
    <t>De nuestro lenguaje y costumbres / Consuelo Olivier Vda. Germán Ariza.</t>
  </si>
  <si>
    <t>Olivier viuda Germán Ariza, Consuelo.</t>
  </si>
  <si>
    <t>Santo Domingo : Editorial Arte y Cine, 1967.</t>
  </si>
  <si>
    <t>2004-12-16</t>
  </si>
  <si>
    <t>424126690:spa</t>
  </si>
  <si>
    <t>5815043</t>
  </si>
  <si>
    <t>991004439899702656</t>
  </si>
  <si>
    <t>2259963830002656</t>
  </si>
  <si>
    <t>32285005018212</t>
  </si>
  <si>
    <t>893442620</t>
  </si>
  <si>
    <t>PC4854.D695 S22 2000</t>
  </si>
  <si>
    <t>0                      PC 4854000D  695                S  22          2000</t>
  </si>
  <si>
    <t>Nuevos aspectos del español en Santo Domingo / Orlando Alba ; prólogo de Manuel Alvar.</t>
  </si>
  <si>
    <t>Alba, Orlando.</t>
  </si>
  <si>
    <t>[Santo Domingo, República Dominicana] : Librería La Trinitaria ; [Provo, Utah] : Brigham Young University, 2000.</t>
  </si>
  <si>
    <t>2001-06-12</t>
  </si>
  <si>
    <t>34730155:spa</t>
  </si>
  <si>
    <t>45127698</t>
  </si>
  <si>
    <t>991003558159702656</t>
  </si>
  <si>
    <t>2259013840002656</t>
  </si>
  <si>
    <t>32285004326830</t>
  </si>
  <si>
    <t>893330432</t>
  </si>
  <si>
    <t>PC5333 .M5</t>
  </si>
  <si>
    <t>0                      PC 5333000M  5</t>
  </si>
  <si>
    <t>A new dictionary of the Portuguese and English languages.</t>
  </si>
  <si>
    <t>Michaelis, H. (Henriette), 1849-</t>
  </si>
  <si>
    <t>New York : F. Ungar Pub. Co., [19--]</t>
  </si>
  <si>
    <t>1900</t>
  </si>
  <si>
    <t>1999-11-09</t>
  </si>
  <si>
    <t>1996-12-20</t>
  </si>
  <si>
    <t>4915329113:eng</t>
  </si>
  <si>
    <t>10336624</t>
  </si>
  <si>
    <t>991000356639702656</t>
  </si>
  <si>
    <t>2265759290002656</t>
  </si>
  <si>
    <t>32285002401866</t>
  </si>
  <si>
    <t>893534126</t>
  </si>
  <si>
    <t>32285002401858</t>
  </si>
  <si>
    <t>893527981</t>
  </si>
  <si>
    <t>PD2003 .P3</t>
  </si>
  <si>
    <t>0                      PD 2003000P  3</t>
  </si>
  <si>
    <t>An introduction to English runes / [by] R. I. Page.</t>
  </si>
  <si>
    <t>Page, R. I. (Raymond Ian)</t>
  </si>
  <si>
    <t>London : Methuen ; distributed by Harper &amp; Row, Barnes &amp; Noble Export Division, New York, [1973]</t>
  </si>
  <si>
    <t xml:space="preserve">PD </t>
  </si>
  <si>
    <t>2001-11-02</t>
  </si>
  <si>
    <t>1992-04-01</t>
  </si>
  <si>
    <t>726629:eng</t>
  </si>
  <si>
    <t>798148</t>
  </si>
  <si>
    <t>991003273289702656</t>
  </si>
  <si>
    <t>2261277700002656</t>
  </si>
  <si>
    <t>9780416662306</t>
  </si>
  <si>
    <t>32285001030989</t>
  </si>
  <si>
    <t>893246203</t>
  </si>
  <si>
    <t>PD2013 .E4 1989</t>
  </si>
  <si>
    <t>0                      PD 2013000E  4           1989</t>
  </si>
  <si>
    <t>Runes, an introduction / Ralph W.V. Elliott.</t>
  </si>
  <si>
    <t>Elliott, Ralph Warren Victor.</t>
  </si>
  <si>
    <t>Manchester [England] : Manchester University Press ; New York, NY, USA : St. Martin's Press, 1989.</t>
  </si>
  <si>
    <t>1989-11-07</t>
  </si>
  <si>
    <t>10942853:eng</t>
  </si>
  <si>
    <t>18442382</t>
  </si>
  <si>
    <t>991001351619702656</t>
  </si>
  <si>
    <t>2269640160002656</t>
  </si>
  <si>
    <t>9780719030086</t>
  </si>
  <si>
    <t>32285000011899</t>
  </si>
  <si>
    <t>893408056</t>
  </si>
  <si>
    <t>PD64.G7 M5 1970b</t>
  </si>
  <si>
    <t>0                      PD 0064000G  7                  M  5           1970b</t>
  </si>
  <si>
    <t>The brothers Grimm.</t>
  </si>
  <si>
    <t>Michaelis-Jena, Ruth.</t>
  </si>
  <si>
    <t>New York, Praeger [1970]</t>
  </si>
  <si>
    <t>2008-10-09</t>
  </si>
  <si>
    <t>1174357:eng</t>
  </si>
  <si>
    <t>90278</t>
  </si>
  <si>
    <t>991000539629702656</t>
  </si>
  <si>
    <t>2266263610002656</t>
  </si>
  <si>
    <t>32285003226718</t>
  </si>
  <si>
    <t>893528138</t>
  </si>
  <si>
    <t>PD64.G7 P4</t>
  </si>
  <si>
    <t>0                      PD 0064000G  7                  P  4</t>
  </si>
  <si>
    <t>Paths through the forest; a biography of the brothers Grimm [by] Murray B. Peppard.</t>
  </si>
  <si>
    <t>Peppard, Murray B., 1917-</t>
  </si>
  <si>
    <t>New York, Holt, Rinehart and Winston [1971]</t>
  </si>
  <si>
    <t>[1st ed.]</t>
  </si>
  <si>
    <t>1333528:eng</t>
  </si>
  <si>
    <t>148303</t>
  </si>
  <si>
    <t>991000832629702656</t>
  </si>
  <si>
    <t>2259968960002656</t>
  </si>
  <si>
    <t>9780030850769</t>
  </si>
  <si>
    <t>32285003226726</t>
  </si>
  <si>
    <t>893444483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</si>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</sst>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E3917-FC21-4E32-BF85-0A4456C809C7}">
  <dimension ref="A1:BD230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47.25" customHeight="1" x14ac:dyDescent="0.25"/>
  <cols>
    <col min="1" max="1" width="14.85546875" customWidth="1"/>
    <col min="2" max="2" width="15.7109375" customWidth="1"/>
    <col min="3" max="3" width="0" hidden="1" customWidth="1"/>
    <col min="4" max="4" width="58.85546875" customWidth="1"/>
    <col min="6" max="10" width="0" hidden="1" customWidth="1"/>
    <col min="11" max="11" width="22" customWidth="1"/>
    <col min="12" max="12" width="21.710937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6.5703125" customWidth="1"/>
    <col min="32" max="41" width="0" hidden="1" customWidth="1"/>
    <col min="42" max="44" width="9.85546875" customWidth="1"/>
    <col min="47" max="56" width="0" hidden="1" customWidth="1"/>
  </cols>
  <sheetData>
    <row r="1" spans="1:56" ht="47.25" customHeight="1" x14ac:dyDescent="0.25">
      <c r="A1" s="8" t="s">
        <v>3032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7.2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L2" s="2" t="s">
        <v>61</v>
      </c>
      <c r="M2" s="3" t="s">
        <v>62</v>
      </c>
      <c r="O2" s="3" t="s">
        <v>63</v>
      </c>
      <c r="P2" s="3" t="s">
        <v>64</v>
      </c>
      <c r="Q2" s="2" t="s">
        <v>65</v>
      </c>
      <c r="R2" s="3" t="s">
        <v>66</v>
      </c>
      <c r="S2" s="4">
        <v>11</v>
      </c>
      <c r="T2" s="4">
        <v>11</v>
      </c>
      <c r="U2" s="5" t="s">
        <v>67</v>
      </c>
      <c r="V2" s="5" t="s">
        <v>67</v>
      </c>
      <c r="W2" s="5" t="s">
        <v>68</v>
      </c>
      <c r="X2" s="5" t="s">
        <v>68</v>
      </c>
      <c r="Y2" s="4">
        <v>144</v>
      </c>
      <c r="Z2" s="4">
        <v>89</v>
      </c>
      <c r="AA2" s="4">
        <v>89</v>
      </c>
      <c r="AB2" s="4">
        <v>1</v>
      </c>
      <c r="AC2" s="4">
        <v>1</v>
      </c>
      <c r="AD2" s="4">
        <v>6</v>
      </c>
      <c r="AE2" s="4">
        <v>6</v>
      </c>
      <c r="AF2" s="4">
        <v>1</v>
      </c>
      <c r="AG2" s="4">
        <v>1</v>
      </c>
      <c r="AH2" s="4">
        <v>3</v>
      </c>
      <c r="AI2" s="4">
        <v>3</v>
      </c>
      <c r="AJ2" s="4">
        <v>4</v>
      </c>
      <c r="AK2" s="4">
        <v>4</v>
      </c>
      <c r="AL2" s="4">
        <v>0</v>
      </c>
      <c r="AM2" s="4">
        <v>0</v>
      </c>
      <c r="AN2" s="4">
        <v>0</v>
      </c>
      <c r="AO2" s="4">
        <v>0</v>
      </c>
      <c r="AP2" s="3" t="s">
        <v>58</v>
      </c>
      <c r="AQ2" s="3" t="s">
        <v>58</v>
      </c>
      <c r="AS2" s="6" t="str">
        <f>HYPERLINK("https://creighton-primo.hosted.exlibrisgroup.com/primo-explore/search?tab=default_tab&amp;search_scope=EVERYTHING&amp;vid=01CRU&amp;lang=en_US&amp;offset=0&amp;query=any,contains,991001955259702656","Catalog Record")</f>
        <v>Catalog Record</v>
      </c>
      <c r="AT2" s="6" t="str">
        <f>HYPERLINK("http://www.worldcat.org/oclc/35961603","WorldCat Record")</f>
        <v>WorldCat Record</v>
      </c>
      <c r="AU2" s="3" t="s">
        <v>69</v>
      </c>
      <c r="AV2" s="3" t="s">
        <v>70</v>
      </c>
      <c r="AW2" s="3" t="s">
        <v>71</v>
      </c>
      <c r="AX2" s="3" t="s">
        <v>71</v>
      </c>
      <c r="AY2" s="3" t="s">
        <v>72</v>
      </c>
      <c r="AZ2" s="3" t="s">
        <v>73</v>
      </c>
      <c r="BB2" s="3" t="s">
        <v>74</v>
      </c>
      <c r="BC2" s="3" t="s">
        <v>75</v>
      </c>
      <c r="BD2" s="3" t="s">
        <v>76</v>
      </c>
    </row>
    <row r="3" spans="1:56" ht="47.25" customHeight="1" x14ac:dyDescent="0.25">
      <c r="A3" s="7" t="s">
        <v>58</v>
      </c>
      <c r="B3" s="2" t="s">
        <v>77</v>
      </c>
      <c r="C3" s="2" t="s">
        <v>78</v>
      </c>
      <c r="D3" s="2" t="s">
        <v>79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80</v>
      </c>
      <c r="L3" s="2" t="s">
        <v>81</v>
      </c>
      <c r="M3" s="3" t="s">
        <v>82</v>
      </c>
      <c r="O3" s="3" t="s">
        <v>63</v>
      </c>
      <c r="P3" s="3" t="s">
        <v>83</v>
      </c>
      <c r="Q3" s="2" t="s">
        <v>84</v>
      </c>
      <c r="R3" s="3" t="s">
        <v>66</v>
      </c>
      <c r="S3" s="4">
        <v>6</v>
      </c>
      <c r="T3" s="4">
        <v>6</v>
      </c>
      <c r="U3" s="5" t="s">
        <v>85</v>
      </c>
      <c r="V3" s="5" t="s">
        <v>85</v>
      </c>
      <c r="W3" s="5" t="s">
        <v>86</v>
      </c>
      <c r="X3" s="5" t="s">
        <v>86</v>
      </c>
      <c r="Y3" s="4">
        <v>148</v>
      </c>
      <c r="Z3" s="4">
        <v>132</v>
      </c>
      <c r="AA3" s="4">
        <v>259</v>
      </c>
      <c r="AB3" s="4">
        <v>3</v>
      </c>
      <c r="AC3" s="4">
        <v>4</v>
      </c>
      <c r="AD3" s="4">
        <v>10</v>
      </c>
      <c r="AE3" s="4">
        <v>14</v>
      </c>
      <c r="AF3" s="4">
        <v>1</v>
      </c>
      <c r="AG3" s="4">
        <v>1</v>
      </c>
      <c r="AH3" s="4">
        <v>3</v>
      </c>
      <c r="AI3" s="4">
        <v>6</v>
      </c>
      <c r="AJ3" s="4">
        <v>5</v>
      </c>
      <c r="AK3" s="4">
        <v>6</v>
      </c>
      <c r="AL3" s="4">
        <v>2</v>
      </c>
      <c r="AM3" s="4">
        <v>2</v>
      </c>
      <c r="AN3" s="4">
        <v>0</v>
      </c>
      <c r="AO3" s="4">
        <v>0</v>
      </c>
      <c r="AP3" s="3" t="s">
        <v>58</v>
      </c>
      <c r="AQ3" s="3" t="s">
        <v>87</v>
      </c>
      <c r="AR3" s="6" t="str">
        <f>HYPERLINK("http://catalog.hathitrust.org/Record/100783377","HathiTrust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HYPERLINK("https://creighton-primo.hosted.exlibrisgroup.com/primo-explore/search?tab=default_tab&amp;search_scope=EVERYTHING&amp;vid=01CRU&amp;lang=en_US&amp;offset=0&amp;query=any,contains,991000140369702656","Catalog Record")</f>
        <v>Catalog Record</v>
      </c>
      <c r="AT3" s="6" t="str">
        <f>HYPERLINK("http://www.worldcat.org/oclc/57615","WorldCat Record")</f>
        <v>WorldCat Record</v>
      </c>
      <c r="AU3" s="3" t="s">
        <v>88</v>
      </c>
      <c r="AV3" s="3" t="s">
        <v>89</v>
      </c>
      <c r="AW3" s="3" t="s">
        <v>90</v>
      </c>
      <c r="AX3" s="3" t="s">
        <v>90</v>
      </c>
      <c r="AY3" s="3" t="s">
        <v>91</v>
      </c>
      <c r="AZ3" s="3" t="s">
        <v>73</v>
      </c>
      <c r="BB3" s="3" t="s">
        <v>92</v>
      </c>
      <c r="BC3" s="3" t="s">
        <v>93</v>
      </c>
      <c r="BD3" s="3" t="s">
        <v>94</v>
      </c>
    </row>
    <row r="4" spans="1:56" ht="47.25" customHeight="1" x14ac:dyDescent="0.25">
      <c r="A4" s="7" t="s">
        <v>58</v>
      </c>
      <c r="B4" s="2" t="s">
        <v>95</v>
      </c>
      <c r="C4" s="2" t="s">
        <v>96</v>
      </c>
      <c r="D4" s="2" t="s">
        <v>97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98</v>
      </c>
      <c r="L4" s="2" t="s">
        <v>99</v>
      </c>
      <c r="N4" s="2" t="s">
        <v>100</v>
      </c>
      <c r="O4" s="3" t="s">
        <v>63</v>
      </c>
      <c r="P4" s="3" t="s">
        <v>101</v>
      </c>
      <c r="Q4" s="2" t="s">
        <v>102</v>
      </c>
      <c r="R4" s="3" t="s">
        <v>66</v>
      </c>
      <c r="S4" s="4">
        <v>9</v>
      </c>
      <c r="T4" s="4">
        <v>9</v>
      </c>
      <c r="U4" s="5" t="s">
        <v>103</v>
      </c>
      <c r="V4" s="5" t="s">
        <v>103</v>
      </c>
      <c r="W4" s="5" t="s">
        <v>104</v>
      </c>
      <c r="X4" s="5" t="s">
        <v>104</v>
      </c>
      <c r="Y4" s="4">
        <v>25</v>
      </c>
      <c r="Z4" s="4">
        <v>24</v>
      </c>
      <c r="AA4" s="4">
        <v>68</v>
      </c>
      <c r="AB4" s="4">
        <v>1</v>
      </c>
      <c r="AC4" s="4">
        <v>1</v>
      </c>
      <c r="AD4" s="4">
        <v>0</v>
      </c>
      <c r="AE4" s="4">
        <v>3</v>
      </c>
      <c r="AF4" s="4">
        <v>0</v>
      </c>
      <c r="AG4" s="4">
        <v>0</v>
      </c>
      <c r="AH4" s="4">
        <v>0</v>
      </c>
      <c r="AI4" s="4">
        <v>2</v>
      </c>
      <c r="AJ4" s="4">
        <v>0</v>
      </c>
      <c r="AK4" s="4">
        <v>2</v>
      </c>
      <c r="AL4" s="4">
        <v>0</v>
      </c>
      <c r="AM4" s="4">
        <v>0</v>
      </c>
      <c r="AN4" s="4">
        <v>0</v>
      </c>
      <c r="AO4" s="4">
        <v>0</v>
      </c>
      <c r="AP4" s="3" t="s">
        <v>58</v>
      </c>
      <c r="AQ4" s="3" t="s">
        <v>58</v>
      </c>
      <c r="AS4" s="6" t="str">
        <f>HYPERLINK("https://creighton-primo.hosted.exlibrisgroup.com/primo-explore/search?tab=default_tab&amp;search_scope=EVERYTHING&amp;vid=01CRU&amp;lang=en_US&amp;offset=0&amp;query=any,contains,991005005439702656","Catalog Record")</f>
        <v>Catalog Record</v>
      </c>
      <c r="AT4" s="6" t="str">
        <f>HYPERLINK("http://www.worldcat.org/oclc/6563713","WorldCat Record")</f>
        <v>WorldCat Record</v>
      </c>
      <c r="AU4" s="3" t="s">
        <v>105</v>
      </c>
      <c r="AV4" s="3" t="s">
        <v>106</v>
      </c>
      <c r="AW4" s="3" t="s">
        <v>107</v>
      </c>
      <c r="AX4" s="3" t="s">
        <v>107</v>
      </c>
      <c r="AY4" s="3" t="s">
        <v>108</v>
      </c>
      <c r="AZ4" s="3" t="s">
        <v>73</v>
      </c>
      <c r="BC4" s="3" t="s">
        <v>109</v>
      </c>
      <c r="BD4" s="3" t="s">
        <v>110</v>
      </c>
    </row>
    <row r="5" spans="1:56" ht="47.25" customHeight="1" x14ac:dyDescent="0.25">
      <c r="A5" s="7" t="s">
        <v>58</v>
      </c>
      <c r="B5" s="2" t="s">
        <v>111</v>
      </c>
      <c r="C5" s="2" t="s">
        <v>112</v>
      </c>
      <c r="D5" s="2" t="s">
        <v>113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114</v>
      </c>
      <c r="L5" s="2" t="s">
        <v>115</v>
      </c>
      <c r="M5" s="3" t="s">
        <v>116</v>
      </c>
      <c r="O5" s="3" t="s">
        <v>63</v>
      </c>
      <c r="P5" s="3" t="s">
        <v>117</v>
      </c>
      <c r="R5" s="3" t="s">
        <v>66</v>
      </c>
      <c r="S5" s="4">
        <v>3</v>
      </c>
      <c r="T5" s="4">
        <v>3</v>
      </c>
      <c r="U5" s="5" t="s">
        <v>118</v>
      </c>
      <c r="V5" s="5" t="s">
        <v>118</v>
      </c>
      <c r="W5" s="5" t="s">
        <v>119</v>
      </c>
      <c r="X5" s="5" t="s">
        <v>119</v>
      </c>
      <c r="Y5" s="4">
        <v>331</v>
      </c>
      <c r="Z5" s="4">
        <v>251</v>
      </c>
      <c r="AA5" s="4">
        <v>254</v>
      </c>
      <c r="AB5" s="4">
        <v>3</v>
      </c>
      <c r="AC5" s="4">
        <v>3</v>
      </c>
      <c r="AD5" s="4">
        <v>10</v>
      </c>
      <c r="AE5" s="4">
        <v>10</v>
      </c>
      <c r="AF5" s="4">
        <v>2</v>
      </c>
      <c r="AG5" s="4">
        <v>2</v>
      </c>
      <c r="AH5" s="4">
        <v>2</v>
      </c>
      <c r="AI5" s="4">
        <v>2</v>
      </c>
      <c r="AJ5" s="4">
        <v>5</v>
      </c>
      <c r="AK5" s="4">
        <v>5</v>
      </c>
      <c r="AL5" s="4">
        <v>2</v>
      </c>
      <c r="AM5" s="4">
        <v>2</v>
      </c>
      <c r="AN5" s="4">
        <v>0</v>
      </c>
      <c r="AO5" s="4">
        <v>0</v>
      </c>
      <c r="AP5" s="3" t="s">
        <v>58</v>
      </c>
      <c r="AQ5" s="3" t="s">
        <v>87</v>
      </c>
      <c r="AR5" s="6" t="str">
        <f>HYPERLINK("http://catalog.hathitrust.org/Record/001182381","HathiTrust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HYPERLINK("https://creighton-primo.hosted.exlibrisgroup.com/primo-explore/search?tab=default_tab&amp;search_scope=EVERYTHING&amp;vid=01CRU&amp;lang=en_US&amp;offset=0&amp;query=any,contains,991001382289702656","Catalog Record")</f>
        <v>Catalog Record</v>
      </c>
      <c r="AT5" s="6" t="str">
        <f>HYPERLINK("http://www.worldcat.org/oclc/226319","WorldCat Record")</f>
        <v>WorldCat Record</v>
      </c>
      <c r="AU5" s="3" t="s">
        <v>120</v>
      </c>
      <c r="AV5" s="3" t="s">
        <v>121</v>
      </c>
      <c r="AW5" s="3" t="s">
        <v>122</v>
      </c>
      <c r="AX5" s="3" t="s">
        <v>122</v>
      </c>
      <c r="AY5" s="3" t="s">
        <v>123</v>
      </c>
      <c r="AZ5" s="3" t="s">
        <v>73</v>
      </c>
      <c r="BB5" s="3" t="s">
        <v>124</v>
      </c>
      <c r="BC5" s="3" t="s">
        <v>125</v>
      </c>
      <c r="BD5" s="3" t="s">
        <v>126</v>
      </c>
    </row>
    <row r="6" spans="1:56" ht="47.25" customHeight="1" x14ac:dyDescent="0.25">
      <c r="A6" s="7" t="s">
        <v>58</v>
      </c>
      <c r="B6" s="2" t="s">
        <v>127</v>
      </c>
      <c r="C6" s="2" t="s">
        <v>128</v>
      </c>
      <c r="D6" s="2" t="s">
        <v>129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L6" s="2" t="s">
        <v>130</v>
      </c>
      <c r="M6" s="3" t="s">
        <v>131</v>
      </c>
      <c r="N6" s="2" t="s">
        <v>132</v>
      </c>
      <c r="O6" s="3" t="s">
        <v>63</v>
      </c>
      <c r="P6" s="3" t="s">
        <v>64</v>
      </c>
      <c r="Q6" s="2" t="s">
        <v>133</v>
      </c>
      <c r="R6" s="3" t="s">
        <v>66</v>
      </c>
      <c r="S6" s="4">
        <v>6</v>
      </c>
      <c r="T6" s="4">
        <v>6</v>
      </c>
      <c r="U6" s="5" t="s">
        <v>67</v>
      </c>
      <c r="V6" s="5" t="s">
        <v>67</v>
      </c>
      <c r="W6" s="5" t="s">
        <v>134</v>
      </c>
      <c r="X6" s="5" t="s">
        <v>134</v>
      </c>
      <c r="Y6" s="4">
        <v>479</v>
      </c>
      <c r="Z6" s="4">
        <v>309</v>
      </c>
      <c r="AA6" s="4">
        <v>691</v>
      </c>
      <c r="AB6" s="4">
        <v>2</v>
      </c>
      <c r="AC6" s="4">
        <v>6</v>
      </c>
      <c r="AD6" s="4">
        <v>10</v>
      </c>
      <c r="AE6" s="4">
        <v>34</v>
      </c>
      <c r="AF6" s="4">
        <v>4</v>
      </c>
      <c r="AG6" s="4">
        <v>12</v>
      </c>
      <c r="AH6" s="4">
        <v>1</v>
      </c>
      <c r="AI6" s="4">
        <v>10</v>
      </c>
      <c r="AJ6" s="4">
        <v>7</v>
      </c>
      <c r="AK6" s="4">
        <v>18</v>
      </c>
      <c r="AL6" s="4">
        <v>1</v>
      </c>
      <c r="AM6" s="4">
        <v>5</v>
      </c>
      <c r="AN6" s="4">
        <v>0</v>
      </c>
      <c r="AO6" s="4">
        <v>0</v>
      </c>
      <c r="AP6" s="3" t="s">
        <v>58</v>
      </c>
      <c r="AQ6" s="3" t="s">
        <v>58</v>
      </c>
      <c r="AS6" s="6" t="str">
        <f>HYPERLINK("https://creighton-primo.hosted.exlibrisgroup.com/primo-explore/search?tab=default_tab&amp;search_scope=EVERYTHING&amp;vid=01CRU&amp;lang=en_US&amp;offset=0&amp;query=any,contains,991002110499702656","Catalog Record")</f>
        <v>Catalog Record</v>
      </c>
      <c r="AT6" s="6" t="str">
        <f>HYPERLINK("http://www.worldcat.org/oclc/267191","WorldCat Record")</f>
        <v>WorldCat Record</v>
      </c>
      <c r="AU6" s="3" t="s">
        <v>135</v>
      </c>
      <c r="AV6" s="3" t="s">
        <v>136</v>
      </c>
      <c r="AW6" s="3" t="s">
        <v>137</v>
      </c>
      <c r="AX6" s="3" t="s">
        <v>137</v>
      </c>
      <c r="AY6" s="3" t="s">
        <v>138</v>
      </c>
      <c r="AZ6" s="3" t="s">
        <v>73</v>
      </c>
      <c r="BB6" s="3" t="s">
        <v>139</v>
      </c>
      <c r="BC6" s="3" t="s">
        <v>140</v>
      </c>
      <c r="BD6" s="3" t="s">
        <v>141</v>
      </c>
    </row>
    <row r="7" spans="1:56" ht="47.25" customHeight="1" x14ac:dyDescent="0.25">
      <c r="A7" s="7" t="s">
        <v>58</v>
      </c>
      <c r="B7" s="2" t="s">
        <v>142</v>
      </c>
      <c r="C7" s="2" t="s">
        <v>143</v>
      </c>
      <c r="D7" s="2" t="s">
        <v>144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145</v>
      </c>
      <c r="L7" s="2" t="s">
        <v>146</v>
      </c>
      <c r="M7" s="3" t="s">
        <v>147</v>
      </c>
      <c r="O7" s="3" t="s">
        <v>63</v>
      </c>
      <c r="P7" s="3" t="s">
        <v>148</v>
      </c>
      <c r="Q7" s="2" t="s">
        <v>149</v>
      </c>
      <c r="R7" s="3" t="s">
        <v>66</v>
      </c>
      <c r="S7" s="4">
        <v>7</v>
      </c>
      <c r="T7" s="4">
        <v>7</v>
      </c>
      <c r="U7" s="5" t="s">
        <v>150</v>
      </c>
      <c r="V7" s="5" t="s">
        <v>150</v>
      </c>
      <c r="W7" s="5" t="s">
        <v>151</v>
      </c>
      <c r="X7" s="5" t="s">
        <v>151</v>
      </c>
      <c r="Y7" s="4">
        <v>123</v>
      </c>
      <c r="Z7" s="4">
        <v>91</v>
      </c>
      <c r="AA7" s="4">
        <v>367</v>
      </c>
      <c r="AB7" s="4">
        <v>1</v>
      </c>
      <c r="AC7" s="4">
        <v>4</v>
      </c>
      <c r="AD7" s="4">
        <v>3</v>
      </c>
      <c r="AE7" s="4">
        <v>25</v>
      </c>
      <c r="AF7" s="4">
        <v>0</v>
      </c>
      <c r="AG7" s="4">
        <v>7</v>
      </c>
      <c r="AH7" s="4">
        <v>2</v>
      </c>
      <c r="AI7" s="4">
        <v>6</v>
      </c>
      <c r="AJ7" s="4">
        <v>1</v>
      </c>
      <c r="AK7" s="4">
        <v>15</v>
      </c>
      <c r="AL7" s="4">
        <v>0</v>
      </c>
      <c r="AM7" s="4">
        <v>3</v>
      </c>
      <c r="AN7" s="4">
        <v>0</v>
      </c>
      <c r="AO7" s="4">
        <v>0</v>
      </c>
      <c r="AP7" s="3" t="s">
        <v>87</v>
      </c>
      <c r="AQ7" s="3" t="s">
        <v>58</v>
      </c>
      <c r="AR7" s="6" t="str">
        <f>HYPERLINK("http://catalog.hathitrust.org/Record/006144584","HathiTrust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HYPERLINK("https://creighton-primo.hosted.exlibrisgroup.com/primo-explore/search?tab=default_tab&amp;search_scope=EVERYTHING&amp;vid=01CRU&amp;lang=en_US&amp;offset=0&amp;query=any,contains,991004258649702656","Catalog Record")</f>
        <v>Catalog Record</v>
      </c>
      <c r="AT7" s="6" t="str">
        <f>HYPERLINK("http://www.worldcat.org/oclc/2495909","WorldCat Record")</f>
        <v>WorldCat Record</v>
      </c>
      <c r="AU7" s="3" t="s">
        <v>152</v>
      </c>
      <c r="AV7" s="3" t="s">
        <v>153</v>
      </c>
      <c r="AW7" s="3" t="s">
        <v>154</v>
      </c>
      <c r="AX7" s="3" t="s">
        <v>154</v>
      </c>
      <c r="AY7" s="3" t="s">
        <v>155</v>
      </c>
      <c r="AZ7" s="3" t="s">
        <v>73</v>
      </c>
      <c r="BC7" s="3" t="s">
        <v>156</v>
      </c>
      <c r="BD7" s="3" t="s">
        <v>157</v>
      </c>
    </row>
    <row r="8" spans="1:56" ht="47.25" customHeight="1" x14ac:dyDescent="0.25">
      <c r="A8" s="7" t="s">
        <v>58</v>
      </c>
      <c r="B8" s="2" t="s">
        <v>158</v>
      </c>
      <c r="C8" s="2" t="s">
        <v>159</v>
      </c>
      <c r="D8" s="2" t="s">
        <v>160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161</v>
      </c>
      <c r="L8" s="2" t="s">
        <v>162</v>
      </c>
      <c r="M8" s="3" t="s">
        <v>62</v>
      </c>
      <c r="O8" s="3" t="s">
        <v>63</v>
      </c>
      <c r="P8" s="3" t="s">
        <v>83</v>
      </c>
      <c r="R8" s="3" t="s">
        <v>66</v>
      </c>
      <c r="S8" s="4">
        <v>5</v>
      </c>
      <c r="T8" s="4">
        <v>5</v>
      </c>
      <c r="U8" s="5" t="s">
        <v>163</v>
      </c>
      <c r="V8" s="5" t="s">
        <v>163</v>
      </c>
      <c r="W8" s="5" t="s">
        <v>164</v>
      </c>
      <c r="X8" s="5" t="s">
        <v>164</v>
      </c>
      <c r="Y8" s="4">
        <v>26</v>
      </c>
      <c r="Z8" s="4">
        <v>15</v>
      </c>
      <c r="AA8" s="4">
        <v>15</v>
      </c>
      <c r="AB8" s="4">
        <v>1</v>
      </c>
      <c r="AC8" s="4">
        <v>1</v>
      </c>
      <c r="AD8" s="4">
        <v>3</v>
      </c>
      <c r="AE8" s="4">
        <v>3</v>
      </c>
      <c r="AF8" s="4">
        <v>0</v>
      </c>
      <c r="AG8" s="4">
        <v>0</v>
      </c>
      <c r="AH8" s="4">
        <v>1</v>
      </c>
      <c r="AI8" s="4">
        <v>1</v>
      </c>
      <c r="AJ8" s="4">
        <v>2</v>
      </c>
      <c r="AK8" s="4">
        <v>2</v>
      </c>
      <c r="AL8" s="4">
        <v>0</v>
      </c>
      <c r="AM8" s="4">
        <v>0</v>
      </c>
      <c r="AN8" s="4">
        <v>0</v>
      </c>
      <c r="AO8" s="4">
        <v>0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HYPERLINK("https://creighton-primo.hosted.exlibrisgroup.com/primo-explore/search?tab=default_tab&amp;search_scope=EVERYTHING&amp;vid=01CRU&amp;lang=en_US&amp;offset=0&amp;query=any,contains,991002146539702656","Catalog Record")</f>
        <v>Catalog Record</v>
      </c>
      <c r="AT8" s="6" t="str">
        <f>HYPERLINK("http://www.worldcat.org/oclc/27666022","WorldCat Record")</f>
        <v>WorldCat Record</v>
      </c>
      <c r="AU8" s="3" t="s">
        <v>165</v>
      </c>
      <c r="AV8" s="3" t="s">
        <v>166</v>
      </c>
      <c r="AW8" s="3" t="s">
        <v>167</v>
      </c>
      <c r="AX8" s="3" t="s">
        <v>167</v>
      </c>
      <c r="AY8" s="3" t="s">
        <v>168</v>
      </c>
      <c r="AZ8" s="3" t="s">
        <v>73</v>
      </c>
      <c r="BC8" s="3" t="s">
        <v>169</v>
      </c>
      <c r="BD8" s="3" t="s">
        <v>170</v>
      </c>
    </row>
    <row r="9" spans="1:56" ht="47.25" customHeight="1" x14ac:dyDescent="0.25">
      <c r="A9" s="7" t="s">
        <v>58</v>
      </c>
      <c r="B9" s="2" t="s">
        <v>171</v>
      </c>
      <c r="C9" s="2" t="s">
        <v>172</v>
      </c>
      <c r="D9" s="2" t="s">
        <v>173</v>
      </c>
      <c r="E9" s="3" t="s">
        <v>174</v>
      </c>
      <c r="F9" s="3" t="s">
        <v>87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175</v>
      </c>
      <c r="L9" s="2" t="s">
        <v>176</v>
      </c>
      <c r="M9" s="3" t="s">
        <v>177</v>
      </c>
      <c r="O9" s="3" t="s">
        <v>63</v>
      </c>
      <c r="P9" s="3" t="s">
        <v>178</v>
      </c>
      <c r="R9" s="3" t="s">
        <v>66</v>
      </c>
      <c r="S9" s="4">
        <v>7</v>
      </c>
      <c r="T9" s="4">
        <v>7</v>
      </c>
      <c r="U9" s="5" t="s">
        <v>67</v>
      </c>
      <c r="V9" s="5" t="s">
        <v>67</v>
      </c>
      <c r="W9" s="5" t="s">
        <v>179</v>
      </c>
      <c r="X9" s="5" t="s">
        <v>179</v>
      </c>
      <c r="Y9" s="4">
        <v>139</v>
      </c>
      <c r="Z9" s="4">
        <v>91</v>
      </c>
      <c r="AA9" s="4">
        <v>130</v>
      </c>
      <c r="AB9" s="4">
        <v>1</v>
      </c>
      <c r="AC9" s="4">
        <v>1</v>
      </c>
      <c r="AD9" s="4">
        <v>15</v>
      </c>
      <c r="AE9" s="4">
        <v>15</v>
      </c>
      <c r="AF9" s="4">
        <v>2</v>
      </c>
      <c r="AG9" s="4">
        <v>2</v>
      </c>
      <c r="AH9" s="4">
        <v>5</v>
      </c>
      <c r="AI9" s="4">
        <v>5</v>
      </c>
      <c r="AJ9" s="4">
        <v>11</v>
      </c>
      <c r="AK9" s="4">
        <v>11</v>
      </c>
      <c r="AL9" s="4">
        <v>0</v>
      </c>
      <c r="AM9" s="4">
        <v>0</v>
      </c>
      <c r="AN9" s="4">
        <v>0</v>
      </c>
      <c r="AO9" s="4">
        <v>0</v>
      </c>
      <c r="AP9" s="3" t="s">
        <v>87</v>
      </c>
      <c r="AQ9" s="3" t="s">
        <v>58</v>
      </c>
      <c r="AR9" s="6" t="str">
        <f>HYPERLINK("http://catalog.hathitrust.org/Record/007645884","HathiTrust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HYPERLINK("https://creighton-primo.hosted.exlibrisgroup.com/primo-explore/search?tab=default_tab&amp;search_scope=EVERYTHING&amp;vid=01CRU&amp;lang=en_US&amp;offset=0&amp;query=any,contains,991004418629702656","Catalog Record")</f>
        <v>Catalog Record</v>
      </c>
      <c r="AT9" s="6" t="str">
        <f>HYPERLINK("http://www.worldcat.org/oclc/3374885","WorldCat Record")</f>
        <v>WorldCat Record</v>
      </c>
      <c r="AU9" s="3" t="s">
        <v>180</v>
      </c>
      <c r="AV9" s="3" t="s">
        <v>181</v>
      </c>
      <c r="AW9" s="3" t="s">
        <v>182</v>
      </c>
      <c r="AX9" s="3" t="s">
        <v>182</v>
      </c>
      <c r="AY9" s="3" t="s">
        <v>183</v>
      </c>
      <c r="AZ9" s="3" t="s">
        <v>73</v>
      </c>
      <c r="BC9" s="3" t="s">
        <v>184</v>
      </c>
      <c r="BD9" s="3" t="s">
        <v>185</v>
      </c>
    </row>
    <row r="10" spans="1:56" ht="47.25" customHeight="1" x14ac:dyDescent="0.25">
      <c r="A10" s="7" t="s">
        <v>58</v>
      </c>
      <c r="B10" s="2" t="s">
        <v>171</v>
      </c>
      <c r="C10" s="2" t="s">
        <v>172</v>
      </c>
      <c r="D10" s="2" t="s">
        <v>173</v>
      </c>
      <c r="E10" s="3" t="s">
        <v>186</v>
      </c>
      <c r="F10" s="3" t="s">
        <v>87</v>
      </c>
      <c r="G10" s="3" t="s">
        <v>59</v>
      </c>
      <c r="H10" s="3" t="s">
        <v>58</v>
      </c>
      <c r="I10" s="3" t="s">
        <v>58</v>
      </c>
      <c r="J10" s="3" t="s">
        <v>60</v>
      </c>
      <c r="K10" s="2" t="s">
        <v>175</v>
      </c>
      <c r="L10" s="2" t="s">
        <v>176</v>
      </c>
      <c r="M10" s="3" t="s">
        <v>177</v>
      </c>
      <c r="O10" s="3" t="s">
        <v>63</v>
      </c>
      <c r="P10" s="3" t="s">
        <v>178</v>
      </c>
      <c r="R10" s="3" t="s">
        <v>66</v>
      </c>
      <c r="S10" s="4">
        <v>0</v>
      </c>
      <c r="T10" s="4">
        <v>7</v>
      </c>
      <c r="V10" s="5" t="s">
        <v>67</v>
      </c>
      <c r="W10" s="5" t="s">
        <v>179</v>
      </c>
      <c r="X10" s="5" t="s">
        <v>179</v>
      </c>
      <c r="Y10" s="4">
        <v>139</v>
      </c>
      <c r="Z10" s="4">
        <v>91</v>
      </c>
      <c r="AA10" s="4">
        <v>130</v>
      </c>
      <c r="AB10" s="4">
        <v>1</v>
      </c>
      <c r="AC10" s="4">
        <v>1</v>
      </c>
      <c r="AD10" s="4">
        <v>15</v>
      </c>
      <c r="AE10" s="4">
        <v>15</v>
      </c>
      <c r="AF10" s="4">
        <v>2</v>
      </c>
      <c r="AG10" s="4">
        <v>2</v>
      </c>
      <c r="AH10" s="4">
        <v>5</v>
      </c>
      <c r="AI10" s="4">
        <v>5</v>
      </c>
      <c r="AJ10" s="4">
        <v>11</v>
      </c>
      <c r="AK10" s="4">
        <v>11</v>
      </c>
      <c r="AL10" s="4">
        <v>0</v>
      </c>
      <c r="AM10" s="4">
        <v>0</v>
      </c>
      <c r="AN10" s="4">
        <v>0</v>
      </c>
      <c r="AO10" s="4">
        <v>0</v>
      </c>
      <c r="AP10" s="3" t="s">
        <v>87</v>
      </c>
      <c r="AQ10" s="3" t="s">
        <v>58</v>
      </c>
      <c r="AR10" s="6" t="str">
        <f>HYPERLINK("http://catalog.hathitrust.org/Record/007645884","HathiTrust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HYPERLINK("https://creighton-primo.hosted.exlibrisgroup.com/primo-explore/search?tab=default_tab&amp;search_scope=EVERYTHING&amp;vid=01CRU&amp;lang=en_US&amp;offset=0&amp;query=any,contains,991004418629702656","Catalog Record")</f>
        <v>Catalog Record</v>
      </c>
      <c r="AT10" s="6" t="str">
        <f>HYPERLINK("http://www.worldcat.org/oclc/3374885","WorldCat Record")</f>
        <v>WorldCat Record</v>
      </c>
      <c r="AU10" s="3" t="s">
        <v>180</v>
      </c>
      <c r="AV10" s="3" t="s">
        <v>181</v>
      </c>
      <c r="AW10" s="3" t="s">
        <v>182</v>
      </c>
      <c r="AX10" s="3" t="s">
        <v>182</v>
      </c>
      <c r="AY10" s="3" t="s">
        <v>183</v>
      </c>
      <c r="AZ10" s="3" t="s">
        <v>73</v>
      </c>
      <c r="BC10" s="3" t="s">
        <v>187</v>
      </c>
      <c r="BD10" s="3" t="s">
        <v>188</v>
      </c>
    </row>
    <row r="11" spans="1:56" ht="47.25" customHeight="1" x14ac:dyDescent="0.25">
      <c r="A11" s="7" t="s">
        <v>58</v>
      </c>
      <c r="B11" s="2" t="s">
        <v>189</v>
      </c>
      <c r="C11" s="2" t="s">
        <v>190</v>
      </c>
      <c r="D11" s="2" t="s">
        <v>191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192</v>
      </c>
      <c r="L11" s="2" t="s">
        <v>193</v>
      </c>
      <c r="M11" s="3" t="s">
        <v>82</v>
      </c>
      <c r="O11" s="3" t="s">
        <v>63</v>
      </c>
      <c r="P11" s="3" t="s">
        <v>83</v>
      </c>
      <c r="Q11" s="2" t="s">
        <v>194</v>
      </c>
      <c r="R11" s="3" t="s">
        <v>66</v>
      </c>
      <c r="S11" s="4">
        <v>6</v>
      </c>
      <c r="T11" s="4">
        <v>6</v>
      </c>
      <c r="U11" s="5" t="s">
        <v>195</v>
      </c>
      <c r="V11" s="5" t="s">
        <v>195</v>
      </c>
      <c r="W11" s="5" t="s">
        <v>134</v>
      </c>
      <c r="X11" s="5" t="s">
        <v>134</v>
      </c>
      <c r="Y11" s="4">
        <v>187</v>
      </c>
      <c r="Z11" s="4">
        <v>166</v>
      </c>
      <c r="AA11" s="4">
        <v>237</v>
      </c>
      <c r="AB11" s="4">
        <v>3</v>
      </c>
      <c r="AC11" s="4">
        <v>3</v>
      </c>
      <c r="AD11" s="4">
        <v>8</v>
      </c>
      <c r="AE11" s="4">
        <v>20</v>
      </c>
      <c r="AF11" s="4">
        <v>1</v>
      </c>
      <c r="AG11" s="4">
        <v>3</v>
      </c>
      <c r="AH11" s="4">
        <v>2</v>
      </c>
      <c r="AI11" s="4">
        <v>6</v>
      </c>
      <c r="AJ11" s="4">
        <v>3</v>
      </c>
      <c r="AK11" s="4">
        <v>12</v>
      </c>
      <c r="AL11" s="4">
        <v>2</v>
      </c>
      <c r="AM11" s="4">
        <v>2</v>
      </c>
      <c r="AN11" s="4">
        <v>0</v>
      </c>
      <c r="AO11" s="4">
        <v>0</v>
      </c>
      <c r="AP11" s="3" t="s">
        <v>58</v>
      </c>
      <c r="AQ11" s="3" t="s">
        <v>87</v>
      </c>
      <c r="AR11" s="6" t="str">
        <f>HYPERLINK("http://catalog.hathitrust.org/Record/001370767","HathiTrust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HYPERLINK("https://creighton-primo.hosted.exlibrisgroup.com/primo-explore/search?tab=default_tab&amp;search_scope=EVERYTHING&amp;vid=01CRU&amp;lang=en_US&amp;offset=0&amp;query=any,contains,991000131669702656","Catalog Record")</f>
        <v>Catalog Record</v>
      </c>
      <c r="AT11" s="6" t="str">
        <f>HYPERLINK("http://www.worldcat.org/oclc/54385","WorldCat Record")</f>
        <v>WorldCat Record</v>
      </c>
      <c r="AU11" s="3" t="s">
        <v>196</v>
      </c>
      <c r="AV11" s="3" t="s">
        <v>197</v>
      </c>
      <c r="AW11" s="3" t="s">
        <v>198</v>
      </c>
      <c r="AX11" s="3" t="s">
        <v>198</v>
      </c>
      <c r="AY11" s="3" t="s">
        <v>199</v>
      </c>
      <c r="AZ11" s="3" t="s">
        <v>73</v>
      </c>
      <c r="BB11" s="3" t="s">
        <v>200</v>
      </c>
      <c r="BC11" s="3" t="s">
        <v>201</v>
      </c>
      <c r="BD11" s="3" t="s">
        <v>202</v>
      </c>
    </row>
    <row r="12" spans="1:56" ht="47.25" customHeight="1" x14ac:dyDescent="0.25">
      <c r="A12" s="7" t="s">
        <v>58</v>
      </c>
      <c r="B12" s="2" t="s">
        <v>203</v>
      </c>
      <c r="C12" s="2" t="s">
        <v>204</v>
      </c>
      <c r="D12" s="2" t="s">
        <v>205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206</v>
      </c>
      <c r="L12" s="2" t="s">
        <v>207</v>
      </c>
      <c r="M12" s="3" t="s">
        <v>208</v>
      </c>
      <c r="O12" s="3" t="s">
        <v>63</v>
      </c>
      <c r="P12" s="3" t="s">
        <v>64</v>
      </c>
      <c r="R12" s="3" t="s">
        <v>66</v>
      </c>
      <c r="S12" s="4">
        <v>36</v>
      </c>
      <c r="T12" s="4">
        <v>36</v>
      </c>
      <c r="U12" s="5" t="s">
        <v>209</v>
      </c>
      <c r="V12" s="5" t="s">
        <v>209</v>
      </c>
      <c r="W12" s="5" t="s">
        <v>210</v>
      </c>
      <c r="X12" s="5" t="s">
        <v>210</v>
      </c>
      <c r="Y12" s="4">
        <v>610</v>
      </c>
      <c r="Z12" s="4">
        <v>466</v>
      </c>
      <c r="AA12" s="4">
        <v>529</v>
      </c>
      <c r="AB12" s="4">
        <v>5</v>
      </c>
      <c r="AC12" s="4">
        <v>5</v>
      </c>
      <c r="AD12" s="4">
        <v>29</v>
      </c>
      <c r="AE12" s="4">
        <v>32</v>
      </c>
      <c r="AF12" s="4">
        <v>12</v>
      </c>
      <c r="AG12" s="4">
        <v>14</v>
      </c>
      <c r="AH12" s="4">
        <v>5</v>
      </c>
      <c r="AI12" s="4">
        <v>6</v>
      </c>
      <c r="AJ12" s="4">
        <v>17</v>
      </c>
      <c r="AK12" s="4">
        <v>19</v>
      </c>
      <c r="AL12" s="4">
        <v>4</v>
      </c>
      <c r="AM12" s="4">
        <v>4</v>
      </c>
      <c r="AN12" s="4">
        <v>0</v>
      </c>
      <c r="AO12" s="4">
        <v>0</v>
      </c>
      <c r="AP12" s="3" t="s">
        <v>58</v>
      </c>
      <c r="AQ12" s="3" t="s">
        <v>87</v>
      </c>
      <c r="AR12" s="6" t="str">
        <f>HYPERLINK("http://catalog.hathitrust.org/Record/000401924","HathiTrust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HYPERLINK("https://creighton-primo.hosted.exlibrisgroup.com/primo-explore/search?tab=default_tab&amp;search_scope=EVERYTHING&amp;vid=01CRU&amp;lang=en_US&amp;offset=0&amp;query=any,contains,991000846929702656","Catalog Record")</f>
        <v>Catalog Record</v>
      </c>
      <c r="AT12" s="6" t="str">
        <f>HYPERLINK("http://www.worldcat.org/oclc/13563537","WorldCat Record")</f>
        <v>WorldCat Record</v>
      </c>
      <c r="AU12" s="3" t="s">
        <v>211</v>
      </c>
      <c r="AV12" s="3" t="s">
        <v>212</v>
      </c>
      <c r="AW12" s="3" t="s">
        <v>213</v>
      </c>
      <c r="AX12" s="3" t="s">
        <v>213</v>
      </c>
      <c r="AY12" s="3" t="s">
        <v>214</v>
      </c>
      <c r="AZ12" s="3" t="s">
        <v>73</v>
      </c>
      <c r="BB12" s="3" t="s">
        <v>215</v>
      </c>
      <c r="BC12" s="3" t="s">
        <v>216</v>
      </c>
      <c r="BD12" s="3" t="s">
        <v>217</v>
      </c>
    </row>
    <row r="13" spans="1:56" ht="47.25" customHeight="1" x14ac:dyDescent="0.25">
      <c r="A13" s="7" t="s">
        <v>58</v>
      </c>
      <c r="B13" s="2" t="s">
        <v>218</v>
      </c>
      <c r="C13" s="2" t="s">
        <v>219</v>
      </c>
      <c r="D13" s="2" t="s">
        <v>220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221</v>
      </c>
      <c r="L13" s="2" t="s">
        <v>222</v>
      </c>
      <c r="M13" s="3" t="s">
        <v>223</v>
      </c>
      <c r="N13" s="2" t="s">
        <v>224</v>
      </c>
      <c r="O13" s="3" t="s">
        <v>63</v>
      </c>
      <c r="P13" s="3" t="s">
        <v>83</v>
      </c>
      <c r="Q13" s="2" t="s">
        <v>225</v>
      </c>
      <c r="R13" s="3" t="s">
        <v>66</v>
      </c>
      <c r="S13" s="4">
        <v>6</v>
      </c>
      <c r="T13" s="4">
        <v>6</v>
      </c>
      <c r="U13" s="5" t="s">
        <v>226</v>
      </c>
      <c r="V13" s="5" t="s">
        <v>226</v>
      </c>
      <c r="W13" s="5" t="s">
        <v>227</v>
      </c>
      <c r="X13" s="5" t="s">
        <v>227</v>
      </c>
      <c r="Y13" s="4">
        <v>10</v>
      </c>
      <c r="Z13" s="4">
        <v>10</v>
      </c>
      <c r="AA13" s="4">
        <v>692</v>
      </c>
      <c r="AB13" s="4">
        <v>1</v>
      </c>
      <c r="AC13" s="4">
        <v>5</v>
      </c>
      <c r="AD13" s="4">
        <v>2</v>
      </c>
      <c r="AE13" s="4">
        <v>41</v>
      </c>
      <c r="AF13" s="4">
        <v>0</v>
      </c>
      <c r="AG13" s="4">
        <v>16</v>
      </c>
      <c r="AH13" s="4">
        <v>1</v>
      </c>
      <c r="AI13" s="4">
        <v>10</v>
      </c>
      <c r="AJ13" s="4">
        <v>1</v>
      </c>
      <c r="AK13" s="4">
        <v>23</v>
      </c>
      <c r="AL13" s="4">
        <v>0</v>
      </c>
      <c r="AM13" s="4">
        <v>4</v>
      </c>
      <c r="AN13" s="4">
        <v>0</v>
      </c>
      <c r="AO13" s="4">
        <v>0</v>
      </c>
      <c r="AP13" s="3" t="s">
        <v>58</v>
      </c>
      <c r="AQ13" s="3" t="s">
        <v>58</v>
      </c>
      <c r="AS13" s="6" t="str">
        <f>HYPERLINK("https://creighton-primo.hosted.exlibrisgroup.com/primo-explore/search?tab=default_tab&amp;search_scope=EVERYTHING&amp;vid=01CRU&amp;lang=en_US&amp;offset=0&amp;query=any,contains,991000908219702656","Catalog Record")</f>
        <v>Catalog Record</v>
      </c>
      <c r="AT13" s="6" t="str">
        <f>HYPERLINK("http://www.worldcat.org/oclc/14113973","WorldCat Record")</f>
        <v>WorldCat Record</v>
      </c>
      <c r="AU13" s="3" t="s">
        <v>228</v>
      </c>
      <c r="AV13" s="3" t="s">
        <v>229</v>
      </c>
      <c r="AW13" s="3" t="s">
        <v>230</v>
      </c>
      <c r="AX13" s="3" t="s">
        <v>230</v>
      </c>
      <c r="AY13" s="3" t="s">
        <v>231</v>
      </c>
      <c r="AZ13" s="3" t="s">
        <v>73</v>
      </c>
      <c r="BC13" s="3" t="s">
        <v>232</v>
      </c>
      <c r="BD13" s="3" t="s">
        <v>233</v>
      </c>
    </row>
    <row r="14" spans="1:56" ht="47.25" customHeight="1" x14ac:dyDescent="0.25">
      <c r="A14" s="7" t="s">
        <v>58</v>
      </c>
      <c r="B14" s="2" t="s">
        <v>234</v>
      </c>
      <c r="C14" s="2" t="s">
        <v>235</v>
      </c>
      <c r="D14" s="2" t="s">
        <v>236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L14" s="2" t="s">
        <v>237</v>
      </c>
      <c r="M14" s="3" t="s">
        <v>238</v>
      </c>
      <c r="O14" s="3" t="s">
        <v>63</v>
      </c>
      <c r="P14" s="3" t="s">
        <v>101</v>
      </c>
      <c r="R14" s="3" t="s">
        <v>66</v>
      </c>
      <c r="S14" s="4">
        <v>2</v>
      </c>
      <c r="T14" s="4">
        <v>2</v>
      </c>
      <c r="U14" s="5" t="s">
        <v>239</v>
      </c>
      <c r="V14" s="5" t="s">
        <v>239</v>
      </c>
      <c r="W14" s="5" t="s">
        <v>240</v>
      </c>
      <c r="X14" s="5" t="s">
        <v>240</v>
      </c>
      <c r="Y14" s="4">
        <v>64</v>
      </c>
      <c r="Z14" s="4">
        <v>57</v>
      </c>
      <c r="AA14" s="4">
        <v>57</v>
      </c>
      <c r="AB14" s="4">
        <v>1</v>
      </c>
      <c r="AC14" s="4">
        <v>1</v>
      </c>
      <c r="AD14" s="4">
        <v>5</v>
      </c>
      <c r="AE14" s="4">
        <v>5</v>
      </c>
      <c r="AF14" s="4">
        <v>0</v>
      </c>
      <c r="AG14" s="4">
        <v>0</v>
      </c>
      <c r="AH14" s="4">
        <v>3</v>
      </c>
      <c r="AI14" s="4">
        <v>3</v>
      </c>
      <c r="AJ14" s="4">
        <v>3</v>
      </c>
      <c r="AK14" s="4">
        <v>3</v>
      </c>
      <c r="AL14" s="4">
        <v>0</v>
      </c>
      <c r="AM14" s="4">
        <v>0</v>
      </c>
      <c r="AN14" s="4">
        <v>0</v>
      </c>
      <c r="AO14" s="4">
        <v>0</v>
      </c>
      <c r="AP14" s="3" t="s">
        <v>58</v>
      </c>
      <c r="AQ14" s="3" t="s">
        <v>58</v>
      </c>
      <c r="AS14" s="6" t="str">
        <f>HYPERLINK("https://creighton-primo.hosted.exlibrisgroup.com/primo-explore/search?tab=default_tab&amp;search_scope=EVERYTHING&amp;vid=01CRU&amp;lang=en_US&amp;offset=0&amp;query=any,contains,991000715339702656","Catalog Record")</f>
        <v>Catalog Record</v>
      </c>
      <c r="AT14" s="6" t="str">
        <f>HYPERLINK("http://www.worldcat.org/oclc/12559147","WorldCat Record")</f>
        <v>WorldCat Record</v>
      </c>
      <c r="AU14" s="3" t="s">
        <v>241</v>
      </c>
      <c r="AV14" s="3" t="s">
        <v>242</v>
      </c>
      <c r="AW14" s="3" t="s">
        <v>243</v>
      </c>
      <c r="AX14" s="3" t="s">
        <v>243</v>
      </c>
      <c r="AY14" s="3" t="s">
        <v>244</v>
      </c>
      <c r="AZ14" s="3" t="s">
        <v>73</v>
      </c>
      <c r="BB14" s="3" t="s">
        <v>245</v>
      </c>
      <c r="BC14" s="3" t="s">
        <v>246</v>
      </c>
      <c r="BD14" s="3" t="s">
        <v>247</v>
      </c>
    </row>
    <row r="15" spans="1:56" ht="47.25" customHeight="1" x14ac:dyDescent="0.25">
      <c r="A15" s="7" t="s">
        <v>58</v>
      </c>
      <c r="B15" s="2" t="s">
        <v>248</v>
      </c>
      <c r="C15" s="2" t="s">
        <v>249</v>
      </c>
      <c r="D15" s="2" t="s">
        <v>250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251</v>
      </c>
      <c r="L15" s="2" t="s">
        <v>252</v>
      </c>
      <c r="M15" s="3" t="s">
        <v>253</v>
      </c>
      <c r="O15" s="3" t="s">
        <v>63</v>
      </c>
      <c r="P15" s="3" t="s">
        <v>64</v>
      </c>
      <c r="R15" s="3" t="s">
        <v>66</v>
      </c>
      <c r="S15" s="4">
        <v>6</v>
      </c>
      <c r="T15" s="4">
        <v>6</v>
      </c>
      <c r="U15" s="5" t="s">
        <v>254</v>
      </c>
      <c r="V15" s="5" t="s">
        <v>254</v>
      </c>
      <c r="W15" s="5" t="s">
        <v>255</v>
      </c>
      <c r="X15" s="5" t="s">
        <v>255</v>
      </c>
      <c r="Y15" s="4">
        <v>812</v>
      </c>
      <c r="Z15" s="4">
        <v>673</v>
      </c>
      <c r="AA15" s="4">
        <v>784</v>
      </c>
      <c r="AB15" s="4">
        <v>7</v>
      </c>
      <c r="AC15" s="4">
        <v>8</v>
      </c>
      <c r="AD15" s="4">
        <v>37</v>
      </c>
      <c r="AE15" s="4">
        <v>38</v>
      </c>
      <c r="AF15" s="4">
        <v>10</v>
      </c>
      <c r="AG15" s="4">
        <v>11</v>
      </c>
      <c r="AH15" s="4">
        <v>10</v>
      </c>
      <c r="AI15" s="4">
        <v>11</v>
      </c>
      <c r="AJ15" s="4">
        <v>21</v>
      </c>
      <c r="AK15" s="4">
        <v>21</v>
      </c>
      <c r="AL15" s="4">
        <v>6</v>
      </c>
      <c r="AM15" s="4">
        <v>6</v>
      </c>
      <c r="AN15" s="4">
        <v>0</v>
      </c>
      <c r="AO15" s="4">
        <v>0</v>
      </c>
      <c r="AP15" s="3" t="s">
        <v>58</v>
      </c>
      <c r="AQ15" s="3" t="s">
        <v>87</v>
      </c>
      <c r="AR15" s="6" t="str">
        <f>HYPERLINK("http://catalog.hathitrust.org/Record/001020574","HathiTrust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HYPERLINK("https://creighton-primo.hosted.exlibrisgroup.com/primo-explore/search?tab=default_tab&amp;search_scope=EVERYTHING&amp;vid=01CRU&amp;lang=en_US&amp;offset=0&amp;query=any,contains,991002289519702656","Catalog Record")</f>
        <v>Catalog Record</v>
      </c>
      <c r="AT15" s="6" t="str">
        <f>HYPERLINK("http://www.worldcat.org/oclc/312556","WorldCat Record")</f>
        <v>WorldCat Record</v>
      </c>
      <c r="AU15" s="3" t="s">
        <v>256</v>
      </c>
      <c r="AV15" s="3" t="s">
        <v>257</v>
      </c>
      <c r="AW15" s="3" t="s">
        <v>258</v>
      </c>
      <c r="AX15" s="3" t="s">
        <v>258</v>
      </c>
      <c r="AY15" s="3" t="s">
        <v>259</v>
      </c>
      <c r="AZ15" s="3" t="s">
        <v>73</v>
      </c>
      <c r="BC15" s="3" t="s">
        <v>260</v>
      </c>
      <c r="BD15" s="3" t="s">
        <v>261</v>
      </c>
    </row>
    <row r="16" spans="1:56" ht="47.25" customHeight="1" x14ac:dyDescent="0.25">
      <c r="A16" s="7" t="s">
        <v>58</v>
      </c>
      <c r="B16" s="2" t="s">
        <v>262</v>
      </c>
      <c r="C16" s="2" t="s">
        <v>263</v>
      </c>
      <c r="D16" s="2" t="s">
        <v>264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265</v>
      </c>
      <c r="L16" s="2" t="s">
        <v>266</v>
      </c>
      <c r="M16" s="3" t="s">
        <v>82</v>
      </c>
      <c r="O16" s="3" t="s">
        <v>63</v>
      </c>
      <c r="P16" s="3" t="s">
        <v>267</v>
      </c>
      <c r="R16" s="3" t="s">
        <v>66</v>
      </c>
      <c r="S16" s="4">
        <v>8</v>
      </c>
      <c r="T16" s="4">
        <v>8</v>
      </c>
      <c r="U16" s="5" t="s">
        <v>268</v>
      </c>
      <c r="V16" s="5" t="s">
        <v>268</v>
      </c>
      <c r="W16" s="5" t="s">
        <v>269</v>
      </c>
      <c r="X16" s="5" t="s">
        <v>269</v>
      </c>
      <c r="Y16" s="4">
        <v>397</v>
      </c>
      <c r="Z16" s="4">
        <v>340</v>
      </c>
      <c r="AA16" s="4">
        <v>348</v>
      </c>
      <c r="AB16" s="4">
        <v>5</v>
      </c>
      <c r="AC16" s="4">
        <v>5</v>
      </c>
      <c r="AD16" s="4">
        <v>20</v>
      </c>
      <c r="AE16" s="4">
        <v>20</v>
      </c>
      <c r="AF16" s="4">
        <v>6</v>
      </c>
      <c r="AG16" s="4">
        <v>6</v>
      </c>
      <c r="AH16" s="4">
        <v>7</v>
      </c>
      <c r="AI16" s="4">
        <v>7</v>
      </c>
      <c r="AJ16" s="4">
        <v>7</v>
      </c>
      <c r="AK16" s="4">
        <v>7</v>
      </c>
      <c r="AL16" s="4">
        <v>4</v>
      </c>
      <c r="AM16" s="4">
        <v>4</v>
      </c>
      <c r="AN16" s="4">
        <v>0</v>
      </c>
      <c r="AO16" s="4">
        <v>0</v>
      </c>
      <c r="AP16" s="3" t="s">
        <v>58</v>
      </c>
      <c r="AQ16" s="3" t="s">
        <v>87</v>
      </c>
      <c r="AR16" s="6" t="str">
        <f>HYPERLINK("http://catalog.hathitrust.org/Record/001182407","HathiTrust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HYPERLINK("https://creighton-primo.hosted.exlibrisgroup.com/primo-explore/search?tab=default_tab&amp;search_scope=EVERYTHING&amp;vid=01CRU&amp;lang=en_US&amp;offset=0&amp;query=any,contains,991000625589702656","Catalog Record")</f>
        <v>Catalog Record</v>
      </c>
      <c r="AT16" s="6" t="str">
        <f>HYPERLINK("http://www.worldcat.org/oclc/104204","WorldCat Record")</f>
        <v>WorldCat Record</v>
      </c>
      <c r="AU16" s="3" t="s">
        <v>270</v>
      </c>
      <c r="AV16" s="3" t="s">
        <v>271</v>
      </c>
      <c r="AW16" s="3" t="s">
        <v>272</v>
      </c>
      <c r="AX16" s="3" t="s">
        <v>272</v>
      </c>
      <c r="AY16" s="3" t="s">
        <v>273</v>
      </c>
      <c r="AZ16" s="3" t="s">
        <v>73</v>
      </c>
      <c r="BB16" s="3" t="s">
        <v>274</v>
      </c>
      <c r="BC16" s="3" t="s">
        <v>275</v>
      </c>
      <c r="BD16" s="3" t="s">
        <v>276</v>
      </c>
    </row>
    <row r="17" spans="1:56" ht="47.25" customHeight="1" x14ac:dyDescent="0.25">
      <c r="A17" s="7" t="s">
        <v>58</v>
      </c>
      <c r="B17" s="2" t="s">
        <v>277</v>
      </c>
      <c r="C17" s="2" t="s">
        <v>278</v>
      </c>
      <c r="D17" s="2" t="s">
        <v>279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280</v>
      </c>
      <c r="L17" s="2" t="s">
        <v>281</v>
      </c>
      <c r="M17" s="3" t="s">
        <v>282</v>
      </c>
      <c r="N17" s="2" t="s">
        <v>283</v>
      </c>
      <c r="O17" s="3" t="s">
        <v>63</v>
      </c>
      <c r="P17" s="3" t="s">
        <v>64</v>
      </c>
      <c r="R17" s="3" t="s">
        <v>66</v>
      </c>
      <c r="S17" s="4">
        <v>9</v>
      </c>
      <c r="T17" s="4">
        <v>9</v>
      </c>
      <c r="U17" s="5" t="s">
        <v>284</v>
      </c>
      <c r="V17" s="5" t="s">
        <v>284</v>
      </c>
      <c r="W17" s="5" t="s">
        <v>134</v>
      </c>
      <c r="X17" s="5" t="s">
        <v>134</v>
      </c>
      <c r="Y17" s="4">
        <v>487</v>
      </c>
      <c r="Z17" s="4">
        <v>379</v>
      </c>
      <c r="AA17" s="4">
        <v>460</v>
      </c>
      <c r="AB17" s="4">
        <v>2</v>
      </c>
      <c r="AC17" s="4">
        <v>3</v>
      </c>
      <c r="AD17" s="4">
        <v>25</v>
      </c>
      <c r="AE17" s="4">
        <v>28</v>
      </c>
      <c r="AF17" s="4">
        <v>7</v>
      </c>
      <c r="AG17" s="4">
        <v>9</v>
      </c>
      <c r="AH17" s="4">
        <v>8</v>
      </c>
      <c r="AI17" s="4">
        <v>9</v>
      </c>
      <c r="AJ17" s="4">
        <v>19</v>
      </c>
      <c r="AK17" s="4">
        <v>19</v>
      </c>
      <c r="AL17" s="4">
        <v>1</v>
      </c>
      <c r="AM17" s="4">
        <v>2</v>
      </c>
      <c r="AN17" s="4">
        <v>0</v>
      </c>
      <c r="AO17" s="4">
        <v>0</v>
      </c>
      <c r="AP17" s="3" t="s">
        <v>58</v>
      </c>
      <c r="AQ17" s="3" t="s">
        <v>87</v>
      </c>
      <c r="AR17" s="6" t="str">
        <f>HYPERLINK("http://catalog.hathitrust.org/Record/001182408","HathiTrust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HYPERLINK("https://creighton-primo.hosted.exlibrisgroup.com/primo-explore/search?tab=default_tab&amp;search_scope=EVERYTHING&amp;vid=01CRU&amp;lang=en_US&amp;offset=0&amp;query=any,contains,991003475469702656","Catalog Record")</f>
        <v>Catalog Record</v>
      </c>
      <c r="AT17" s="6" t="str">
        <f>HYPERLINK("http://www.worldcat.org/oclc/1019820","WorldCat Record")</f>
        <v>WorldCat Record</v>
      </c>
      <c r="AU17" s="3" t="s">
        <v>285</v>
      </c>
      <c r="AV17" s="3" t="s">
        <v>286</v>
      </c>
      <c r="AW17" s="3" t="s">
        <v>287</v>
      </c>
      <c r="AX17" s="3" t="s">
        <v>287</v>
      </c>
      <c r="AY17" s="3" t="s">
        <v>288</v>
      </c>
      <c r="AZ17" s="3" t="s">
        <v>73</v>
      </c>
      <c r="BC17" s="3" t="s">
        <v>289</v>
      </c>
      <c r="BD17" s="3" t="s">
        <v>290</v>
      </c>
    </row>
    <row r="18" spans="1:56" ht="47.25" customHeight="1" x14ac:dyDescent="0.25">
      <c r="A18" s="7" t="s">
        <v>58</v>
      </c>
      <c r="B18" s="2" t="s">
        <v>291</v>
      </c>
      <c r="C18" s="2" t="s">
        <v>292</v>
      </c>
      <c r="D18" s="2" t="s">
        <v>293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L18" s="2" t="s">
        <v>294</v>
      </c>
      <c r="M18" s="3" t="s">
        <v>295</v>
      </c>
      <c r="O18" s="3" t="s">
        <v>63</v>
      </c>
      <c r="P18" s="3" t="s">
        <v>296</v>
      </c>
      <c r="R18" s="3" t="s">
        <v>66</v>
      </c>
      <c r="S18" s="4">
        <v>3</v>
      </c>
      <c r="T18" s="4">
        <v>3</v>
      </c>
      <c r="U18" s="5" t="s">
        <v>297</v>
      </c>
      <c r="V18" s="5" t="s">
        <v>297</v>
      </c>
      <c r="W18" s="5" t="s">
        <v>240</v>
      </c>
      <c r="X18" s="5" t="s">
        <v>240</v>
      </c>
      <c r="Y18" s="4">
        <v>379</v>
      </c>
      <c r="Z18" s="4">
        <v>286</v>
      </c>
      <c r="AA18" s="4">
        <v>291</v>
      </c>
      <c r="AB18" s="4">
        <v>3</v>
      </c>
      <c r="AC18" s="4">
        <v>3</v>
      </c>
      <c r="AD18" s="4">
        <v>24</v>
      </c>
      <c r="AE18" s="4">
        <v>24</v>
      </c>
      <c r="AF18" s="4">
        <v>11</v>
      </c>
      <c r="AG18" s="4">
        <v>11</v>
      </c>
      <c r="AH18" s="4">
        <v>7</v>
      </c>
      <c r="AI18" s="4">
        <v>7</v>
      </c>
      <c r="AJ18" s="4">
        <v>13</v>
      </c>
      <c r="AK18" s="4">
        <v>13</v>
      </c>
      <c r="AL18" s="4">
        <v>2</v>
      </c>
      <c r="AM18" s="4">
        <v>2</v>
      </c>
      <c r="AN18" s="4">
        <v>0</v>
      </c>
      <c r="AO18" s="4">
        <v>0</v>
      </c>
      <c r="AP18" s="3" t="s">
        <v>58</v>
      </c>
      <c r="AQ18" s="3" t="s">
        <v>87</v>
      </c>
      <c r="AR18" s="6" t="str">
        <f>HYPERLINK("http://catalog.hathitrust.org/Record/000308698","HathiTrust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HYPERLINK("https://creighton-primo.hosted.exlibrisgroup.com/primo-explore/search?tab=default_tab&amp;search_scope=EVERYTHING&amp;vid=01CRU&amp;lang=en_US&amp;offset=0&amp;query=any,contains,991005118669702656","Catalog Record")</f>
        <v>Catalog Record</v>
      </c>
      <c r="AT18" s="6" t="str">
        <f>HYPERLINK("http://www.worldcat.org/oclc/7470306","WorldCat Record")</f>
        <v>WorldCat Record</v>
      </c>
      <c r="AU18" s="3" t="s">
        <v>298</v>
      </c>
      <c r="AV18" s="3" t="s">
        <v>299</v>
      </c>
      <c r="AW18" s="3" t="s">
        <v>300</v>
      </c>
      <c r="AX18" s="3" t="s">
        <v>300</v>
      </c>
      <c r="AY18" s="3" t="s">
        <v>301</v>
      </c>
      <c r="AZ18" s="3" t="s">
        <v>73</v>
      </c>
      <c r="BB18" s="3" t="s">
        <v>302</v>
      </c>
      <c r="BC18" s="3" t="s">
        <v>303</v>
      </c>
      <c r="BD18" s="3" t="s">
        <v>304</v>
      </c>
    </row>
    <row r="19" spans="1:56" ht="47.25" customHeight="1" x14ac:dyDescent="0.25">
      <c r="A19" s="7" t="s">
        <v>58</v>
      </c>
      <c r="B19" s="2" t="s">
        <v>305</v>
      </c>
      <c r="C19" s="2" t="s">
        <v>306</v>
      </c>
      <c r="D19" s="2" t="s">
        <v>307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308</v>
      </c>
      <c r="L19" s="2" t="s">
        <v>309</v>
      </c>
      <c r="M19" s="3" t="s">
        <v>282</v>
      </c>
      <c r="O19" s="3" t="s">
        <v>63</v>
      </c>
      <c r="P19" s="3" t="s">
        <v>310</v>
      </c>
      <c r="R19" s="3" t="s">
        <v>66</v>
      </c>
      <c r="S19" s="4">
        <v>13</v>
      </c>
      <c r="T19" s="4">
        <v>13</v>
      </c>
      <c r="U19" s="5" t="s">
        <v>67</v>
      </c>
      <c r="V19" s="5" t="s">
        <v>67</v>
      </c>
      <c r="W19" s="5" t="s">
        <v>210</v>
      </c>
      <c r="X19" s="5" t="s">
        <v>210</v>
      </c>
      <c r="Y19" s="4">
        <v>882</v>
      </c>
      <c r="Z19" s="4">
        <v>777</v>
      </c>
      <c r="AA19" s="4">
        <v>833</v>
      </c>
      <c r="AB19" s="4">
        <v>6</v>
      </c>
      <c r="AC19" s="4">
        <v>6</v>
      </c>
      <c r="AD19" s="4">
        <v>41</v>
      </c>
      <c r="AE19" s="4">
        <v>41</v>
      </c>
      <c r="AF19" s="4">
        <v>16</v>
      </c>
      <c r="AG19" s="4">
        <v>16</v>
      </c>
      <c r="AH19" s="4">
        <v>11</v>
      </c>
      <c r="AI19" s="4">
        <v>11</v>
      </c>
      <c r="AJ19" s="4">
        <v>21</v>
      </c>
      <c r="AK19" s="4">
        <v>21</v>
      </c>
      <c r="AL19" s="4">
        <v>5</v>
      </c>
      <c r="AM19" s="4">
        <v>5</v>
      </c>
      <c r="AN19" s="4">
        <v>0</v>
      </c>
      <c r="AO19" s="4">
        <v>0</v>
      </c>
      <c r="AP19" s="3" t="s">
        <v>58</v>
      </c>
      <c r="AQ19" s="3" t="s">
        <v>87</v>
      </c>
      <c r="AR19" s="6" t="str">
        <f>HYPERLINK("http://catalog.hathitrust.org/Record/001182403","HathiTrust Record")</f>
        <v>HathiTrust Record</v>
      </c>
      <c r="AS19" s="6" t="str">
        <f>HYPERLINK("https://creighton-primo.hosted.exlibrisgroup.com/primo-explore/search?tab=default_tab&amp;search_scope=EVERYTHING&amp;vid=01CRU&amp;lang=en_US&amp;offset=0&amp;query=any,contains,991002289089702656","Catalog Record")</f>
        <v>Catalog Record</v>
      </c>
      <c r="AT19" s="6" t="str">
        <f>HYPERLINK("http://www.worldcat.org/oclc/312471","WorldCat Record")</f>
        <v>WorldCat Record</v>
      </c>
      <c r="AU19" s="3" t="s">
        <v>311</v>
      </c>
      <c r="AV19" s="3" t="s">
        <v>312</v>
      </c>
      <c r="AW19" s="3" t="s">
        <v>313</v>
      </c>
      <c r="AX19" s="3" t="s">
        <v>313</v>
      </c>
      <c r="AY19" s="3" t="s">
        <v>314</v>
      </c>
      <c r="AZ19" s="3" t="s">
        <v>73</v>
      </c>
      <c r="BC19" s="3" t="s">
        <v>315</v>
      </c>
      <c r="BD19" s="3" t="s">
        <v>316</v>
      </c>
    </row>
    <row r="20" spans="1:56" ht="47.25" customHeight="1" x14ac:dyDescent="0.25">
      <c r="A20" s="7" t="s">
        <v>58</v>
      </c>
      <c r="B20" s="2" t="s">
        <v>317</v>
      </c>
      <c r="C20" s="2" t="s">
        <v>318</v>
      </c>
      <c r="D20" s="2" t="s">
        <v>319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K20" s="2" t="s">
        <v>320</v>
      </c>
      <c r="L20" s="2" t="s">
        <v>321</v>
      </c>
      <c r="M20" s="3" t="s">
        <v>322</v>
      </c>
      <c r="O20" s="3" t="s">
        <v>63</v>
      </c>
      <c r="P20" s="3" t="s">
        <v>178</v>
      </c>
      <c r="Q20" s="2" t="s">
        <v>323</v>
      </c>
      <c r="R20" s="3" t="s">
        <v>66</v>
      </c>
      <c r="S20" s="4">
        <v>3</v>
      </c>
      <c r="T20" s="4">
        <v>3</v>
      </c>
      <c r="U20" s="5" t="s">
        <v>324</v>
      </c>
      <c r="V20" s="5" t="s">
        <v>324</v>
      </c>
      <c r="W20" s="5" t="s">
        <v>325</v>
      </c>
      <c r="X20" s="5" t="s">
        <v>325</v>
      </c>
      <c r="Y20" s="4">
        <v>84</v>
      </c>
      <c r="Z20" s="4">
        <v>44</v>
      </c>
      <c r="AA20" s="4">
        <v>124</v>
      </c>
      <c r="AB20" s="4">
        <v>1</v>
      </c>
      <c r="AC20" s="4">
        <v>3</v>
      </c>
      <c r="AD20" s="4">
        <v>3</v>
      </c>
      <c r="AE20" s="4">
        <v>11</v>
      </c>
      <c r="AF20" s="4">
        <v>0</v>
      </c>
      <c r="AG20" s="4">
        <v>1</v>
      </c>
      <c r="AH20" s="4">
        <v>2</v>
      </c>
      <c r="AI20" s="4">
        <v>6</v>
      </c>
      <c r="AJ20" s="4">
        <v>2</v>
      </c>
      <c r="AK20" s="4">
        <v>5</v>
      </c>
      <c r="AL20" s="4">
        <v>0</v>
      </c>
      <c r="AM20" s="4">
        <v>2</v>
      </c>
      <c r="AN20" s="4">
        <v>0</v>
      </c>
      <c r="AO20" s="4">
        <v>0</v>
      </c>
      <c r="AP20" s="3" t="s">
        <v>58</v>
      </c>
      <c r="AQ20" s="3" t="s">
        <v>87</v>
      </c>
      <c r="AR20" s="6" t="str">
        <f>HYPERLINK("http://catalog.hathitrust.org/Record/004021025","HathiTrust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HYPERLINK("https://creighton-primo.hosted.exlibrisgroup.com/primo-explore/search?tab=default_tab&amp;search_scope=EVERYTHING&amp;vid=01CRU&amp;lang=en_US&amp;offset=0&amp;query=any,contains,991003469049702656","Catalog Record")</f>
        <v>Catalog Record</v>
      </c>
      <c r="AT20" s="6" t="str">
        <f>HYPERLINK("http://www.worldcat.org/oclc/40608912","WorldCat Record")</f>
        <v>WorldCat Record</v>
      </c>
      <c r="AU20" s="3" t="s">
        <v>326</v>
      </c>
      <c r="AV20" s="3" t="s">
        <v>327</v>
      </c>
      <c r="AW20" s="3" t="s">
        <v>328</v>
      </c>
      <c r="AX20" s="3" t="s">
        <v>328</v>
      </c>
      <c r="AY20" s="3" t="s">
        <v>329</v>
      </c>
      <c r="AZ20" s="3" t="s">
        <v>73</v>
      </c>
      <c r="BB20" s="3" t="s">
        <v>330</v>
      </c>
      <c r="BC20" s="3" t="s">
        <v>331</v>
      </c>
      <c r="BD20" s="3" t="s">
        <v>332</v>
      </c>
    </row>
    <row r="21" spans="1:56" ht="47.25" customHeight="1" x14ac:dyDescent="0.25">
      <c r="A21" s="7" t="s">
        <v>58</v>
      </c>
      <c r="B21" s="2" t="s">
        <v>333</v>
      </c>
      <c r="C21" s="2" t="s">
        <v>334</v>
      </c>
      <c r="D21" s="2" t="s">
        <v>335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336</v>
      </c>
      <c r="L21" s="2" t="s">
        <v>337</v>
      </c>
      <c r="M21" s="3" t="s">
        <v>338</v>
      </c>
      <c r="O21" s="3" t="s">
        <v>63</v>
      </c>
      <c r="P21" s="3" t="s">
        <v>178</v>
      </c>
      <c r="R21" s="3" t="s">
        <v>66</v>
      </c>
      <c r="S21" s="4">
        <v>3</v>
      </c>
      <c r="T21" s="4">
        <v>3</v>
      </c>
      <c r="U21" s="5" t="s">
        <v>339</v>
      </c>
      <c r="V21" s="5" t="s">
        <v>339</v>
      </c>
      <c r="W21" s="5" t="s">
        <v>340</v>
      </c>
      <c r="X21" s="5" t="s">
        <v>340</v>
      </c>
      <c r="Y21" s="4">
        <v>8</v>
      </c>
      <c r="Z21" s="4">
        <v>7</v>
      </c>
      <c r="AA21" s="4">
        <v>34</v>
      </c>
      <c r="AB21" s="4">
        <v>1</v>
      </c>
      <c r="AC21" s="4">
        <v>1</v>
      </c>
      <c r="AD21" s="4">
        <v>1</v>
      </c>
      <c r="AE21" s="4">
        <v>2</v>
      </c>
      <c r="AF21" s="4">
        <v>0</v>
      </c>
      <c r="AG21" s="4">
        <v>0</v>
      </c>
      <c r="AH21" s="4">
        <v>1</v>
      </c>
      <c r="AI21" s="4">
        <v>1</v>
      </c>
      <c r="AJ21" s="4">
        <v>0</v>
      </c>
      <c r="AK21" s="4">
        <v>1</v>
      </c>
      <c r="AL21" s="4">
        <v>0</v>
      </c>
      <c r="AM21" s="4">
        <v>0</v>
      </c>
      <c r="AN21" s="4">
        <v>0</v>
      </c>
      <c r="AO21" s="4">
        <v>0</v>
      </c>
      <c r="AP21" s="3" t="s">
        <v>58</v>
      </c>
      <c r="AQ21" s="3" t="s">
        <v>58</v>
      </c>
      <c r="AS21" s="6" t="str">
        <f>HYPERLINK("https://creighton-primo.hosted.exlibrisgroup.com/primo-explore/search?tab=default_tab&amp;search_scope=EVERYTHING&amp;vid=01CRU&amp;lang=en_US&amp;offset=0&amp;query=any,contains,991001801209702656","Catalog Record")</f>
        <v>Catalog Record</v>
      </c>
      <c r="AT21" s="6" t="str">
        <f>HYPERLINK("http://www.worldcat.org/oclc/22638485","WorldCat Record")</f>
        <v>WorldCat Record</v>
      </c>
      <c r="AU21" s="3" t="s">
        <v>341</v>
      </c>
      <c r="AV21" s="3" t="s">
        <v>342</v>
      </c>
      <c r="AW21" s="3" t="s">
        <v>343</v>
      </c>
      <c r="AX21" s="3" t="s">
        <v>343</v>
      </c>
      <c r="AY21" s="3" t="s">
        <v>344</v>
      </c>
      <c r="AZ21" s="3" t="s">
        <v>73</v>
      </c>
      <c r="BB21" s="3" t="s">
        <v>345</v>
      </c>
      <c r="BC21" s="3" t="s">
        <v>346</v>
      </c>
      <c r="BD21" s="3" t="s">
        <v>347</v>
      </c>
    </row>
    <row r="22" spans="1:56" ht="47.25" customHeight="1" x14ac:dyDescent="0.25">
      <c r="A22" s="7" t="s">
        <v>58</v>
      </c>
      <c r="B22" s="2" t="s">
        <v>348</v>
      </c>
      <c r="C22" s="2" t="s">
        <v>349</v>
      </c>
      <c r="D22" s="2" t="s">
        <v>350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L22" s="2" t="s">
        <v>351</v>
      </c>
      <c r="M22" s="3" t="s">
        <v>352</v>
      </c>
      <c r="O22" s="3" t="s">
        <v>63</v>
      </c>
      <c r="P22" s="3" t="s">
        <v>64</v>
      </c>
      <c r="Q22" s="2" t="s">
        <v>353</v>
      </c>
      <c r="R22" s="3" t="s">
        <v>66</v>
      </c>
      <c r="S22" s="4">
        <v>1</v>
      </c>
      <c r="T22" s="4">
        <v>1</v>
      </c>
      <c r="U22" s="5" t="s">
        <v>354</v>
      </c>
      <c r="V22" s="5" t="s">
        <v>354</v>
      </c>
      <c r="W22" s="5" t="s">
        <v>355</v>
      </c>
      <c r="X22" s="5" t="s">
        <v>355</v>
      </c>
      <c r="Y22" s="4">
        <v>47</v>
      </c>
      <c r="Z22" s="4">
        <v>36</v>
      </c>
      <c r="AA22" s="4">
        <v>38</v>
      </c>
      <c r="AB22" s="4">
        <v>1</v>
      </c>
      <c r="AC22" s="4">
        <v>1</v>
      </c>
      <c r="AD22" s="4">
        <v>2</v>
      </c>
      <c r="AE22" s="4">
        <v>2</v>
      </c>
      <c r="AF22" s="4">
        <v>0</v>
      </c>
      <c r="AG22" s="4">
        <v>0</v>
      </c>
      <c r="AH22" s="4">
        <v>0</v>
      </c>
      <c r="AI22" s="4">
        <v>0</v>
      </c>
      <c r="AJ22" s="4">
        <v>2</v>
      </c>
      <c r="AK22" s="4">
        <v>2</v>
      </c>
      <c r="AL22" s="4">
        <v>0</v>
      </c>
      <c r="AM22" s="4">
        <v>0</v>
      </c>
      <c r="AN22" s="4">
        <v>0</v>
      </c>
      <c r="AO22" s="4">
        <v>0</v>
      </c>
      <c r="AP22" s="3" t="s">
        <v>58</v>
      </c>
      <c r="AQ22" s="3" t="s">
        <v>87</v>
      </c>
      <c r="AR22" s="6" t="str">
        <f>HYPERLINK("http://catalog.hathitrust.org/Record/003198672","HathiTrust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HYPERLINK("https://creighton-primo.hosted.exlibrisgroup.com/primo-explore/search?tab=default_tab&amp;search_scope=EVERYTHING&amp;vid=01CRU&amp;lang=en_US&amp;offset=0&amp;query=any,contains,991002662889702656","Catalog Record")</f>
        <v>Catalog Record</v>
      </c>
      <c r="AT22" s="6" t="str">
        <f>HYPERLINK("http://www.worldcat.org/oclc/34798178","WorldCat Record")</f>
        <v>WorldCat Record</v>
      </c>
      <c r="AU22" s="3" t="s">
        <v>356</v>
      </c>
      <c r="AV22" s="3" t="s">
        <v>357</v>
      </c>
      <c r="AW22" s="3" t="s">
        <v>358</v>
      </c>
      <c r="AX22" s="3" t="s">
        <v>358</v>
      </c>
      <c r="AY22" s="3" t="s">
        <v>359</v>
      </c>
      <c r="AZ22" s="3" t="s">
        <v>73</v>
      </c>
      <c r="BB22" s="3" t="s">
        <v>360</v>
      </c>
      <c r="BC22" s="3" t="s">
        <v>361</v>
      </c>
      <c r="BD22" s="3" t="s">
        <v>362</v>
      </c>
    </row>
    <row r="23" spans="1:56" ht="47.25" customHeight="1" x14ac:dyDescent="0.25">
      <c r="A23" s="7" t="s">
        <v>58</v>
      </c>
      <c r="B23" s="2" t="s">
        <v>363</v>
      </c>
      <c r="C23" s="2" t="s">
        <v>364</v>
      </c>
      <c r="D23" s="2" t="s">
        <v>365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366</v>
      </c>
      <c r="L23" s="2" t="s">
        <v>367</v>
      </c>
      <c r="M23" s="3" t="s">
        <v>368</v>
      </c>
      <c r="O23" s="3" t="s">
        <v>369</v>
      </c>
      <c r="P23" s="3" t="s">
        <v>178</v>
      </c>
      <c r="R23" s="3" t="s">
        <v>66</v>
      </c>
      <c r="S23" s="4">
        <v>1</v>
      </c>
      <c r="T23" s="4">
        <v>1</v>
      </c>
      <c r="U23" s="5" t="s">
        <v>370</v>
      </c>
      <c r="V23" s="5" t="s">
        <v>370</v>
      </c>
      <c r="W23" s="5" t="s">
        <v>370</v>
      </c>
      <c r="X23" s="5" t="s">
        <v>370</v>
      </c>
      <c r="Y23" s="4">
        <v>101</v>
      </c>
      <c r="Z23" s="4">
        <v>80</v>
      </c>
      <c r="AA23" s="4">
        <v>81</v>
      </c>
      <c r="AB23" s="4">
        <v>1</v>
      </c>
      <c r="AC23" s="4">
        <v>1</v>
      </c>
      <c r="AD23" s="4">
        <v>4</v>
      </c>
      <c r="AE23" s="4">
        <v>4</v>
      </c>
      <c r="AF23" s="4">
        <v>0</v>
      </c>
      <c r="AG23" s="4">
        <v>0</v>
      </c>
      <c r="AH23" s="4">
        <v>2</v>
      </c>
      <c r="AI23" s="4">
        <v>2</v>
      </c>
      <c r="AJ23" s="4">
        <v>3</v>
      </c>
      <c r="AK23" s="4">
        <v>3</v>
      </c>
      <c r="AL23" s="4">
        <v>0</v>
      </c>
      <c r="AM23" s="4">
        <v>0</v>
      </c>
      <c r="AN23" s="4">
        <v>0</v>
      </c>
      <c r="AO23" s="4">
        <v>0</v>
      </c>
      <c r="AP23" s="3" t="s">
        <v>58</v>
      </c>
      <c r="AQ23" s="3" t="s">
        <v>87</v>
      </c>
      <c r="AR23" s="6" t="str">
        <f>HYPERLINK("http://catalog.hathitrust.org/Record/004102108","HathiTrust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HYPERLINK("https://creighton-primo.hosted.exlibrisgroup.com/primo-explore/search?tab=default_tab&amp;search_scope=EVERYTHING&amp;vid=01CRU&amp;lang=en_US&amp;offset=0&amp;query=any,contains,991004243909702656","Catalog Record")</f>
        <v>Catalog Record</v>
      </c>
      <c r="AT23" s="6" t="str">
        <f>HYPERLINK("http://www.worldcat.org/oclc/44714862","WorldCat Record")</f>
        <v>WorldCat Record</v>
      </c>
      <c r="AU23" s="3" t="s">
        <v>371</v>
      </c>
      <c r="AV23" s="3" t="s">
        <v>372</v>
      </c>
      <c r="AW23" s="3" t="s">
        <v>373</v>
      </c>
      <c r="AX23" s="3" t="s">
        <v>373</v>
      </c>
      <c r="AY23" s="3" t="s">
        <v>374</v>
      </c>
      <c r="AZ23" s="3" t="s">
        <v>73</v>
      </c>
      <c r="BB23" s="3" t="s">
        <v>375</v>
      </c>
      <c r="BC23" s="3" t="s">
        <v>376</v>
      </c>
      <c r="BD23" s="3" t="s">
        <v>377</v>
      </c>
    </row>
    <row r="24" spans="1:56" ht="47.25" customHeight="1" x14ac:dyDescent="0.25">
      <c r="A24" s="7" t="s">
        <v>58</v>
      </c>
      <c r="B24" s="2" t="s">
        <v>378</v>
      </c>
      <c r="C24" s="2" t="s">
        <v>379</v>
      </c>
      <c r="D24" s="2" t="s">
        <v>380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221</v>
      </c>
      <c r="L24" s="2" t="s">
        <v>381</v>
      </c>
      <c r="M24" s="3" t="s">
        <v>382</v>
      </c>
      <c r="O24" s="3" t="s">
        <v>63</v>
      </c>
      <c r="P24" s="3" t="s">
        <v>64</v>
      </c>
      <c r="Q24" s="2" t="s">
        <v>383</v>
      </c>
      <c r="R24" s="3" t="s">
        <v>66</v>
      </c>
      <c r="S24" s="4">
        <v>5</v>
      </c>
      <c r="T24" s="4">
        <v>5</v>
      </c>
      <c r="U24" s="5" t="s">
        <v>384</v>
      </c>
      <c r="V24" s="5" t="s">
        <v>384</v>
      </c>
      <c r="W24" s="5" t="s">
        <v>385</v>
      </c>
      <c r="X24" s="5" t="s">
        <v>385</v>
      </c>
      <c r="Y24" s="4">
        <v>187</v>
      </c>
      <c r="Z24" s="4">
        <v>147</v>
      </c>
      <c r="AA24" s="4">
        <v>151</v>
      </c>
      <c r="AB24" s="4">
        <v>1</v>
      </c>
      <c r="AC24" s="4">
        <v>1</v>
      </c>
      <c r="AD24" s="4">
        <v>11</v>
      </c>
      <c r="AE24" s="4">
        <v>11</v>
      </c>
      <c r="AF24" s="4">
        <v>1</v>
      </c>
      <c r="AG24" s="4">
        <v>1</v>
      </c>
      <c r="AH24" s="4">
        <v>5</v>
      </c>
      <c r="AI24" s="4">
        <v>5</v>
      </c>
      <c r="AJ24" s="4">
        <v>8</v>
      </c>
      <c r="AK24" s="4">
        <v>8</v>
      </c>
      <c r="AL24" s="4">
        <v>0</v>
      </c>
      <c r="AM24" s="4">
        <v>0</v>
      </c>
      <c r="AN24" s="4">
        <v>0</v>
      </c>
      <c r="AO24" s="4">
        <v>0</v>
      </c>
      <c r="AP24" s="3" t="s">
        <v>58</v>
      </c>
      <c r="AQ24" s="3" t="s">
        <v>87</v>
      </c>
      <c r="AR24" s="6" t="str">
        <f>HYPERLINK("http://catalog.hathitrust.org/Record/002587655","HathiTrust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HYPERLINK("https://creighton-primo.hosted.exlibrisgroup.com/primo-explore/search?tab=default_tab&amp;search_scope=EVERYTHING&amp;vid=01CRU&amp;lang=en_US&amp;offset=0&amp;query=any,contains,991001330799702656","Catalog Record")</f>
        <v>Catalog Record</v>
      </c>
      <c r="AT24" s="6" t="str">
        <f>HYPERLINK("http://www.worldcat.org/oclc/18323109","WorldCat Record")</f>
        <v>WorldCat Record</v>
      </c>
      <c r="AU24" s="3" t="s">
        <v>386</v>
      </c>
      <c r="AV24" s="3" t="s">
        <v>387</v>
      </c>
      <c r="AW24" s="3" t="s">
        <v>388</v>
      </c>
      <c r="AX24" s="3" t="s">
        <v>388</v>
      </c>
      <c r="AY24" s="3" t="s">
        <v>389</v>
      </c>
      <c r="AZ24" s="3" t="s">
        <v>73</v>
      </c>
      <c r="BB24" s="3" t="s">
        <v>390</v>
      </c>
      <c r="BC24" s="3" t="s">
        <v>391</v>
      </c>
      <c r="BD24" s="3" t="s">
        <v>392</v>
      </c>
    </row>
    <row r="25" spans="1:56" ht="47.25" customHeight="1" x14ac:dyDescent="0.25">
      <c r="A25" s="7" t="s">
        <v>58</v>
      </c>
      <c r="B25" s="2" t="s">
        <v>393</v>
      </c>
      <c r="C25" s="2" t="s">
        <v>394</v>
      </c>
      <c r="D25" s="2" t="s">
        <v>395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396</v>
      </c>
      <c r="L25" s="2" t="s">
        <v>397</v>
      </c>
      <c r="M25" s="3" t="s">
        <v>368</v>
      </c>
      <c r="O25" s="3" t="s">
        <v>63</v>
      </c>
      <c r="P25" s="3" t="s">
        <v>178</v>
      </c>
      <c r="R25" s="3" t="s">
        <v>66</v>
      </c>
      <c r="S25" s="4">
        <v>1</v>
      </c>
      <c r="T25" s="4">
        <v>1</v>
      </c>
      <c r="U25" s="5" t="s">
        <v>398</v>
      </c>
      <c r="V25" s="5" t="s">
        <v>398</v>
      </c>
      <c r="W25" s="5" t="s">
        <v>398</v>
      </c>
      <c r="X25" s="5" t="s">
        <v>398</v>
      </c>
      <c r="Y25" s="4">
        <v>40</v>
      </c>
      <c r="Z25" s="4">
        <v>22</v>
      </c>
      <c r="AA25" s="4">
        <v>130</v>
      </c>
      <c r="AB25" s="4">
        <v>1</v>
      </c>
      <c r="AC25" s="4">
        <v>1</v>
      </c>
      <c r="AD25" s="4">
        <v>2</v>
      </c>
      <c r="AE25" s="4">
        <v>8</v>
      </c>
      <c r="AF25" s="4">
        <v>1</v>
      </c>
      <c r="AG25" s="4">
        <v>3</v>
      </c>
      <c r="AH25" s="4">
        <v>0</v>
      </c>
      <c r="AI25" s="4">
        <v>3</v>
      </c>
      <c r="AJ25" s="4">
        <v>1</v>
      </c>
      <c r="AK25" s="4">
        <v>4</v>
      </c>
      <c r="AL25" s="4">
        <v>0</v>
      </c>
      <c r="AM25" s="4">
        <v>0</v>
      </c>
      <c r="AN25" s="4">
        <v>0</v>
      </c>
      <c r="AO25" s="4">
        <v>0</v>
      </c>
      <c r="AP25" s="3" t="s">
        <v>58</v>
      </c>
      <c r="AQ25" s="3" t="s">
        <v>58</v>
      </c>
      <c r="AS25" s="6" t="str">
        <f>HYPERLINK("https://creighton-primo.hosted.exlibrisgroup.com/primo-explore/search?tab=default_tab&amp;search_scope=EVERYTHING&amp;vid=01CRU&amp;lang=en_US&amp;offset=0&amp;query=any,contains,991005052639702656","Catalog Record")</f>
        <v>Catalog Record</v>
      </c>
      <c r="AT25" s="6" t="str">
        <f>HYPERLINK("http://www.worldcat.org/oclc/45328405","WorldCat Record")</f>
        <v>WorldCat Record</v>
      </c>
      <c r="AU25" s="3" t="s">
        <v>399</v>
      </c>
      <c r="AV25" s="3" t="s">
        <v>400</v>
      </c>
      <c r="AW25" s="3" t="s">
        <v>401</v>
      </c>
      <c r="AX25" s="3" t="s">
        <v>401</v>
      </c>
      <c r="AY25" s="3" t="s">
        <v>402</v>
      </c>
      <c r="AZ25" s="3" t="s">
        <v>73</v>
      </c>
      <c r="BB25" s="3" t="s">
        <v>403</v>
      </c>
      <c r="BC25" s="3" t="s">
        <v>404</v>
      </c>
      <c r="BD25" s="3" t="s">
        <v>405</v>
      </c>
    </row>
    <row r="26" spans="1:56" ht="47.25" customHeight="1" x14ac:dyDescent="0.25">
      <c r="A26" s="7" t="s">
        <v>58</v>
      </c>
      <c r="B26" s="2" t="s">
        <v>406</v>
      </c>
      <c r="C26" s="2" t="s">
        <v>407</v>
      </c>
      <c r="D26" s="2" t="s">
        <v>408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396</v>
      </c>
      <c r="L26" s="2" t="s">
        <v>409</v>
      </c>
      <c r="M26" s="3" t="s">
        <v>62</v>
      </c>
      <c r="O26" s="3" t="s">
        <v>63</v>
      </c>
      <c r="P26" s="3" t="s">
        <v>178</v>
      </c>
      <c r="Q26" s="2" t="s">
        <v>410</v>
      </c>
      <c r="R26" s="3" t="s">
        <v>66</v>
      </c>
      <c r="S26" s="4">
        <v>10</v>
      </c>
      <c r="T26" s="4">
        <v>10</v>
      </c>
      <c r="U26" s="5" t="s">
        <v>411</v>
      </c>
      <c r="V26" s="5" t="s">
        <v>411</v>
      </c>
      <c r="W26" s="5" t="s">
        <v>412</v>
      </c>
      <c r="X26" s="5" t="s">
        <v>412</v>
      </c>
      <c r="Y26" s="4">
        <v>125</v>
      </c>
      <c r="Z26" s="4">
        <v>63</v>
      </c>
      <c r="AA26" s="4">
        <v>215</v>
      </c>
      <c r="AB26" s="4">
        <v>1</v>
      </c>
      <c r="AC26" s="4">
        <v>2</v>
      </c>
      <c r="AD26" s="4">
        <v>6</v>
      </c>
      <c r="AE26" s="4">
        <v>14</v>
      </c>
      <c r="AF26" s="4">
        <v>1</v>
      </c>
      <c r="AG26" s="4">
        <v>5</v>
      </c>
      <c r="AH26" s="4">
        <v>4</v>
      </c>
      <c r="AI26" s="4">
        <v>6</v>
      </c>
      <c r="AJ26" s="4">
        <v>4</v>
      </c>
      <c r="AK26" s="4">
        <v>10</v>
      </c>
      <c r="AL26" s="4">
        <v>0</v>
      </c>
      <c r="AM26" s="4">
        <v>0</v>
      </c>
      <c r="AN26" s="4">
        <v>0</v>
      </c>
      <c r="AO26" s="4">
        <v>0</v>
      </c>
      <c r="AP26" s="3" t="s">
        <v>58</v>
      </c>
      <c r="AQ26" s="3" t="s">
        <v>87</v>
      </c>
      <c r="AR26" s="6" t="str">
        <f>HYPERLINK("http://catalog.hathitrust.org/Record/002615917","HathiTrust Record")</f>
        <v>HathiTrust Record</v>
      </c>
      <c r="AS26" s="6" t="str">
        <f>HYPERLINK("https://creighton-primo.hosted.exlibrisgroup.com/primo-explore/search?tab=default_tab&amp;search_scope=EVERYTHING&amp;vid=01CRU&amp;lang=en_US&amp;offset=0&amp;query=any,contains,991002208549702656","Catalog Record")</f>
        <v>Catalog Record</v>
      </c>
      <c r="AT26" s="6" t="str">
        <f>HYPERLINK("http://www.worldcat.org/oclc/28413694","WorldCat Record")</f>
        <v>WorldCat Record</v>
      </c>
      <c r="AU26" s="3" t="s">
        <v>413</v>
      </c>
      <c r="AV26" s="3" t="s">
        <v>414</v>
      </c>
      <c r="AW26" s="3" t="s">
        <v>415</v>
      </c>
      <c r="AX26" s="3" t="s">
        <v>415</v>
      </c>
      <c r="AY26" s="3" t="s">
        <v>416</v>
      </c>
      <c r="AZ26" s="3" t="s">
        <v>73</v>
      </c>
      <c r="BB26" s="3" t="s">
        <v>417</v>
      </c>
      <c r="BC26" s="3" t="s">
        <v>418</v>
      </c>
      <c r="BD26" s="3" t="s">
        <v>419</v>
      </c>
    </row>
    <row r="27" spans="1:56" ht="47.25" customHeight="1" x14ac:dyDescent="0.25">
      <c r="A27" s="7" t="s">
        <v>58</v>
      </c>
      <c r="B27" s="2" t="s">
        <v>420</v>
      </c>
      <c r="C27" s="2" t="s">
        <v>421</v>
      </c>
      <c r="D27" s="2" t="s">
        <v>422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423</v>
      </c>
      <c r="L27" s="2" t="s">
        <v>424</v>
      </c>
      <c r="M27" s="3" t="s">
        <v>425</v>
      </c>
      <c r="O27" s="3" t="s">
        <v>63</v>
      </c>
      <c r="P27" s="3" t="s">
        <v>178</v>
      </c>
      <c r="R27" s="3" t="s">
        <v>66</v>
      </c>
      <c r="S27" s="4">
        <v>4</v>
      </c>
      <c r="T27" s="4">
        <v>4</v>
      </c>
      <c r="U27" s="5" t="s">
        <v>426</v>
      </c>
      <c r="V27" s="5" t="s">
        <v>426</v>
      </c>
      <c r="W27" s="5" t="s">
        <v>427</v>
      </c>
      <c r="X27" s="5" t="s">
        <v>427</v>
      </c>
      <c r="Y27" s="4">
        <v>87</v>
      </c>
      <c r="Z27" s="4">
        <v>67</v>
      </c>
      <c r="AA27" s="4">
        <v>68</v>
      </c>
      <c r="AB27" s="4">
        <v>1</v>
      </c>
      <c r="AC27" s="4">
        <v>1</v>
      </c>
      <c r="AD27" s="4">
        <v>4</v>
      </c>
      <c r="AE27" s="4">
        <v>4</v>
      </c>
      <c r="AF27" s="4">
        <v>0</v>
      </c>
      <c r="AG27" s="4">
        <v>0</v>
      </c>
      <c r="AH27" s="4">
        <v>3</v>
      </c>
      <c r="AI27" s="4">
        <v>3</v>
      </c>
      <c r="AJ27" s="4">
        <v>3</v>
      </c>
      <c r="AK27" s="4">
        <v>3</v>
      </c>
      <c r="AL27" s="4">
        <v>0</v>
      </c>
      <c r="AM27" s="4">
        <v>0</v>
      </c>
      <c r="AN27" s="4">
        <v>0</v>
      </c>
      <c r="AO27" s="4">
        <v>0</v>
      </c>
      <c r="AP27" s="3" t="s">
        <v>58</v>
      </c>
      <c r="AQ27" s="3" t="s">
        <v>87</v>
      </c>
      <c r="AR27" s="6" t="str">
        <f>HYPERLINK("http://catalog.hathitrust.org/Record/003154576","HathiTrust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HYPERLINK("https://creighton-primo.hosted.exlibrisgroup.com/primo-explore/search?tab=default_tab&amp;search_scope=EVERYTHING&amp;vid=01CRU&amp;lang=en_US&amp;offset=0&amp;query=any,contains,991002768859702656","Catalog Record")</f>
        <v>Catalog Record</v>
      </c>
      <c r="AT27" s="6" t="str">
        <f>HYPERLINK("http://www.worldcat.org/oclc/36908945","WorldCat Record")</f>
        <v>WorldCat Record</v>
      </c>
      <c r="AU27" s="3" t="s">
        <v>428</v>
      </c>
      <c r="AV27" s="3" t="s">
        <v>429</v>
      </c>
      <c r="AW27" s="3" t="s">
        <v>430</v>
      </c>
      <c r="AX27" s="3" t="s">
        <v>430</v>
      </c>
      <c r="AY27" s="3" t="s">
        <v>431</v>
      </c>
      <c r="AZ27" s="3" t="s">
        <v>73</v>
      </c>
      <c r="BB27" s="3" t="s">
        <v>432</v>
      </c>
      <c r="BC27" s="3" t="s">
        <v>433</v>
      </c>
      <c r="BD27" s="3" t="s">
        <v>434</v>
      </c>
    </row>
    <row r="28" spans="1:56" ht="47.25" customHeight="1" x14ac:dyDescent="0.25">
      <c r="A28" s="7" t="s">
        <v>58</v>
      </c>
      <c r="B28" s="2" t="s">
        <v>435</v>
      </c>
      <c r="C28" s="2" t="s">
        <v>436</v>
      </c>
      <c r="D28" s="2" t="s">
        <v>437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438</v>
      </c>
      <c r="L28" s="2" t="s">
        <v>439</v>
      </c>
      <c r="M28" s="3" t="s">
        <v>425</v>
      </c>
      <c r="N28" s="2" t="s">
        <v>440</v>
      </c>
      <c r="O28" s="3" t="s">
        <v>63</v>
      </c>
      <c r="P28" s="3" t="s">
        <v>310</v>
      </c>
      <c r="R28" s="3" t="s">
        <v>66</v>
      </c>
      <c r="S28" s="4">
        <v>4</v>
      </c>
      <c r="T28" s="4">
        <v>4</v>
      </c>
      <c r="U28" s="5" t="s">
        <v>441</v>
      </c>
      <c r="V28" s="5" t="s">
        <v>441</v>
      </c>
      <c r="W28" s="5" t="s">
        <v>442</v>
      </c>
      <c r="X28" s="5" t="s">
        <v>442</v>
      </c>
      <c r="Y28" s="4">
        <v>267</v>
      </c>
      <c r="Z28" s="4">
        <v>238</v>
      </c>
      <c r="AA28" s="4">
        <v>628</v>
      </c>
      <c r="AB28" s="4">
        <v>3</v>
      </c>
      <c r="AC28" s="4">
        <v>3</v>
      </c>
      <c r="AD28" s="4">
        <v>10</v>
      </c>
      <c r="AE28" s="4">
        <v>25</v>
      </c>
      <c r="AF28" s="4">
        <v>5</v>
      </c>
      <c r="AG28" s="4">
        <v>11</v>
      </c>
      <c r="AH28" s="4">
        <v>3</v>
      </c>
      <c r="AI28" s="4">
        <v>6</v>
      </c>
      <c r="AJ28" s="4">
        <v>3</v>
      </c>
      <c r="AK28" s="4">
        <v>13</v>
      </c>
      <c r="AL28" s="4">
        <v>1</v>
      </c>
      <c r="AM28" s="4">
        <v>1</v>
      </c>
      <c r="AN28" s="4">
        <v>0</v>
      </c>
      <c r="AO28" s="4">
        <v>0</v>
      </c>
      <c r="AP28" s="3" t="s">
        <v>58</v>
      </c>
      <c r="AQ28" s="3" t="s">
        <v>87</v>
      </c>
      <c r="AR28" s="6" t="str">
        <f>HYPERLINK("http://catalog.hathitrust.org/Record/007131988","HathiTrust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HYPERLINK("https://creighton-primo.hosted.exlibrisgroup.com/primo-explore/search?tab=default_tab&amp;search_scope=EVERYTHING&amp;vid=01CRU&amp;lang=en_US&amp;offset=0&amp;query=any,contains,991004505559702656","Catalog Record")</f>
        <v>Catalog Record</v>
      </c>
      <c r="AT28" s="6" t="str">
        <f>HYPERLINK("http://www.worldcat.org/oclc/33863614","WorldCat Record")</f>
        <v>WorldCat Record</v>
      </c>
      <c r="AU28" s="3" t="s">
        <v>443</v>
      </c>
      <c r="AV28" s="3" t="s">
        <v>444</v>
      </c>
      <c r="AW28" s="3" t="s">
        <v>445</v>
      </c>
      <c r="AX28" s="3" t="s">
        <v>445</v>
      </c>
      <c r="AY28" s="3" t="s">
        <v>446</v>
      </c>
      <c r="AZ28" s="3" t="s">
        <v>73</v>
      </c>
      <c r="BB28" s="3" t="s">
        <v>447</v>
      </c>
      <c r="BC28" s="3" t="s">
        <v>448</v>
      </c>
      <c r="BD28" s="3" t="s">
        <v>449</v>
      </c>
    </row>
    <row r="29" spans="1:56" ht="47.25" customHeight="1" x14ac:dyDescent="0.25">
      <c r="A29" s="7" t="s">
        <v>58</v>
      </c>
      <c r="B29" s="2" t="s">
        <v>450</v>
      </c>
      <c r="C29" s="2" t="s">
        <v>451</v>
      </c>
      <c r="D29" s="2" t="s">
        <v>452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K29" s="2" t="s">
        <v>453</v>
      </c>
      <c r="L29" s="2" t="s">
        <v>454</v>
      </c>
      <c r="M29" s="3" t="s">
        <v>455</v>
      </c>
      <c r="O29" s="3" t="s">
        <v>63</v>
      </c>
      <c r="P29" s="3" t="s">
        <v>83</v>
      </c>
      <c r="Q29" s="2" t="s">
        <v>456</v>
      </c>
      <c r="R29" s="3" t="s">
        <v>66</v>
      </c>
      <c r="S29" s="4">
        <v>6</v>
      </c>
      <c r="T29" s="4">
        <v>6</v>
      </c>
      <c r="U29" s="5" t="s">
        <v>457</v>
      </c>
      <c r="V29" s="5" t="s">
        <v>457</v>
      </c>
      <c r="W29" s="5" t="s">
        <v>134</v>
      </c>
      <c r="X29" s="5" t="s">
        <v>134</v>
      </c>
      <c r="Y29" s="4">
        <v>1155</v>
      </c>
      <c r="Z29" s="4">
        <v>1097</v>
      </c>
      <c r="AA29" s="4">
        <v>1596</v>
      </c>
      <c r="AB29" s="4">
        <v>12</v>
      </c>
      <c r="AC29" s="4">
        <v>15</v>
      </c>
      <c r="AD29" s="4">
        <v>35</v>
      </c>
      <c r="AE29" s="4">
        <v>51</v>
      </c>
      <c r="AF29" s="4">
        <v>9</v>
      </c>
      <c r="AG29" s="4">
        <v>19</v>
      </c>
      <c r="AH29" s="4">
        <v>6</v>
      </c>
      <c r="AI29" s="4">
        <v>10</v>
      </c>
      <c r="AJ29" s="4">
        <v>16</v>
      </c>
      <c r="AK29" s="4">
        <v>20</v>
      </c>
      <c r="AL29" s="4">
        <v>9</v>
      </c>
      <c r="AM29" s="4">
        <v>12</v>
      </c>
      <c r="AN29" s="4">
        <v>0</v>
      </c>
      <c r="AO29" s="4">
        <v>0</v>
      </c>
      <c r="AP29" s="3" t="s">
        <v>58</v>
      </c>
      <c r="AQ29" s="3" t="s">
        <v>87</v>
      </c>
      <c r="AR29" s="6" t="str">
        <f>HYPERLINK("http://catalog.hathitrust.org/Record/001182427","HathiTrust Record")</f>
        <v>HathiTrust Record</v>
      </c>
      <c r="AS29" s="6" t="str">
        <f>HYPERLINK("https://creighton-primo.hosted.exlibrisgroup.com/primo-explore/search?tab=default_tab&amp;search_scope=EVERYTHING&amp;vid=01CRU&amp;lang=en_US&amp;offset=0&amp;query=any,contains,991003844889702656","Catalog Record")</f>
        <v>Catalog Record</v>
      </c>
      <c r="AT29" s="6" t="str">
        <f>HYPERLINK("http://www.worldcat.org/oclc/1627217","WorldCat Record")</f>
        <v>WorldCat Record</v>
      </c>
      <c r="AU29" s="3" t="s">
        <v>458</v>
      </c>
      <c r="AV29" s="3" t="s">
        <v>459</v>
      </c>
      <c r="AW29" s="3" t="s">
        <v>460</v>
      </c>
      <c r="AX29" s="3" t="s">
        <v>460</v>
      </c>
      <c r="AY29" s="3" t="s">
        <v>461</v>
      </c>
      <c r="AZ29" s="3" t="s">
        <v>73</v>
      </c>
      <c r="BC29" s="3" t="s">
        <v>462</v>
      </c>
      <c r="BD29" s="3" t="s">
        <v>463</v>
      </c>
    </row>
    <row r="30" spans="1:56" ht="47.25" customHeight="1" x14ac:dyDescent="0.25">
      <c r="A30" s="7" t="s">
        <v>58</v>
      </c>
      <c r="B30" s="2" t="s">
        <v>464</v>
      </c>
      <c r="C30" s="2" t="s">
        <v>465</v>
      </c>
      <c r="D30" s="2" t="s">
        <v>466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467</v>
      </c>
      <c r="L30" s="2" t="s">
        <v>468</v>
      </c>
      <c r="M30" s="3" t="s">
        <v>82</v>
      </c>
      <c r="N30" s="2" t="s">
        <v>469</v>
      </c>
      <c r="O30" s="3" t="s">
        <v>63</v>
      </c>
      <c r="P30" s="3" t="s">
        <v>148</v>
      </c>
      <c r="Q30" s="2" t="s">
        <v>470</v>
      </c>
      <c r="R30" s="3" t="s">
        <v>66</v>
      </c>
      <c r="S30" s="4">
        <v>7</v>
      </c>
      <c r="T30" s="4">
        <v>7</v>
      </c>
      <c r="U30" s="5" t="s">
        <v>103</v>
      </c>
      <c r="V30" s="5" t="s">
        <v>103</v>
      </c>
      <c r="W30" s="5" t="s">
        <v>255</v>
      </c>
      <c r="X30" s="5" t="s">
        <v>255</v>
      </c>
      <c r="Y30" s="4">
        <v>153</v>
      </c>
      <c r="Z30" s="4">
        <v>73</v>
      </c>
      <c r="AA30" s="4">
        <v>724</v>
      </c>
      <c r="AB30" s="4">
        <v>2</v>
      </c>
      <c r="AC30" s="4">
        <v>6</v>
      </c>
      <c r="AD30" s="4">
        <v>8</v>
      </c>
      <c r="AE30" s="4">
        <v>33</v>
      </c>
      <c r="AF30" s="4">
        <v>0</v>
      </c>
      <c r="AG30" s="4">
        <v>11</v>
      </c>
      <c r="AH30" s="4">
        <v>4</v>
      </c>
      <c r="AI30" s="4">
        <v>8</v>
      </c>
      <c r="AJ30" s="4">
        <v>5</v>
      </c>
      <c r="AK30" s="4">
        <v>17</v>
      </c>
      <c r="AL30" s="4">
        <v>1</v>
      </c>
      <c r="AM30" s="4">
        <v>5</v>
      </c>
      <c r="AN30" s="4">
        <v>0</v>
      </c>
      <c r="AO30" s="4">
        <v>0</v>
      </c>
      <c r="AP30" s="3" t="s">
        <v>58</v>
      </c>
      <c r="AQ30" s="3" t="s">
        <v>58</v>
      </c>
      <c r="AS30" s="6" t="str">
        <f>HYPERLINK("https://creighton-primo.hosted.exlibrisgroup.com/primo-explore/search?tab=default_tab&amp;search_scope=EVERYTHING&amp;vid=01CRU&amp;lang=en_US&amp;offset=0&amp;query=any,contains,991002871209702656","Catalog Record")</f>
        <v>Catalog Record</v>
      </c>
      <c r="AT30" s="6" t="str">
        <f>HYPERLINK("http://www.worldcat.org/oclc/499312","WorldCat Record")</f>
        <v>WorldCat Record</v>
      </c>
      <c r="AU30" s="3" t="s">
        <v>471</v>
      </c>
      <c r="AV30" s="3" t="s">
        <v>472</v>
      </c>
      <c r="AW30" s="3" t="s">
        <v>473</v>
      </c>
      <c r="AX30" s="3" t="s">
        <v>473</v>
      </c>
      <c r="AY30" s="3" t="s">
        <v>474</v>
      </c>
      <c r="AZ30" s="3" t="s">
        <v>73</v>
      </c>
      <c r="BC30" s="3" t="s">
        <v>475</v>
      </c>
      <c r="BD30" s="3" t="s">
        <v>476</v>
      </c>
    </row>
    <row r="31" spans="1:56" ht="47.25" customHeight="1" x14ac:dyDescent="0.25">
      <c r="A31" s="7" t="s">
        <v>58</v>
      </c>
      <c r="B31" s="2" t="s">
        <v>477</v>
      </c>
      <c r="C31" s="2" t="s">
        <v>478</v>
      </c>
      <c r="D31" s="2" t="s">
        <v>479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L31" s="2" t="s">
        <v>480</v>
      </c>
      <c r="M31" s="3" t="s">
        <v>338</v>
      </c>
      <c r="N31" s="2" t="s">
        <v>283</v>
      </c>
      <c r="O31" s="3" t="s">
        <v>63</v>
      </c>
      <c r="P31" s="3" t="s">
        <v>83</v>
      </c>
      <c r="Q31" s="2" t="s">
        <v>481</v>
      </c>
      <c r="R31" s="3" t="s">
        <v>66</v>
      </c>
      <c r="S31" s="4">
        <v>20</v>
      </c>
      <c r="T31" s="4">
        <v>20</v>
      </c>
      <c r="U31" s="5" t="s">
        <v>482</v>
      </c>
      <c r="V31" s="5" t="s">
        <v>482</v>
      </c>
      <c r="W31" s="5" t="s">
        <v>86</v>
      </c>
      <c r="X31" s="5" t="s">
        <v>86</v>
      </c>
      <c r="Y31" s="4">
        <v>408</v>
      </c>
      <c r="Z31" s="4">
        <v>353</v>
      </c>
      <c r="AA31" s="4">
        <v>354</v>
      </c>
      <c r="AB31" s="4">
        <v>4</v>
      </c>
      <c r="AC31" s="4">
        <v>4</v>
      </c>
      <c r="AD31" s="4">
        <v>18</v>
      </c>
      <c r="AE31" s="4">
        <v>18</v>
      </c>
      <c r="AF31" s="4">
        <v>6</v>
      </c>
      <c r="AG31" s="4">
        <v>6</v>
      </c>
      <c r="AH31" s="4">
        <v>6</v>
      </c>
      <c r="AI31" s="4">
        <v>6</v>
      </c>
      <c r="AJ31" s="4">
        <v>8</v>
      </c>
      <c r="AK31" s="4">
        <v>8</v>
      </c>
      <c r="AL31" s="4">
        <v>3</v>
      </c>
      <c r="AM31" s="4">
        <v>3</v>
      </c>
      <c r="AN31" s="4">
        <v>0</v>
      </c>
      <c r="AO31" s="4">
        <v>0</v>
      </c>
      <c r="AP31" s="3" t="s">
        <v>58</v>
      </c>
      <c r="AQ31" s="3" t="s">
        <v>87</v>
      </c>
      <c r="AR31" s="6" t="str">
        <f>HYPERLINK("http://catalog.hathitrust.org/Record/007105440","HathiTrust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HYPERLINK("https://creighton-primo.hosted.exlibrisgroup.com/primo-explore/search?tab=default_tab&amp;search_scope=EVERYTHING&amp;vid=01CRU&amp;lang=en_US&amp;offset=0&amp;query=any,contains,991001023709702656","Catalog Record")</f>
        <v>Catalog Record</v>
      </c>
      <c r="AT31" s="6" t="str">
        <f>HYPERLINK("http://www.worldcat.org/oclc/15427196","WorldCat Record")</f>
        <v>WorldCat Record</v>
      </c>
      <c r="AU31" s="3" t="s">
        <v>483</v>
      </c>
      <c r="AV31" s="3" t="s">
        <v>484</v>
      </c>
      <c r="AW31" s="3" t="s">
        <v>485</v>
      </c>
      <c r="AX31" s="3" t="s">
        <v>485</v>
      </c>
      <c r="AY31" s="3" t="s">
        <v>486</v>
      </c>
      <c r="AZ31" s="3" t="s">
        <v>73</v>
      </c>
      <c r="BB31" s="3" t="s">
        <v>487</v>
      </c>
      <c r="BC31" s="3" t="s">
        <v>488</v>
      </c>
      <c r="BD31" s="3" t="s">
        <v>489</v>
      </c>
    </row>
    <row r="32" spans="1:56" ht="47.25" customHeight="1" x14ac:dyDescent="0.25">
      <c r="A32" s="7" t="s">
        <v>58</v>
      </c>
      <c r="B32" s="2" t="s">
        <v>490</v>
      </c>
      <c r="C32" s="2" t="s">
        <v>491</v>
      </c>
      <c r="D32" s="2" t="s">
        <v>492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L32" s="2" t="s">
        <v>493</v>
      </c>
      <c r="M32" s="3" t="s">
        <v>494</v>
      </c>
      <c r="O32" s="3" t="s">
        <v>63</v>
      </c>
      <c r="P32" s="3" t="s">
        <v>267</v>
      </c>
      <c r="R32" s="3" t="s">
        <v>66</v>
      </c>
      <c r="S32" s="4">
        <v>10</v>
      </c>
      <c r="T32" s="4">
        <v>10</v>
      </c>
      <c r="U32" s="5" t="s">
        <v>495</v>
      </c>
      <c r="V32" s="5" t="s">
        <v>495</v>
      </c>
      <c r="W32" s="5" t="s">
        <v>496</v>
      </c>
      <c r="X32" s="5" t="s">
        <v>496</v>
      </c>
      <c r="Y32" s="4">
        <v>492</v>
      </c>
      <c r="Z32" s="4">
        <v>451</v>
      </c>
      <c r="AA32" s="4">
        <v>488</v>
      </c>
      <c r="AB32" s="4">
        <v>4</v>
      </c>
      <c r="AC32" s="4">
        <v>4</v>
      </c>
      <c r="AD32" s="4">
        <v>8</v>
      </c>
      <c r="AE32" s="4">
        <v>9</v>
      </c>
      <c r="AF32" s="4">
        <v>3</v>
      </c>
      <c r="AG32" s="4">
        <v>3</v>
      </c>
      <c r="AH32" s="4">
        <v>2</v>
      </c>
      <c r="AI32" s="4">
        <v>3</v>
      </c>
      <c r="AJ32" s="4">
        <v>3</v>
      </c>
      <c r="AK32" s="4">
        <v>4</v>
      </c>
      <c r="AL32" s="4">
        <v>2</v>
      </c>
      <c r="AM32" s="4">
        <v>2</v>
      </c>
      <c r="AN32" s="4">
        <v>0</v>
      </c>
      <c r="AO32" s="4">
        <v>0</v>
      </c>
      <c r="AP32" s="3" t="s">
        <v>58</v>
      </c>
      <c r="AQ32" s="3" t="s">
        <v>58</v>
      </c>
      <c r="AS32" s="6" t="str">
        <f>HYPERLINK("https://creighton-primo.hosted.exlibrisgroup.com/primo-explore/search?tab=default_tab&amp;search_scope=EVERYTHING&amp;vid=01CRU&amp;lang=en_US&amp;offset=0&amp;query=any,contains,991003942489702656","Catalog Record")</f>
        <v>Catalog Record</v>
      </c>
      <c r="AT32" s="6" t="str">
        <f>HYPERLINK("http://www.worldcat.org/oclc/50796212","WorldCat Record")</f>
        <v>WorldCat Record</v>
      </c>
      <c r="AU32" s="3" t="s">
        <v>497</v>
      </c>
      <c r="AV32" s="3" t="s">
        <v>498</v>
      </c>
      <c r="AW32" s="3" t="s">
        <v>499</v>
      </c>
      <c r="AX32" s="3" t="s">
        <v>499</v>
      </c>
      <c r="AY32" s="3" t="s">
        <v>500</v>
      </c>
      <c r="AZ32" s="3" t="s">
        <v>73</v>
      </c>
      <c r="BB32" s="3" t="s">
        <v>501</v>
      </c>
      <c r="BC32" s="3" t="s">
        <v>502</v>
      </c>
      <c r="BD32" s="3" t="s">
        <v>503</v>
      </c>
    </row>
    <row r="33" spans="1:56" ht="47.25" customHeight="1" x14ac:dyDescent="0.25">
      <c r="A33" s="7" t="s">
        <v>58</v>
      </c>
      <c r="B33" s="2" t="s">
        <v>504</v>
      </c>
      <c r="C33" s="2" t="s">
        <v>505</v>
      </c>
      <c r="D33" s="2" t="s">
        <v>506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K33" s="2" t="s">
        <v>507</v>
      </c>
      <c r="L33" s="2" t="s">
        <v>508</v>
      </c>
      <c r="M33" s="3" t="s">
        <v>509</v>
      </c>
      <c r="O33" s="3" t="s">
        <v>63</v>
      </c>
      <c r="P33" s="3" t="s">
        <v>83</v>
      </c>
      <c r="Q33" s="2" t="s">
        <v>510</v>
      </c>
      <c r="R33" s="3" t="s">
        <v>66</v>
      </c>
      <c r="S33" s="4">
        <v>3</v>
      </c>
      <c r="T33" s="4">
        <v>3</v>
      </c>
      <c r="U33" s="5" t="s">
        <v>457</v>
      </c>
      <c r="V33" s="5" t="s">
        <v>457</v>
      </c>
      <c r="W33" s="5" t="s">
        <v>240</v>
      </c>
      <c r="X33" s="5" t="s">
        <v>240</v>
      </c>
      <c r="Y33" s="4">
        <v>439</v>
      </c>
      <c r="Z33" s="4">
        <v>394</v>
      </c>
      <c r="AA33" s="4">
        <v>1618</v>
      </c>
      <c r="AB33" s="4">
        <v>5</v>
      </c>
      <c r="AC33" s="4">
        <v>13</v>
      </c>
      <c r="AD33" s="4">
        <v>19</v>
      </c>
      <c r="AE33" s="4">
        <v>51</v>
      </c>
      <c r="AF33" s="4">
        <v>6</v>
      </c>
      <c r="AG33" s="4">
        <v>20</v>
      </c>
      <c r="AH33" s="4">
        <v>5</v>
      </c>
      <c r="AI33" s="4">
        <v>11</v>
      </c>
      <c r="AJ33" s="4">
        <v>7</v>
      </c>
      <c r="AK33" s="4">
        <v>25</v>
      </c>
      <c r="AL33" s="4">
        <v>4</v>
      </c>
      <c r="AM33" s="4">
        <v>8</v>
      </c>
      <c r="AN33" s="4">
        <v>0</v>
      </c>
      <c r="AO33" s="4">
        <v>0</v>
      </c>
      <c r="AP33" s="3" t="s">
        <v>58</v>
      </c>
      <c r="AQ33" s="3" t="s">
        <v>87</v>
      </c>
      <c r="AR33" s="6" t="str">
        <f>HYPERLINK("http://catalog.hathitrust.org/Record/004539736","HathiTrust Record")</f>
        <v>HathiTrust Record</v>
      </c>
      <c r="AS33" s="6" t="str">
        <f>HYPERLINK("https://creighton-primo.hosted.exlibrisgroup.com/primo-explore/search?tab=default_tab&amp;search_scope=EVERYTHING&amp;vid=01CRU&amp;lang=en_US&amp;offset=0&amp;query=any,contains,991003216059702656","Catalog Record")</f>
        <v>Catalog Record</v>
      </c>
      <c r="AT33" s="6" t="str">
        <f>HYPERLINK("http://www.worldcat.org/oclc/12175311","WorldCat Record")</f>
        <v>WorldCat Record</v>
      </c>
      <c r="AU33" s="3" t="s">
        <v>511</v>
      </c>
      <c r="AV33" s="3" t="s">
        <v>512</v>
      </c>
      <c r="AW33" s="3" t="s">
        <v>513</v>
      </c>
      <c r="AX33" s="3" t="s">
        <v>513</v>
      </c>
      <c r="AY33" s="3" t="s">
        <v>514</v>
      </c>
      <c r="AZ33" s="3" t="s">
        <v>73</v>
      </c>
      <c r="BC33" s="3" t="s">
        <v>515</v>
      </c>
      <c r="BD33" s="3" t="s">
        <v>516</v>
      </c>
    </row>
    <row r="34" spans="1:56" ht="47.25" customHeight="1" x14ac:dyDescent="0.25">
      <c r="A34" s="7" t="s">
        <v>58</v>
      </c>
      <c r="B34" s="2" t="s">
        <v>517</v>
      </c>
      <c r="C34" s="2" t="s">
        <v>518</v>
      </c>
      <c r="D34" s="2" t="s">
        <v>519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520</v>
      </c>
      <c r="L34" s="2" t="s">
        <v>521</v>
      </c>
      <c r="M34" s="3" t="s">
        <v>522</v>
      </c>
      <c r="O34" s="3" t="s">
        <v>63</v>
      </c>
      <c r="P34" s="3" t="s">
        <v>83</v>
      </c>
      <c r="Q34" s="2" t="s">
        <v>523</v>
      </c>
      <c r="R34" s="3" t="s">
        <v>66</v>
      </c>
      <c r="S34" s="4">
        <v>6</v>
      </c>
      <c r="T34" s="4">
        <v>6</v>
      </c>
      <c r="U34" s="5" t="s">
        <v>524</v>
      </c>
      <c r="V34" s="5" t="s">
        <v>524</v>
      </c>
      <c r="W34" s="5" t="s">
        <v>525</v>
      </c>
      <c r="X34" s="5" t="s">
        <v>525</v>
      </c>
      <c r="Y34" s="4">
        <v>233</v>
      </c>
      <c r="Z34" s="4">
        <v>203</v>
      </c>
      <c r="AA34" s="4">
        <v>296</v>
      </c>
      <c r="AB34" s="4">
        <v>1</v>
      </c>
      <c r="AC34" s="4">
        <v>1</v>
      </c>
      <c r="AD34" s="4">
        <v>10</v>
      </c>
      <c r="AE34" s="4">
        <v>10</v>
      </c>
      <c r="AF34" s="4">
        <v>3</v>
      </c>
      <c r="AG34" s="4">
        <v>3</v>
      </c>
      <c r="AH34" s="4">
        <v>0</v>
      </c>
      <c r="AI34" s="4">
        <v>0</v>
      </c>
      <c r="AJ34" s="4">
        <v>9</v>
      </c>
      <c r="AK34" s="4">
        <v>9</v>
      </c>
      <c r="AL34" s="4">
        <v>0</v>
      </c>
      <c r="AM34" s="4">
        <v>0</v>
      </c>
      <c r="AN34" s="4">
        <v>0</v>
      </c>
      <c r="AO34" s="4">
        <v>0</v>
      </c>
      <c r="AP34" s="3" t="s">
        <v>58</v>
      </c>
      <c r="AQ34" s="3" t="s">
        <v>58</v>
      </c>
      <c r="AS34" s="6" t="str">
        <f>HYPERLINK("https://creighton-primo.hosted.exlibrisgroup.com/primo-explore/search?tab=default_tab&amp;search_scope=EVERYTHING&amp;vid=01CRU&amp;lang=en_US&amp;offset=0&amp;query=any,contains,991003141379702656","Catalog Record")</f>
        <v>Catalog Record</v>
      </c>
      <c r="AT34" s="6" t="str">
        <f>HYPERLINK("http://www.worldcat.org/oclc/682811","WorldCat Record")</f>
        <v>WorldCat Record</v>
      </c>
      <c r="AU34" s="3" t="s">
        <v>526</v>
      </c>
      <c r="AV34" s="3" t="s">
        <v>527</v>
      </c>
      <c r="AW34" s="3" t="s">
        <v>528</v>
      </c>
      <c r="AX34" s="3" t="s">
        <v>528</v>
      </c>
      <c r="AY34" s="3" t="s">
        <v>529</v>
      </c>
      <c r="AZ34" s="3" t="s">
        <v>73</v>
      </c>
      <c r="BC34" s="3" t="s">
        <v>530</v>
      </c>
      <c r="BD34" s="3" t="s">
        <v>531</v>
      </c>
    </row>
    <row r="35" spans="1:56" ht="47.25" customHeight="1" x14ac:dyDescent="0.25">
      <c r="A35" s="7" t="s">
        <v>58</v>
      </c>
      <c r="B35" s="2" t="s">
        <v>532</v>
      </c>
      <c r="C35" s="2" t="s">
        <v>533</v>
      </c>
      <c r="D35" s="2" t="s">
        <v>534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535</v>
      </c>
      <c r="L35" s="2" t="s">
        <v>536</v>
      </c>
      <c r="M35" s="3" t="s">
        <v>82</v>
      </c>
      <c r="N35" s="2" t="s">
        <v>537</v>
      </c>
      <c r="O35" s="3" t="s">
        <v>63</v>
      </c>
      <c r="P35" s="3" t="s">
        <v>83</v>
      </c>
      <c r="Q35" s="2" t="s">
        <v>538</v>
      </c>
      <c r="R35" s="3" t="s">
        <v>66</v>
      </c>
      <c r="S35" s="4">
        <v>16</v>
      </c>
      <c r="T35" s="4">
        <v>16</v>
      </c>
      <c r="U35" s="5" t="s">
        <v>426</v>
      </c>
      <c r="V35" s="5" t="s">
        <v>426</v>
      </c>
      <c r="W35" s="5" t="s">
        <v>210</v>
      </c>
      <c r="X35" s="5" t="s">
        <v>210</v>
      </c>
      <c r="Y35" s="4">
        <v>309</v>
      </c>
      <c r="Z35" s="4">
        <v>292</v>
      </c>
      <c r="AA35" s="4">
        <v>294</v>
      </c>
      <c r="AB35" s="4">
        <v>2</v>
      </c>
      <c r="AC35" s="4">
        <v>2</v>
      </c>
      <c r="AD35" s="4">
        <v>12</v>
      </c>
      <c r="AE35" s="4">
        <v>13</v>
      </c>
      <c r="AF35" s="4">
        <v>7</v>
      </c>
      <c r="AG35" s="4">
        <v>8</v>
      </c>
      <c r="AH35" s="4">
        <v>3</v>
      </c>
      <c r="AI35" s="4">
        <v>3</v>
      </c>
      <c r="AJ35" s="4">
        <v>6</v>
      </c>
      <c r="AK35" s="4">
        <v>6</v>
      </c>
      <c r="AL35" s="4">
        <v>1</v>
      </c>
      <c r="AM35" s="4">
        <v>1</v>
      </c>
      <c r="AN35" s="4">
        <v>0</v>
      </c>
      <c r="AO35" s="4">
        <v>0</v>
      </c>
      <c r="AP35" s="3" t="s">
        <v>58</v>
      </c>
      <c r="AQ35" s="3" t="s">
        <v>58</v>
      </c>
      <c r="AS35" s="6" t="str">
        <f>HYPERLINK("https://creighton-primo.hosted.exlibrisgroup.com/primo-explore/search?tab=default_tab&amp;search_scope=EVERYTHING&amp;vid=01CRU&amp;lang=en_US&amp;offset=0&amp;query=any,contains,991000550069702656","Catalog Record")</f>
        <v>Catalog Record</v>
      </c>
      <c r="AT35" s="6" t="str">
        <f>HYPERLINK("http://www.worldcat.org/oclc/92405","WorldCat Record")</f>
        <v>WorldCat Record</v>
      </c>
      <c r="AU35" s="3" t="s">
        <v>539</v>
      </c>
      <c r="AV35" s="3" t="s">
        <v>540</v>
      </c>
      <c r="AW35" s="3" t="s">
        <v>541</v>
      </c>
      <c r="AX35" s="3" t="s">
        <v>541</v>
      </c>
      <c r="AY35" s="3" t="s">
        <v>542</v>
      </c>
      <c r="AZ35" s="3" t="s">
        <v>73</v>
      </c>
      <c r="BC35" s="3" t="s">
        <v>543</v>
      </c>
      <c r="BD35" s="3" t="s">
        <v>544</v>
      </c>
    </row>
    <row r="36" spans="1:56" ht="47.25" customHeight="1" x14ac:dyDescent="0.25">
      <c r="A36" s="7" t="s">
        <v>58</v>
      </c>
      <c r="B36" s="2" t="s">
        <v>545</v>
      </c>
      <c r="C36" s="2" t="s">
        <v>546</v>
      </c>
      <c r="D36" s="2" t="s">
        <v>547</v>
      </c>
      <c r="F36" s="3" t="s">
        <v>87</v>
      </c>
      <c r="G36" s="3" t="s">
        <v>59</v>
      </c>
      <c r="H36" s="3" t="s">
        <v>87</v>
      </c>
      <c r="I36" s="3" t="s">
        <v>58</v>
      </c>
      <c r="J36" s="3" t="s">
        <v>60</v>
      </c>
      <c r="K36" s="2" t="s">
        <v>548</v>
      </c>
      <c r="L36" s="2" t="s">
        <v>549</v>
      </c>
      <c r="M36" s="3" t="s">
        <v>82</v>
      </c>
      <c r="O36" s="3" t="s">
        <v>63</v>
      </c>
      <c r="P36" s="3" t="s">
        <v>83</v>
      </c>
      <c r="R36" s="3" t="s">
        <v>66</v>
      </c>
      <c r="S36" s="4">
        <v>6</v>
      </c>
      <c r="T36" s="4">
        <v>11</v>
      </c>
      <c r="U36" s="5" t="s">
        <v>550</v>
      </c>
      <c r="V36" s="5" t="s">
        <v>550</v>
      </c>
      <c r="W36" s="5" t="s">
        <v>551</v>
      </c>
      <c r="X36" s="5" t="s">
        <v>551</v>
      </c>
      <c r="Y36" s="4">
        <v>294</v>
      </c>
      <c r="Z36" s="4">
        <v>267</v>
      </c>
      <c r="AA36" s="4">
        <v>350</v>
      </c>
      <c r="AB36" s="4">
        <v>3</v>
      </c>
      <c r="AC36" s="4">
        <v>4</v>
      </c>
      <c r="AD36" s="4">
        <v>12</v>
      </c>
      <c r="AE36" s="4">
        <v>17</v>
      </c>
      <c r="AF36" s="4">
        <v>4</v>
      </c>
      <c r="AG36" s="4">
        <v>5</v>
      </c>
      <c r="AH36" s="4">
        <v>4</v>
      </c>
      <c r="AI36" s="4">
        <v>5</v>
      </c>
      <c r="AJ36" s="4">
        <v>5</v>
      </c>
      <c r="AK36" s="4">
        <v>8</v>
      </c>
      <c r="AL36" s="4">
        <v>2</v>
      </c>
      <c r="AM36" s="4">
        <v>3</v>
      </c>
      <c r="AN36" s="4">
        <v>0</v>
      </c>
      <c r="AO36" s="4">
        <v>0</v>
      </c>
      <c r="AP36" s="3" t="s">
        <v>58</v>
      </c>
      <c r="AQ36" s="3" t="s">
        <v>87</v>
      </c>
      <c r="AR36" s="6" t="str">
        <f>HYPERLINK("http://catalog.hathitrust.org/Record/001370423","HathiTrust Record")</f>
        <v>HathiTrust Record</v>
      </c>
      <c r="AS36" s="6" t="str">
        <f>HYPERLINK("https://creighton-primo.hosted.exlibrisgroup.com/primo-explore/search?tab=default_tab&amp;search_scope=EVERYTHING&amp;vid=01CRU&amp;lang=en_US&amp;offset=0&amp;query=any,contains,991000584579702656","Catalog Record")</f>
        <v>Catalog Record</v>
      </c>
      <c r="AT36" s="6" t="str">
        <f>HYPERLINK("http://www.worldcat.org/oclc/95906","WorldCat Record")</f>
        <v>WorldCat Record</v>
      </c>
      <c r="AU36" s="3" t="s">
        <v>552</v>
      </c>
      <c r="AV36" s="3" t="s">
        <v>553</v>
      </c>
      <c r="AW36" s="3" t="s">
        <v>554</v>
      </c>
      <c r="AX36" s="3" t="s">
        <v>554</v>
      </c>
      <c r="AY36" s="3" t="s">
        <v>555</v>
      </c>
      <c r="AZ36" s="3" t="s">
        <v>73</v>
      </c>
      <c r="BB36" s="3" t="s">
        <v>556</v>
      </c>
      <c r="BC36" s="3" t="s">
        <v>557</v>
      </c>
      <c r="BD36" s="3" t="s">
        <v>558</v>
      </c>
    </row>
    <row r="37" spans="1:56" ht="47.25" customHeight="1" x14ac:dyDescent="0.25">
      <c r="A37" s="7" t="s">
        <v>58</v>
      </c>
      <c r="B37" s="2" t="s">
        <v>559</v>
      </c>
      <c r="C37" s="2" t="s">
        <v>560</v>
      </c>
      <c r="D37" s="2" t="s">
        <v>547</v>
      </c>
      <c r="E37" s="3" t="s">
        <v>561</v>
      </c>
      <c r="F37" s="3" t="s">
        <v>87</v>
      </c>
      <c r="G37" s="3" t="s">
        <v>59</v>
      </c>
      <c r="H37" s="3" t="s">
        <v>58</v>
      </c>
      <c r="I37" s="3" t="s">
        <v>58</v>
      </c>
      <c r="J37" s="3" t="s">
        <v>60</v>
      </c>
      <c r="K37" s="2" t="s">
        <v>548</v>
      </c>
      <c r="L37" s="2" t="s">
        <v>549</v>
      </c>
      <c r="M37" s="3" t="s">
        <v>82</v>
      </c>
      <c r="O37" s="3" t="s">
        <v>63</v>
      </c>
      <c r="P37" s="3" t="s">
        <v>83</v>
      </c>
      <c r="R37" s="3" t="s">
        <v>66</v>
      </c>
      <c r="S37" s="4">
        <v>5</v>
      </c>
      <c r="T37" s="4">
        <v>11</v>
      </c>
      <c r="U37" s="5" t="s">
        <v>562</v>
      </c>
      <c r="V37" s="5" t="s">
        <v>550</v>
      </c>
      <c r="W37" s="5" t="s">
        <v>551</v>
      </c>
      <c r="X37" s="5" t="s">
        <v>551</v>
      </c>
      <c r="Y37" s="4">
        <v>294</v>
      </c>
      <c r="Z37" s="4">
        <v>267</v>
      </c>
      <c r="AA37" s="4">
        <v>350</v>
      </c>
      <c r="AB37" s="4">
        <v>3</v>
      </c>
      <c r="AC37" s="4">
        <v>4</v>
      </c>
      <c r="AD37" s="4">
        <v>12</v>
      </c>
      <c r="AE37" s="4">
        <v>17</v>
      </c>
      <c r="AF37" s="4">
        <v>4</v>
      </c>
      <c r="AG37" s="4">
        <v>5</v>
      </c>
      <c r="AH37" s="4">
        <v>4</v>
      </c>
      <c r="AI37" s="4">
        <v>5</v>
      </c>
      <c r="AJ37" s="4">
        <v>5</v>
      </c>
      <c r="AK37" s="4">
        <v>8</v>
      </c>
      <c r="AL37" s="4">
        <v>2</v>
      </c>
      <c r="AM37" s="4">
        <v>3</v>
      </c>
      <c r="AN37" s="4">
        <v>0</v>
      </c>
      <c r="AO37" s="4">
        <v>0</v>
      </c>
      <c r="AP37" s="3" t="s">
        <v>58</v>
      </c>
      <c r="AQ37" s="3" t="s">
        <v>87</v>
      </c>
      <c r="AR37" s="6" t="str">
        <f>HYPERLINK("http://catalog.hathitrust.org/Record/001370423","HathiTrust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HYPERLINK("https://creighton-primo.hosted.exlibrisgroup.com/primo-explore/search?tab=default_tab&amp;search_scope=EVERYTHING&amp;vid=01CRU&amp;lang=en_US&amp;offset=0&amp;query=any,contains,991000584579702656","Catalog Record")</f>
        <v>Catalog Record</v>
      </c>
      <c r="AT37" s="6" t="str">
        <f>HYPERLINK("http://www.worldcat.org/oclc/95906","WorldCat Record")</f>
        <v>WorldCat Record</v>
      </c>
      <c r="AU37" s="3" t="s">
        <v>552</v>
      </c>
      <c r="AV37" s="3" t="s">
        <v>553</v>
      </c>
      <c r="AW37" s="3" t="s">
        <v>554</v>
      </c>
      <c r="AX37" s="3" t="s">
        <v>554</v>
      </c>
      <c r="AY37" s="3" t="s">
        <v>555</v>
      </c>
      <c r="AZ37" s="3" t="s">
        <v>73</v>
      </c>
      <c r="BB37" s="3" t="s">
        <v>556</v>
      </c>
      <c r="BC37" s="3" t="s">
        <v>563</v>
      </c>
      <c r="BD37" s="3" t="s">
        <v>564</v>
      </c>
    </row>
    <row r="38" spans="1:56" ht="47.25" customHeight="1" x14ac:dyDescent="0.25">
      <c r="A38" s="7" t="s">
        <v>58</v>
      </c>
      <c r="B38" s="2" t="s">
        <v>565</v>
      </c>
      <c r="C38" s="2" t="s">
        <v>566</v>
      </c>
      <c r="D38" s="2" t="s">
        <v>567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K38" s="2" t="s">
        <v>568</v>
      </c>
      <c r="L38" s="2" t="s">
        <v>569</v>
      </c>
      <c r="M38" s="3" t="s">
        <v>570</v>
      </c>
      <c r="O38" s="3" t="s">
        <v>63</v>
      </c>
      <c r="P38" s="3" t="s">
        <v>83</v>
      </c>
      <c r="R38" s="3" t="s">
        <v>66</v>
      </c>
      <c r="S38" s="4">
        <v>14</v>
      </c>
      <c r="T38" s="4">
        <v>14</v>
      </c>
      <c r="U38" s="5" t="s">
        <v>571</v>
      </c>
      <c r="V38" s="5" t="s">
        <v>571</v>
      </c>
      <c r="W38" s="5" t="s">
        <v>572</v>
      </c>
      <c r="X38" s="5" t="s">
        <v>572</v>
      </c>
      <c r="Y38" s="4">
        <v>101</v>
      </c>
      <c r="Z38" s="4">
        <v>85</v>
      </c>
      <c r="AA38" s="4">
        <v>168</v>
      </c>
      <c r="AB38" s="4">
        <v>1</v>
      </c>
      <c r="AC38" s="4">
        <v>2</v>
      </c>
      <c r="AD38" s="4">
        <v>3</v>
      </c>
      <c r="AE38" s="4">
        <v>7</v>
      </c>
      <c r="AF38" s="4">
        <v>0</v>
      </c>
      <c r="AG38" s="4">
        <v>0</v>
      </c>
      <c r="AH38" s="4">
        <v>2</v>
      </c>
      <c r="AI38" s="4">
        <v>4</v>
      </c>
      <c r="AJ38" s="4">
        <v>2</v>
      </c>
      <c r="AK38" s="4">
        <v>3</v>
      </c>
      <c r="AL38" s="4">
        <v>0</v>
      </c>
      <c r="AM38" s="4">
        <v>1</v>
      </c>
      <c r="AN38" s="4">
        <v>0</v>
      </c>
      <c r="AO38" s="4">
        <v>0</v>
      </c>
      <c r="AP38" s="3" t="s">
        <v>87</v>
      </c>
      <c r="AQ38" s="3" t="s">
        <v>58</v>
      </c>
      <c r="AR38" s="6" t="str">
        <f>HYPERLINK("http://catalog.hathitrust.org/Record/101849562","HathiTrust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HYPERLINK("https://creighton-primo.hosted.exlibrisgroup.com/primo-explore/search?tab=default_tab&amp;search_scope=EVERYTHING&amp;vid=01CRU&amp;lang=en_US&amp;offset=0&amp;query=any,contains,991002759109702656","Catalog Record")</f>
        <v>Catalog Record</v>
      </c>
      <c r="AT38" s="6" t="str">
        <f>HYPERLINK("http://www.worldcat.org/oclc/427343","WorldCat Record")</f>
        <v>WorldCat Record</v>
      </c>
      <c r="AU38" s="3" t="s">
        <v>573</v>
      </c>
      <c r="AV38" s="3" t="s">
        <v>574</v>
      </c>
      <c r="AW38" s="3" t="s">
        <v>575</v>
      </c>
      <c r="AX38" s="3" t="s">
        <v>575</v>
      </c>
      <c r="AY38" s="3" t="s">
        <v>576</v>
      </c>
      <c r="AZ38" s="3" t="s">
        <v>73</v>
      </c>
      <c r="BB38" s="3" t="s">
        <v>577</v>
      </c>
      <c r="BC38" s="3" t="s">
        <v>578</v>
      </c>
      <c r="BD38" s="3" t="s">
        <v>579</v>
      </c>
    </row>
    <row r="39" spans="1:56" ht="47.25" customHeight="1" x14ac:dyDescent="0.25">
      <c r="A39" s="7" t="s">
        <v>58</v>
      </c>
      <c r="B39" s="2" t="s">
        <v>580</v>
      </c>
      <c r="C39" s="2" t="s">
        <v>581</v>
      </c>
      <c r="D39" s="2" t="s">
        <v>582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K39" s="2" t="s">
        <v>583</v>
      </c>
      <c r="L39" s="2" t="s">
        <v>584</v>
      </c>
      <c r="M39" s="3" t="s">
        <v>585</v>
      </c>
      <c r="O39" s="3" t="s">
        <v>63</v>
      </c>
      <c r="P39" s="3" t="s">
        <v>83</v>
      </c>
      <c r="R39" s="3" t="s">
        <v>66</v>
      </c>
      <c r="S39" s="4">
        <v>13</v>
      </c>
      <c r="T39" s="4">
        <v>13</v>
      </c>
      <c r="U39" s="5" t="s">
        <v>586</v>
      </c>
      <c r="V39" s="5" t="s">
        <v>586</v>
      </c>
      <c r="W39" s="5" t="s">
        <v>587</v>
      </c>
      <c r="X39" s="5" t="s">
        <v>587</v>
      </c>
      <c r="Y39" s="4">
        <v>744</v>
      </c>
      <c r="Z39" s="4">
        <v>681</v>
      </c>
      <c r="AA39" s="4">
        <v>1240</v>
      </c>
      <c r="AB39" s="4">
        <v>11</v>
      </c>
      <c r="AC39" s="4">
        <v>15</v>
      </c>
      <c r="AD39" s="4">
        <v>43</v>
      </c>
      <c r="AE39" s="4">
        <v>55</v>
      </c>
      <c r="AF39" s="4">
        <v>15</v>
      </c>
      <c r="AG39" s="4">
        <v>22</v>
      </c>
      <c r="AH39" s="4">
        <v>9</v>
      </c>
      <c r="AI39" s="4">
        <v>10</v>
      </c>
      <c r="AJ39" s="4">
        <v>20</v>
      </c>
      <c r="AK39" s="4">
        <v>24</v>
      </c>
      <c r="AL39" s="4">
        <v>9</v>
      </c>
      <c r="AM39" s="4">
        <v>11</v>
      </c>
      <c r="AN39" s="4">
        <v>0</v>
      </c>
      <c r="AO39" s="4">
        <v>0</v>
      </c>
      <c r="AP39" s="3" t="s">
        <v>58</v>
      </c>
      <c r="AQ39" s="3" t="s">
        <v>87</v>
      </c>
      <c r="AR39" s="6" t="str">
        <f>HYPERLINK("http://catalog.hathitrust.org/Record/001372003","HathiTrust Record")</f>
        <v>HathiTrust Record</v>
      </c>
      <c r="AS39" s="6" t="str">
        <f>HYPERLINK("https://creighton-primo.hosted.exlibrisgroup.com/primo-explore/search?tab=default_tab&amp;search_scope=EVERYTHING&amp;vid=01CRU&amp;lang=en_US&amp;offset=0&amp;query=any,contains,991003217379702656","Catalog Record")</f>
        <v>Catalog Record</v>
      </c>
      <c r="AT39" s="6" t="str">
        <f>HYPERLINK("http://www.worldcat.org/oclc/743556","WorldCat Record")</f>
        <v>WorldCat Record</v>
      </c>
      <c r="AU39" s="3" t="s">
        <v>588</v>
      </c>
      <c r="AV39" s="3" t="s">
        <v>589</v>
      </c>
      <c r="AW39" s="3" t="s">
        <v>590</v>
      </c>
      <c r="AX39" s="3" t="s">
        <v>590</v>
      </c>
      <c r="AY39" s="3" t="s">
        <v>591</v>
      </c>
      <c r="AZ39" s="3" t="s">
        <v>73</v>
      </c>
      <c r="BC39" s="3" t="s">
        <v>592</v>
      </c>
      <c r="BD39" s="3" t="s">
        <v>593</v>
      </c>
    </row>
    <row r="40" spans="1:56" ht="47.25" customHeight="1" x14ac:dyDescent="0.25">
      <c r="A40" s="7" t="s">
        <v>58</v>
      </c>
      <c r="B40" s="2" t="s">
        <v>594</v>
      </c>
      <c r="C40" s="2" t="s">
        <v>595</v>
      </c>
      <c r="D40" s="2" t="s">
        <v>596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L40" s="2" t="s">
        <v>597</v>
      </c>
      <c r="M40" s="3" t="s">
        <v>598</v>
      </c>
      <c r="O40" s="3" t="s">
        <v>63</v>
      </c>
      <c r="P40" s="3" t="s">
        <v>178</v>
      </c>
      <c r="R40" s="3" t="s">
        <v>66</v>
      </c>
      <c r="S40" s="4">
        <v>5</v>
      </c>
      <c r="T40" s="4">
        <v>5</v>
      </c>
      <c r="U40" s="5" t="s">
        <v>599</v>
      </c>
      <c r="V40" s="5" t="s">
        <v>599</v>
      </c>
      <c r="W40" s="5" t="s">
        <v>600</v>
      </c>
      <c r="X40" s="5" t="s">
        <v>600</v>
      </c>
      <c r="Y40" s="4">
        <v>146</v>
      </c>
      <c r="Z40" s="4">
        <v>121</v>
      </c>
      <c r="AA40" s="4">
        <v>124</v>
      </c>
      <c r="AB40" s="4">
        <v>4</v>
      </c>
      <c r="AC40" s="4">
        <v>4</v>
      </c>
      <c r="AD40" s="4">
        <v>8</v>
      </c>
      <c r="AE40" s="4">
        <v>8</v>
      </c>
      <c r="AF40" s="4">
        <v>2</v>
      </c>
      <c r="AG40" s="4">
        <v>2</v>
      </c>
      <c r="AH40" s="4">
        <v>3</v>
      </c>
      <c r="AI40" s="4">
        <v>3</v>
      </c>
      <c r="AJ40" s="4">
        <v>5</v>
      </c>
      <c r="AK40" s="4">
        <v>5</v>
      </c>
      <c r="AL40" s="4">
        <v>1</v>
      </c>
      <c r="AM40" s="4">
        <v>1</v>
      </c>
      <c r="AN40" s="4">
        <v>0</v>
      </c>
      <c r="AO40" s="4">
        <v>0</v>
      </c>
      <c r="AP40" s="3" t="s">
        <v>58</v>
      </c>
      <c r="AQ40" s="3" t="s">
        <v>58</v>
      </c>
      <c r="AS40" s="6" t="str">
        <f>HYPERLINK("https://creighton-primo.hosted.exlibrisgroup.com/primo-explore/search?tab=default_tab&amp;search_scope=EVERYTHING&amp;vid=01CRU&amp;lang=en_US&amp;offset=0&amp;query=any,contains,991001639539702656","Catalog Record")</f>
        <v>Catalog Record</v>
      </c>
      <c r="AT40" s="6" t="str">
        <f>HYPERLINK("http://www.worldcat.org/oclc/20996952","WorldCat Record")</f>
        <v>WorldCat Record</v>
      </c>
      <c r="AU40" s="3" t="s">
        <v>601</v>
      </c>
      <c r="AV40" s="3" t="s">
        <v>602</v>
      </c>
      <c r="AW40" s="3" t="s">
        <v>603</v>
      </c>
      <c r="AX40" s="3" t="s">
        <v>603</v>
      </c>
      <c r="AY40" s="3" t="s">
        <v>604</v>
      </c>
      <c r="AZ40" s="3" t="s">
        <v>73</v>
      </c>
      <c r="BB40" s="3" t="s">
        <v>605</v>
      </c>
      <c r="BC40" s="3" t="s">
        <v>606</v>
      </c>
      <c r="BD40" s="3" t="s">
        <v>607</v>
      </c>
    </row>
    <row r="41" spans="1:56" ht="47.25" customHeight="1" x14ac:dyDescent="0.25">
      <c r="A41" s="7" t="s">
        <v>58</v>
      </c>
      <c r="B41" s="2" t="s">
        <v>608</v>
      </c>
      <c r="C41" s="2" t="s">
        <v>609</v>
      </c>
      <c r="D41" s="2" t="s">
        <v>610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L41" s="2" t="s">
        <v>611</v>
      </c>
      <c r="M41" s="3" t="s">
        <v>238</v>
      </c>
      <c r="O41" s="3" t="s">
        <v>63</v>
      </c>
      <c r="P41" s="3" t="s">
        <v>178</v>
      </c>
      <c r="R41" s="3" t="s">
        <v>66</v>
      </c>
      <c r="S41" s="4">
        <v>9</v>
      </c>
      <c r="T41" s="4">
        <v>9</v>
      </c>
      <c r="U41" s="5" t="s">
        <v>612</v>
      </c>
      <c r="V41" s="5" t="s">
        <v>612</v>
      </c>
      <c r="W41" s="5" t="s">
        <v>613</v>
      </c>
      <c r="X41" s="5" t="s">
        <v>613</v>
      </c>
      <c r="Y41" s="4">
        <v>74</v>
      </c>
      <c r="Z41" s="4">
        <v>47</v>
      </c>
      <c r="AA41" s="4">
        <v>56</v>
      </c>
      <c r="AB41" s="4">
        <v>1</v>
      </c>
      <c r="AC41" s="4">
        <v>1</v>
      </c>
      <c r="AD41" s="4">
        <v>5</v>
      </c>
      <c r="AE41" s="4">
        <v>5</v>
      </c>
      <c r="AF41" s="4">
        <v>2</v>
      </c>
      <c r="AG41" s="4">
        <v>2</v>
      </c>
      <c r="AH41" s="4">
        <v>1</v>
      </c>
      <c r="AI41" s="4">
        <v>1</v>
      </c>
      <c r="AJ41" s="4">
        <v>4</v>
      </c>
      <c r="AK41" s="4">
        <v>4</v>
      </c>
      <c r="AL41" s="4">
        <v>0</v>
      </c>
      <c r="AM41" s="4">
        <v>0</v>
      </c>
      <c r="AN41" s="4">
        <v>0</v>
      </c>
      <c r="AO41" s="4">
        <v>0</v>
      </c>
      <c r="AP41" s="3" t="s">
        <v>58</v>
      </c>
      <c r="AQ41" s="3" t="s">
        <v>58</v>
      </c>
      <c r="AS41" s="6" t="str">
        <f>HYPERLINK("https://creighton-primo.hosted.exlibrisgroup.com/primo-explore/search?tab=default_tab&amp;search_scope=EVERYTHING&amp;vid=01CRU&amp;lang=en_US&amp;offset=0&amp;query=any,contains,991001178699702656","Catalog Record")</f>
        <v>Catalog Record</v>
      </c>
      <c r="AT41" s="6" t="str">
        <f>HYPERLINK("http://www.worldcat.org/oclc/17105782","WorldCat Record")</f>
        <v>WorldCat Record</v>
      </c>
      <c r="AU41" s="3" t="s">
        <v>614</v>
      </c>
      <c r="AV41" s="3" t="s">
        <v>615</v>
      </c>
      <c r="AW41" s="3" t="s">
        <v>616</v>
      </c>
      <c r="AX41" s="3" t="s">
        <v>616</v>
      </c>
      <c r="AY41" s="3" t="s">
        <v>617</v>
      </c>
      <c r="AZ41" s="3" t="s">
        <v>73</v>
      </c>
      <c r="BB41" s="3" t="s">
        <v>618</v>
      </c>
      <c r="BC41" s="3" t="s">
        <v>619</v>
      </c>
      <c r="BD41" s="3" t="s">
        <v>620</v>
      </c>
    </row>
    <row r="42" spans="1:56" ht="47.25" customHeight="1" x14ac:dyDescent="0.25">
      <c r="A42" s="7" t="s">
        <v>58</v>
      </c>
      <c r="B42" s="2" t="s">
        <v>621</v>
      </c>
      <c r="C42" s="2" t="s">
        <v>622</v>
      </c>
      <c r="D42" s="2" t="s">
        <v>623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L42" s="2" t="s">
        <v>624</v>
      </c>
      <c r="M42" s="3" t="s">
        <v>295</v>
      </c>
      <c r="O42" s="3" t="s">
        <v>63</v>
      </c>
      <c r="P42" s="3" t="s">
        <v>83</v>
      </c>
      <c r="R42" s="3" t="s">
        <v>66</v>
      </c>
      <c r="S42" s="4">
        <v>2</v>
      </c>
      <c r="T42" s="4">
        <v>2</v>
      </c>
      <c r="U42" s="5" t="s">
        <v>625</v>
      </c>
      <c r="V42" s="5" t="s">
        <v>625</v>
      </c>
      <c r="W42" s="5" t="s">
        <v>240</v>
      </c>
      <c r="X42" s="5" t="s">
        <v>240</v>
      </c>
      <c r="Y42" s="4">
        <v>236</v>
      </c>
      <c r="Z42" s="4">
        <v>220</v>
      </c>
      <c r="AA42" s="4">
        <v>274</v>
      </c>
      <c r="AB42" s="4">
        <v>3</v>
      </c>
      <c r="AC42" s="4">
        <v>3</v>
      </c>
      <c r="AD42" s="4">
        <v>11</v>
      </c>
      <c r="AE42" s="4">
        <v>12</v>
      </c>
      <c r="AF42" s="4">
        <v>2</v>
      </c>
      <c r="AG42" s="4">
        <v>2</v>
      </c>
      <c r="AH42" s="4">
        <v>6</v>
      </c>
      <c r="AI42" s="4">
        <v>6</v>
      </c>
      <c r="AJ42" s="4">
        <v>4</v>
      </c>
      <c r="AK42" s="4">
        <v>5</v>
      </c>
      <c r="AL42" s="4">
        <v>2</v>
      </c>
      <c r="AM42" s="4">
        <v>2</v>
      </c>
      <c r="AN42" s="4">
        <v>0</v>
      </c>
      <c r="AO42" s="4">
        <v>0</v>
      </c>
      <c r="AP42" s="3" t="s">
        <v>58</v>
      </c>
      <c r="AQ42" s="3" t="s">
        <v>58</v>
      </c>
      <c r="AS42" s="6" t="str">
        <f>HYPERLINK("https://creighton-primo.hosted.exlibrisgroup.com/primo-explore/search?tab=default_tab&amp;search_scope=EVERYTHING&amp;vid=01CRU&amp;lang=en_US&amp;offset=0&amp;query=any,contains,991004936889702656","Catalog Record")</f>
        <v>Catalog Record</v>
      </c>
      <c r="AT42" s="6" t="str">
        <f>HYPERLINK("http://www.worldcat.org/oclc/6143848","WorldCat Record")</f>
        <v>WorldCat Record</v>
      </c>
      <c r="AU42" s="3" t="s">
        <v>626</v>
      </c>
      <c r="AV42" s="3" t="s">
        <v>627</v>
      </c>
      <c r="AW42" s="3" t="s">
        <v>628</v>
      </c>
      <c r="AX42" s="3" t="s">
        <v>628</v>
      </c>
      <c r="AY42" s="3" t="s">
        <v>629</v>
      </c>
      <c r="AZ42" s="3" t="s">
        <v>73</v>
      </c>
      <c r="BB42" s="3" t="s">
        <v>630</v>
      </c>
      <c r="BC42" s="3" t="s">
        <v>631</v>
      </c>
      <c r="BD42" s="3" t="s">
        <v>632</v>
      </c>
    </row>
    <row r="43" spans="1:56" ht="47.25" customHeight="1" x14ac:dyDescent="0.25">
      <c r="A43" s="7" t="s">
        <v>58</v>
      </c>
      <c r="B43" s="2" t="s">
        <v>633</v>
      </c>
      <c r="C43" s="2" t="s">
        <v>634</v>
      </c>
      <c r="D43" s="2" t="s">
        <v>635</v>
      </c>
      <c r="F43" s="3" t="s">
        <v>58</v>
      </c>
      <c r="G43" s="3" t="s">
        <v>59</v>
      </c>
      <c r="H43" s="3" t="s">
        <v>58</v>
      </c>
      <c r="I43" s="3" t="s">
        <v>58</v>
      </c>
      <c r="J43" s="3" t="s">
        <v>60</v>
      </c>
      <c r="K43" s="2" t="s">
        <v>636</v>
      </c>
      <c r="L43" s="2" t="s">
        <v>637</v>
      </c>
      <c r="M43" s="3" t="s">
        <v>638</v>
      </c>
      <c r="O43" s="3" t="s">
        <v>63</v>
      </c>
      <c r="P43" s="3" t="s">
        <v>64</v>
      </c>
      <c r="R43" s="3" t="s">
        <v>66</v>
      </c>
      <c r="S43" s="4">
        <v>18</v>
      </c>
      <c r="T43" s="4">
        <v>18</v>
      </c>
      <c r="U43" s="5" t="s">
        <v>426</v>
      </c>
      <c r="V43" s="5" t="s">
        <v>426</v>
      </c>
      <c r="W43" s="5" t="s">
        <v>639</v>
      </c>
      <c r="X43" s="5" t="s">
        <v>639</v>
      </c>
      <c r="Y43" s="4">
        <v>26</v>
      </c>
      <c r="Z43" s="4">
        <v>21</v>
      </c>
      <c r="AA43" s="4">
        <v>26</v>
      </c>
      <c r="AB43" s="4">
        <v>1</v>
      </c>
      <c r="AC43" s="4">
        <v>1</v>
      </c>
      <c r="AD43" s="4">
        <v>8</v>
      </c>
      <c r="AE43" s="4">
        <v>8</v>
      </c>
      <c r="AF43" s="4">
        <v>1</v>
      </c>
      <c r="AG43" s="4">
        <v>1</v>
      </c>
      <c r="AH43" s="4">
        <v>1</v>
      </c>
      <c r="AI43" s="4">
        <v>1</v>
      </c>
      <c r="AJ43" s="4">
        <v>8</v>
      </c>
      <c r="AK43" s="4">
        <v>8</v>
      </c>
      <c r="AL43" s="4">
        <v>0</v>
      </c>
      <c r="AM43" s="4">
        <v>0</v>
      </c>
      <c r="AN43" s="4">
        <v>0</v>
      </c>
      <c r="AO43" s="4">
        <v>0</v>
      </c>
      <c r="AP43" s="3" t="s">
        <v>87</v>
      </c>
      <c r="AQ43" s="3" t="s">
        <v>58</v>
      </c>
      <c r="AR43" s="6" t="str">
        <f>HYPERLINK("http://catalog.hathitrust.org/Record/100858948","HathiTrust Record")</f>
        <v>HathiTrust Record</v>
      </c>
      <c r="AS43" s="6" t="str">
        <f>HYPERLINK("https://creighton-primo.hosted.exlibrisgroup.com/primo-explore/search?tab=default_tab&amp;search_scope=EVERYTHING&amp;vid=01CRU&amp;lang=en_US&amp;offset=0&amp;query=any,contains,991004160469702656","Catalog Record")</f>
        <v>Catalog Record</v>
      </c>
      <c r="AT43" s="6" t="str">
        <f>HYPERLINK("http://www.worldcat.org/oclc/2550061","WorldCat Record")</f>
        <v>WorldCat Record</v>
      </c>
      <c r="AU43" s="3" t="s">
        <v>640</v>
      </c>
      <c r="AV43" s="3" t="s">
        <v>641</v>
      </c>
      <c r="AW43" s="3" t="s">
        <v>642</v>
      </c>
      <c r="AX43" s="3" t="s">
        <v>642</v>
      </c>
      <c r="AY43" s="3" t="s">
        <v>643</v>
      </c>
      <c r="AZ43" s="3" t="s">
        <v>73</v>
      </c>
      <c r="BC43" s="3" t="s">
        <v>644</v>
      </c>
      <c r="BD43" s="3" t="s">
        <v>645</v>
      </c>
    </row>
    <row r="44" spans="1:56" ht="47.25" customHeight="1" x14ac:dyDescent="0.25">
      <c r="A44" s="7" t="s">
        <v>58</v>
      </c>
      <c r="B44" s="2" t="s">
        <v>646</v>
      </c>
      <c r="C44" s="2" t="s">
        <v>647</v>
      </c>
      <c r="D44" s="2" t="s">
        <v>648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L44" s="2" t="s">
        <v>649</v>
      </c>
      <c r="M44" s="3" t="s">
        <v>650</v>
      </c>
      <c r="N44" s="2" t="s">
        <v>283</v>
      </c>
      <c r="O44" s="3" t="s">
        <v>63</v>
      </c>
      <c r="P44" s="3" t="s">
        <v>651</v>
      </c>
      <c r="R44" s="3" t="s">
        <v>66</v>
      </c>
      <c r="S44" s="4">
        <v>4</v>
      </c>
      <c r="T44" s="4">
        <v>4</v>
      </c>
      <c r="U44" s="5" t="s">
        <v>652</v>
      </c>
      <c r="V44" s="5" t="s">
        <v>652</v>
      </c>
      <c r="W44" s="5" t="s">
        <v>653</v>
      </c>
      <c r="X44" s="5" t="s">
        <v>653</v>
      </c>
      <c r="Y44" s="4">
        <v>352</v>
      </c>
      <c r="Z44" s="4">
        <v>325</v>
      </c>
      <c r="AA44" s="4">
        <v>332</v>
      </c>
      <c r="AB44" s="4">
        <v>3</v>
      </c>
      <c r="AC44" s="4">
        <v>3</v>
      </c>
      <c r="AD44" s="4">
        <v>31</v>
      </c>
      <c r="AE44" s="4">
        <v>31</v>
      </c>
      <c r="AF44" s="4">
        <v>13</v>
      </c>
      <c r="AG44" s="4">
        <v>13</v>
      </c>
      <c r="AH44" s="4">
        <v>7</v>
      </c>
      <c r="AI44" s="4">
        <v>7</v>
      </c>
      <c r="AJ44" s="4">
        <v>18</v>
      </c>
      <c r="AK44" s="4">
        <v>18</v>
      </c>
      <c r="AL44" s="4">
        <v>2</v>
      </c>
      <c r="AM44" s="4">
        <v>2</v>
      </c>
      <c r="AN44" s="4">
        <v>0</v>
      </c>
      <c r="AO44" s="4">
        <v>0</v>
      </c>
      <c r="AP44" s="3" t="s">
        <v>58</v>
      </c>
      <c r="AQ44" s="3" t="s">
        <v>87</v>
      </c>
      <c r="AR44" s="6" t="str">
        <f>HYPERLINK("http://catalog.hathitrust.org/Record/003495167","HathiTrust Record")</f>
        <v>HathiTrust Record</v>
      </c>
      <c r="AS44" s="6" t="str">
        <f>HYPERLINK("https://creighton-primo.hosted.exlibrisgroup.com/primo-explore/search?tab=default_tab&amp;search_scope=EVERYTHING&amp;vid=01CRU&amp;lang=en_US&amp;offset=0&amp;query=any,contains,991003228579702656","Catalog Record")</f>
        <v>Catalog Record</v>
      </c>
      <c r="AT44" s="6" t="str">
        <f>HYPERLINK("http://www.worldcat.org/oclc/44514205","WorldCat Record")</f>
        <v>WorldCat Record</v>
      </c>
      <c r="AU44" s="3" t="s">
        <v>654</v>
      </c>
      <c r="AV44" s="3" t="s">
        <v>655</v>
      </c>
      <c r="AW44" s="3" t="s">
        <v>656</v>
      </c>
      <c r="AX44" s="3" t="s">
        <v>656</v>
      </c>
      <c r="AY44" s="3" t="s">
        <v>657</v>
      </c>
      <c r="AZ44" s="3" t="s">
        <v>73</v>
      </c>
      <c r="BB44" s="3" t="s">
        <v>658</v>
      </c>
      <c r="BC44" s="3" t="s">
        <v>659</v>
      </c>
      <c r="BD44" s="3" t="s">
        <v>660</v>
      </c>
    </row>
    <row r="45" spans="1:56" ht="47.25" customHeight="1" x14ac:dyDescent="0.25">
      <c r="A45" s="7" t="s">
        <v>58</v>
      </c>
      <c r="B45" s="2" t="s">
        <v>661</v>
      </c>
      <c r="C45" s="2" t="s">
        <v>662</v>
      </c>
      <c r="D45" s="2" t="s">
        <v>663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60</v>
      </c>
      <c r="K45" s="2" t="s">
        <v>664</v>
      </c>
      <c r="L45" s="2" t="s">
        <v>665</v>
      </c>
      <c r="M45" s="3" t="s">
        <v>666</v>
      </c>
      <c r="O45" s="3" t="s">
        <v>63</v>
      </c>
      <c r="P45" s="3" t="s">
        <v>64</v>
      </c>
      <c r="Q45" s="2" t="s">
        <v>667</v>
      </c>
      <c r="R45" s="3" t="s">
        <v>66</v>
      </c>
      <c r="S45" s="4">
        <v>1</v>
      </c>
      <c r="T45" s="4">
        <v>1</v>
      </c>
      <c r="U45" s="5" t="s">
        <v>668</v>
      </c>
      <c r="V45" s="5" t="s">
        <v>668</v>
      </c>
      <c r="W45" s="5" t="s">
        <v>151</v>
      </c>
      <c r="X45" s="5" t="s">
        <v>151</v>
      </c>
      <c r="Y45" s="4">
        <v>289</v>
      </c>
      <c r="Z45" s="4">
        <v>176</v>
      </c>
      <c r="AA45" s="4">
        <v>184</v>
      </c>
      <c r="AB45" s="4">
        <v>3</v>
      </c>
      <c r="AC45" s="4">
        <v>3</v>
      </c>
      <c r="AD45" s="4">
        <v>6</v>
      </c>
      <c r="AE45" s="4">
        <v>6</v>
      </c>
      <c r="AF45" s="4">
        <v>1</v>
      </c>
      <c r="AG45" s="4">
        <v>1</v>
      </c>
      <c r="AH45" s="4">
        <v>0</v>
      </c>
      <c r="AI45" s="4">
        <v>0</v>
      </c>
      <c r="AJ45" s="4">
        <v>3</v>
      </c>
      <c r="AK45" s="4">
        <v>3</v>
      </c>
      <c r="AL45" s="4">
        <v>2</v>
      </c>
      <c r="AM45" s="4">
        <v>2</v>
      </c>
      <c r="AN45" s="4">
        <v>0</v>
      </c>
      <c r="AO45" s="4">
        <v>0</v>
      </c>
      <c r="AP45" s="3" t="s">
        <v>58</v>
      </c>
      <c r="AQ45" s="3" t="s">
        <v>87</v>
      </c>
      <c r="AR45" s="6" t="str">
        <f>HYPERLINK("http://catalog.hathitrust.org/Record/000250849","HathiTrust Record")</f>
        <v>HathiTrust Record</v>
      </c>
      <c r="AS45" s="6" t="str">
        <f>HYPERLINK("https://creighton-primo.hosted.exlibrisgroup.com/primo-explore/search?tab=default_tab&amp;search_scope=EVERYTHING&amp;vid=01CRU&amp;lang=en_US&amp;offset=0&amp;query=any,contains,991004310779702656","Catalog Record")</f>
        <v>Catalog Record</v>
      </c>
      <c r="AT45" s="6" t="str">
        <f>HYPERLINK("http://www.worldcat.org/oclc/2993278","WorldCat Record")</f>
        <v>WorldCat Record</v>
      </c>
      <c r="AU45" s="3" t="s">
        <v>669</v>
      </c>
      <c r="AV45" s="3" t="s">
        <v>670</v>
      </c>
      <c r="AW45" s="3" t="s">
        <v>671</v>
      </c>
      <c r="AX45" s="3" t="s">
        <v>671</v>
      </c>
      <c r="AY45" s="3" t="s">
        <v>672</v>
      </c>
      <c r="AZ45" s="3" t="s">
        <v>73</v>
      </c>
      <c r="BB45" s="3" t="s">
        <v>673</v>
      </c>
      <c r="BC45" s="3" t="s">
        <v>674</v>
      </c>
      <c r="BD45" s="3" t="s">
        <v>675</v>
      </c>
    </row>
    <row r="46" spans="1:56" ht="47.25" customHeight="1" x14ac:dyDescent="0.25">
      <c r="A46" s="7" t="s">
        <v>58</v>
      </c>
      <c r="B46" s="2" t="s">
        <v>676</v>
      </c>
      <c r="C46" s="2" t="s">
        <v>677</v>
      </c>
      <c r="D46" s="2" t="s">
        <v>678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K46" s="2" t="s">
        <v>679</v>
      </c>
      <c r="L46" s="2" t="s">
        <v>680</v>
      </c>
      <c r="M46" s="3" t="s">
        <v>681</v>
      </c>
      <c r="N46" s="2" t="s">
        <v>682</v>
      </c>
      <c r="O46" s="3" t="s">
        <v>63</v>
      </c>
      <c r="P46" s="3" t="s">
        <v>64</v>
      </c>
      <c r="R46" s="3" t="s">
        <v>66</v>
      </c>
      <c r="S46" s="4">
        <v>5</v>
      </c>
      <c r="T46" s="4">
        <v>5</v>
      </c>
      <c r="U46" s="5" t="s">
        <v>426</v>
      </c>
      <c r="V46" s="5" t="s">
        <v>426</v>
      </c>
      <c r="W46" s="5" t="s">
        <v>683</v>
      </c>
      <c r="X46" s="5" t="s">
        <v>683</v>
      </c>
      <c r="Y46" s="4">
        <v>32</v>
      </c>
      <c r="Z46" s="4">
        <v>14</v>
      </c>
      <c r="AA46" s="4">
        <v>33</v>
      </c>
      <c r="AB46" s="4">
        <v>1</v>
      </c>
      <c r="AC46" s="4">
        <v>1</v>
      </c>
      <c r="AD46" s="4">
        <v>2</v>
      </c>
      <c r="AE46" s="4">
        <v>2</v>
      </c>
      <c r="AF46" s="4">
        <v>0</v>
      </c>
      <c r="AG46" s="4">
        <v>0</v>
      </c>
      <c r="AH46" s="4">
        <v>2</v>
      </c>
      <c r="AI46" s="4">
        <v>2</v>
      </c>
      <c r="AJ46" s="4">
        <v>1</v>
      </c>
      <c r="AK46" s="4">
        <v>1</v>
      </c>
      <c r="AL46" s="4">
        <v>0</v>
      </c>
      <c r="AM46" s="4">
        <v>0</v>
      </c>
      <c r="AN46" s="4">
        <v>0</v>
      </c>
      <c r="AO46" s="4">
        <v>0</v>
      </c>
      <c r="AP46" s="3" t="s">
        <v>58</v>
      </c>
      <c r="AQ46" s="3" t="s">
        <v>58</v>
      </c>
      <c r="AS46" s="6" t="str">
        <f>HYPERLINK("https://creighton-primo.hosted.exlibrisgroup.com/primo-explore/search?tab=default_tab&amp;search_scope=EVERYTHING&amp;vid=01CRU&amp;lang=en_US&amp;offset=0&amp;query=any,contains,991004918559702656","Catalog Record")</f>
        <v>Catalog Record</v>
      </c>
      <c r="AT46" s="6" t="str">
        <f>HYPERLINK("http://www.worldcat.org/oclc/6037978","WorldCat Record")</f>
        <v>WorldCat Record</v>
      </c>
      <c r="AU46" s="3" t="s">
        <v>684</v>
      </c>
      <c r="AV46" s="3" t="s">
        <v>685</v>
      </c>
      <c r="AW46" s="3" t="s">
        <v>686</v>
      </c>
      <c r="AX46" s="3" t="s">
        <v>686</v>
      </c>
      <c r="AY46" s="3" t="s">
        <v>687</v>
      </c>
      <c r="AZ46" s="3" t="s">
        <v>73</v>
      </c>
      <c r="BC46" s="3" t="s">
        <v>688</v>
      </c>
      <c r="BD46" s="3" t="s">
        <v>689</v>
      </c>
    </row>
    <row r="47" spans="1:56" ht="47.25" customHeight="1" x14ac:dyDescent="0.25">
      <c r="A47" s="7" t="s">
        <v>58</v>
      </c>
      <c r="B47" s="2" t="s">
        <v>690</v>
      </c>
      <c r="C47" s="2" t="s">
        <v>691</v>
      </c>
      <c r="D47" s="2" t="s">
        <v>692</v>
      </c>
      <c r="F47" s="3" t="s">
        <v>58</v>
      </c>
      <c r="G47" s="3" t="s">
        <v>59</v>
      </c>
      <c r="H47" s="3" t="s">
        <v>58</v>
      </c>
      <c r="I47" s="3" t="s">
        <v>87</v>
      </c>
      <c r="J47" s="3" t="s">
        <v>60</v>
      </c>
      <c r="K47" s="2" t="s">
        <v>693</v>
      </c>
      <c r="L47" s="2" t="s">
        <v>694</v>
      </c>
      <c r="M47" s="3" t="s">
        <v>598</v>
      </c>
      <c r="N47" s="2" t="s">
        <v>695</v>
      </c>
      <c r="O47" s="3" t="s">
        <v>63</v>
      </c>
      <c r="P47" s="3" t="s">
        <v>696</v>
      </c>
      <c r="R47" s="3" t="s">
        <v>66</v>
      </c>
      <c r="S47" s="4">
        <v>1</v>
      </c>
      <c r="T47" s="4">
        <v>1</v>
      </c>
      <c r="U47" s="5" t="s">
        <v>697</v>
      </c>
      <c r="V47" s="5" t="s">
        <v>697</v>
      </c>
      <c r="W47" s="5" t="s">
        <v>698</v>
      </c>
      <c r="X47" s="5" t="s">
        <v>698</v>
      </c>
      <c r="Y47" s="4">
        <v>130</v>
      </c>
      <c r="Z47" s="4">
        <v>83</v>
      </c>
      <c r="AA47" s="4">
        <v>610</v>
      </c>
      <c r="AB47" s="4">
        <v>1</v>
      </c>
      <c r="AC47" s="4">
        <v>3</v>
      </c>
      <c r="AD47" s="4">
        <v>1</v>
      </c>
      <c r="AE47" s="4">
        <v>29</v>
      </c>
      <c r="AF47" s="4">
        <v>0</v>
      </c>
      <c r="AG47" s="4">
        <v>14</v>
      </c>
      <c r="AH47" s="4">
        <v>0</v>
      </c>
      <c r="AI47" s="4">
        <v>9</v>
      </c>
      <c r="AJ47" s="4">
        <v>1</v>
      </c>
      <c r="AK47" s="4">
        <v>15</v>
      </c>
      <c r="AL47" s="4">
        <v>0</v>
      </c>
      <c r="AM47" s="4">
        <v>2</v>
      </c>
      <c r="AN47" s="4">
        <v>0</v>
      </c>
      <c r="AO47" s="4">
        <v>0</v>
      </c>
      <c r="AP47" s="3" t="s">
        <v>58</v>
      </c>
      <c r="AQ47" s="3" t="s">
        <v>87</v>
      </c>
      <c r="AR47" s="6" t="str">
        <f>HYPERLINK("http://catalog.hathitrust.org/Record/002432452","HathiTrust Record")</f>
        <v>HathiTrust Record</v>
      </c>
      <c r="AS47" s="6" t="str">
        <f>HYPERLINK("https://creighton-primo.hosted.exlibrisgroup.com/primo-explore/search?tab=default_tab&amp;search_scope=EVERYTHING&amp;vid=01CRU&amp;lang=en_US&amp;offset=0&amp;query=any,contains,991001584349702656","Catalog Record")</f>
        <v>Catalog Record</v>
      </c>
      <c r="AT47" s="6" t="str">
        <f>HYPERLINK("http://www.worldcat.org/oclc/24248815","WorldCat Record")</f>
        <v>WorldCat Record</v>
      </c>
      <c r="AU47" s="3" t="s">
        <v>699</v>
      </c>
      <c r="AV47" s="3" t="s">
        <v>700</v>
      </c>
      <c r="AW47" s="3" t="s">
        <v>701</v>
      </c>
      <c r="AX47" s="3" t="s">
        <v>701</v>
      </c>
      <c r="AY47" s="3" t="s">
        <v>702</v>
      </c>
      <c r="AZ47" s="3" t="s">
        <v>73</v>
      </c>
      <c r="BB47" s="3" t="s">
        <v>703</v>
      </c>
      <c r="BC47" s="3" t="s">
        <v>704</v>
      </c>
      <c r="BD47" s="3" t="s">
        <v>705</v>
      </c>
    </row>
    <row r="48" spans="1:56" ht="47.25" customHeight="1" x14ac:dyDescent="0.25">
      <c r="A48" s="7" t="s">
        <v>58</v>
      </c>
      <c r="B48" s="2" t="s">
        <v>706</v>
      </c>
      <c r="C48" s="2" t="s">
        <v>707</v>
      </c>
      <c r="D48" s="2" t="s">
        <v>708</v>
      </c>
      <c r="F48" s="3" t="s">
        <v>58</v>
      </c>
      <c r="G48" s="3" t="s">
        <v>59</v>
      </c>
      <c r="H48" s="3" t="s">
        <v>58</v>
      </c>
      <c r="I48" s="3" t="s">
        <v>58</v>
      </c>
      <c r="J48" s="3" t="s">
        <v>60</v>
      </c>
      <c r="K48" s="2" t="s">
        <v>709</v>
      </c>
      <c r="L48" s="2" t="s">
        <v>710</v>
      </c>
      <c r="M48" s="3" t="s">
        <v>352</v>
      </c>
      <c r="N48" s="2" t="s">
        <v>711</v>
      </c>
      <c r="O48" s="3" t="s">
        <v>63</v>
      </c>
      <c r="P48" s="3" t="s">
        <v>83</v>
      </c>
      <c r="R48" s="3" t="s">
        <v>66</v>
      </c>
      <c r="S48" s="4">
        <v>1</v>
      </c>
      <c r="T48" s="4">
        <v>1</v>
      </c>
      <c r="U48" s="5" t="s">
        <v>712</v>
      </c>
      <c r="V48" s="5" t="s">
        <v>712</v>
      </c>
      <c r="W48" s="5" t="s">
        <v>713</v>
      </c>
      <c r="X48" s="5" t="s">
        <v>713</v>
      </c>
      <c r="Y48" s="4">
        <v>13</v>
      </c>
      <c r="Z48" s="4">
        <v>13</v>
      </c>
      <c r="AA48" s="4">
        <v>80</v>
      </c>
      <c r="AB48" s="4">
        <v>1</v>
      </c>
      <c r="AC48" s="4">
        <v>1</v>
      </c>
      <c r="AD48" s="4">
        <v>2</v>
      </c>
      <c r="AE48" s="4">
        <v>10</v>
      </c>
      <c r="AF48" s="4">
        <v>0</v>
      </c>
      <c r="AG48" s="4">
        <v>3</v>
      </c>
      <c r="AH48" s="4">
        <v>0</v>
      </c>
      <c r="AI48" s="4">
        <v>3</v>
      </c>
      <c r="AJ48" s="4">
        <v>2</v>
      </c>
      <c r="AK48" s="4">
        <v>7</v>
      </c>
      <c r="AL48" s="4">
        <v>0</v>
      </c>
      <c r="AM48" s="4">
        <v>0</v>
      </c>
      <c r="AN48" s="4">
        <v>0</v>
      </c>
      <c r="AO48" s="4">
        <v>0</v>
      </c>
      <c r="AP48" s="3" t="s">
        <v>58</v>
      </c>
      <c r="AQ48" s="3" t="s">
        <v>58</v>
      </c>
      <c r="AS48" s="6" t="str">
        <f>HYPERLINK("https://creighton-primo.hosted.exlibrisgroup.com/primo-explore/search?tab=default_tab&amp;search_scope=EVERYTHING&amp;vid=01CRU&amp;lang=en_US&amp;offset=0&amp;query=any,contains,991002926449702656","Catalog Record")</f>
        <v>Catalog Record</v>
      </c>
      <c r="AT48" s="6" t="str">
        <f>HYPERLINK("http://www.worldcat.org/oclc/38892951","WorldCat Record")</f>
        <v>WorldCat Record</v>
      </c>
      <c r="AU48" s="3" t="s">
        <v>714</v>
      </c>
      <c r="AV48" s="3" t="s">
        <v>715</v>
      </c>
      <c r="AW48" s="3" t="s">
        <v>716</v>
      </c>
      <c r="AX48" s="3" t="s">
        <v>716</v>
      </c>
      <c r="AY48" s="3" t="s">
        <v>717</v>
      </c>
      <c r="AZ48" s="3" t="s">
        <v>73</v>
      </c>
      <c r="BB48" s="3" t="s">
        <v>718</v>
      </c>
      <c r="BC48" s="3" t="s">
        <v>719</v>
      </c>
      <c r="BD48" s="3" t="s">
        <v>720</v>
      </c>
    </row>
    <row r="49" spans="1:56" ht="47.25" customHeight="1" x14ac:dyDescent="0.25">
      <c r="A49" s="7" t="s">
        <v>58</v>
      </c>
      <c r="B49" s="2" t="s">
        <v>721</v>
      </c>
      <c r="C49" s="2" t="s">
        <v>722</v>
      </c>
      <c r="D49" s="2" t="s">
        <v>723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L49" s="2" t="s">
        <v>724</v>
      </c>
      <c r="M49" s="3" t="s">
        <v>425</v>
      </c>
      <c r="N49" s="2" t="s">
        <v>725</v>
      </c>
      <c r="O49" s="3" t="s">
        <v>63</v>
      </c>
      <c r="P49" s="3" t="s">
        <v>83</v>
      </c>
      <c r="R49" s="3" t="s">
        <v>66</v>
      </c>
      <c r="S49" s="4">
        <v>4</v>
      </c>
      <c r="T49" s="4">
        <v>4</v>
      </c>
      <c r="U49" s="5" t="s">
        <v>726</v>
      </c>
      <c r="V49" s="5" t="s">
        <v>726</v>
      </c>
      <c r="W49" s="5" t="s">
        <v>727</v>
      </c>
      <c r="X49" s="5" t="s">
        <v>727</v>
      </c>
      <c r="Y49" s="4">
        <v>31</v>
      </c>
      <c r="Z49" s="4">
        <v>26</v>
      </c>
      <c r="AA49" s="4">
        <v>90</v>
      </c>
      <c r="AB49" s="4">
        <v>1</v>
      </c>
      <c r="AC49" s="4">
        <v>1</v>
      </c>
      <c r="AD49" s="4">
        <v>1</v>
      </c>
      <c r="AE49" s="4">
        <v>5</v>
      </c>
      <c r="AF49" s="4">
        <v>0</v>
      </c>
      <c r="AG49" s="4">
        <v>1</v>
      </c>
      <c r="AH49" s="4">
        <v>0</v>
      </c>
      <c r="AI49" s="4">
        <v>1</v>
      </c>
      <c r="AJ49" s="4">
        <v>1</v>
      </c>
      <c r="AK49" s="4">
        <v>5</v>
      </c>
      <c r="AL49" s="4">
        <v>0</v>
      </c>
      <c r="AM49" s="4">
        <v>0</v>
      </c>
      <c r="AN49" s="4">
        <v>0</v>
      </c>
      <c r="AO49" s="4">
        <v>0</v>
      </c>
      <c r="AP49" s="3" t="s">
        <v>58</v>
      </c>
      <c r="AQ49" s="3" t="s">
        <v>58</v>
      </c>
      <c r="AS49" s="6" t="str">
        <f>HYPERLINK("https://creighton-primo.hosted.exlibrisgroup.com/primo-explore/search?tab=default_tab&amp;search_scope=EVERYTHING&amp;vid=01CRU&amp;lang=en_US&amp;offset=0&amp;query=any,contains,991002576289702656","Catalog Record")</f>
        <v>Catalog Record</v>
      </c>
      <c r="AT49" s="6" t="str">
        <f>HYPERLINK("http://www.worldcat.org/oclc/33664765","WorldCat Record")</f>
        <v>WorldCat Record</v>
      </c>
      <c r="AU49" s="3" t="s">
        <v>728</v>
      </c>
      <c r="AV49" s="3" t="s">
        <v>729</v>
      </c>
      <c r="AW49" s="3" t="s">
        <v>730</v>
      </c>
      <c r="AX49" s="3" t="s">
        <v>730</v>
      </c>
      <c r="AY49" s="3" t="s">
        <v>731</v>
      </c>
      <c r="AZ49" s="3" t="s">
        <v>73</v>
      </c>
      <c r="BB49" s="3" t="s">
        <v>732</v>
      </c>
      <c r="BC49" s="3" t="s">
        <v>733</v>
      </c>
      <c r="BD49" s="3" t="s">
        <v>734</v>
      </c>
    </row>
    <row r="50" spans="1:56" ht="47.25" customHeight="1" x14ac:dyDescent="0.25">
      <c r="A50" s="7" t="s">
        <v>58</v>
      </c>
      <c r="B50" s="2" t="s">
        <v>735</v>
      </c>
      <c r="C50" s="2" t="s">
        <v>736</v>
      </c>
      <c r="D50" s="2" t="s">
        <v>737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K50" s="2" t="s">
        <v>738</v>
      </c>
      <c r="L50" s="2" t="s">
        <v>739</v>
      </c>
      <c r="M50" s="3" t="s">
        <v>322</v>
      </c>
      <c r="O50" s="3" t="s">
        <v>63</v>
      </c>
      <c r="P50" s="3" t="s">
        <v>740</v>
      </c>
      <c r="R50" s="3" t="s">
        <v>66</v>
      </c>
      <c r="S50" s="4">
        <v>2</v>
      </c>
      <c r="T50" s="4">
        <v>2</v>
      </c>
      <c r="U50" s="5" t="s">
        <v>741</v>
      </c>
      <c r="V50" s="5" t="s">
        <v>741</v>
      </c>
      <c r="W50" s="5" t="s">
        <v>742</v>
      </c>
      <c r="X50" s="5" t="s">
        <v>742</v>
      </c>
      <c r="Y50" s="4">
        <v>61</v>
      </c>
      <c r="Z50" s="4">
        <v>61</v>
      </c>
      <c r="AA50" s="4">
        <v>85</v>
      </c>
      <c r="AB50" s="4">
        <v>2</v>
      </c>
      <c r="AC50" s="4">
        <v>2</v>
      </c>
      <c r="AD50" s="4">
        <v>1</v>
      </c>
      <c r="AE50" s="4">
        <v>1</v>
      </c>
      <c r="AF50" s="4">
        <v>0</v>
      </c>
      <c r="AG50" s="4">
        <v>0</v>
      </c>
      <c r="AH50" s="4">
        <v>1</v>
      </c>
      <c r="AI50" s="4">
        <v>1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3" t="s">
        <v>58</v>
      </c>
      <c r="AQ50" s="3" t="s">
        <v>58</v>
      </c>
      <c r="AS50" s="6" t="str">
        <f>HYPERLINK("https://creighton-primo.hosted.exlibrisgroup.com/primo-explore/search?tab=default_tab&amp;search_scope=EVERYTHING&amp;vid=01CRU&amp;lang=en_US&amp;offset=0&amp;query=any,contains,991002994079702656","Catalog Record")</f>
        <v>Catalog Record</v>
      </c>
      <c r="AT50" s="6" t="str">
        <f>HYPERLINK("http://www.worldcat.org/oclc/40456789","WorldCat Record")</f>
        <v>WorldCat Record</v>
      </c>
      <c r="AU50" s="3" t="s">
        <v>743</v>
      </c>
      <c r="AV50" s="3" t="s">
        <v>744</v>
      </c>
      <c r="AW50" s="3" t="s">
        <v>745</v>
      </c>
      <c r="AX50" s="3" t="s">
        <v>745</v>
      </c>
      <c r="AY50" s="3" t="s">
        <v>746</v>
      </c>
      <c r="AZ50" s="3" t="s">
        <v>73</v>
      </c>
      <c r="BB50" s="3" t="s">
        <v>747</v>
      </c>
      <c r="BC50" s="3" t="s">
        <v>748</v>
      </c>
      <c r="BD50" s="3" t="s">
        <v>749</v>
      </c>
    </row>
    <row r="51" spans="1:56" ht="47.25" customHeight="1" x14ac:dyDescent="0.25">
      <c r="A51" s="7" t="s">
        <v>58</v>
      </c>
      <c r="B51" s="2" t="s">
        <v>750</v>
      </c>
      <c r="C51" s="2" t="s">
        <v>751</v>
      </c>
      <c r="D51" s="2" t="s">
        <v>752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K51" s="2" t="s">
        <v>753</v>
      </c>
      <c r="L51" s="2" t="s">
        <v>754</v>
      </c>
      <c r="M51" s="3" t="s">
        <v>755</v>
      </c>
      <c r="N51" s="2" t="s">
        <v>132</v>
      </c>
      <c r="O51" s="3" t="s">
        <v>63</v>
      </c>
      <c r="P51" s="3" t="s">
        <v>64</v>
      </c>
      <c r="R51" s="3" t="s">
        <v>66</v>
      </c>
      <c r="S51" s="4">
        <v>0</v>
      </c>
      <c r="T51" s="4">
        <v>0</v>
      </c>
      <c r="U51" s="5" t="s">
        <v>756</v>
      </c>
      <c r="V51" s="5" t="s">
        <v>756</v>
      </c>
      <c r="W51" s="5" t="s">
        <v>757</v>
      </c>
      <c r="X51" s="5" t="s">
        <v>757</v>
      </c>
      <c r="Y51" s="4">
        <v>69</v>
      </c>
      <c r="Z51" s="4">
        <v>52</v>
      </c>
      <c r="AA51" s="4">
        <v>54</v>
      </c>
      <c r="AB51" s="4">
        <v>1</v>
      </c>
      <c r="AC51" s="4">
        <v>1</v>
      </c>
      <c r="AD51" s="4">
        <v>3</v>
      </c>
      <c r="AE51" s="4">
        <v>3</v>
      </c>
      <c r="AF51" s="4">
        <v>1</v>
      </c>
      <c r="AG51" s="4">
        <v>1</v>
      </c>
      <c r="AH51" s="4">
        <v>1</v>
      </c>
      <c r="AI51" s="4">
        <v>1</v>
      </c>
      <c r="AJ51" s="4">
        <v>2</v>
      </c>
      <c r="AK51" s="4">
        <v>2</v>
      </c>
      <c r="AL51" s="4">
        <v>0</v>
      </c>
      <c r="AM51" s="4">
        <v>0</v>
      </c>
      <c r="AN51" s="4">
        <v>0</v>
      </c>
      <c r="AO51" s="4">
        <v>0</v>
      </c>
      <c r="AP51" s="3" t="s">
        <v>58</v>
      </c>
      <c r="AQ51" s="3" t="s">
        <v>58</v>
      </c>
      <c r="AS51" s="6" t="str">
        <f>HYPERLINK("https://creighton-primo.hosted.exlibrisgroup.com/primo-explore/search?tab=default_tab&amp;search_scope=EVERYTHING&amp;vid=01CRU&amp;lang=en_US&amp;offset=0&amp;query=any,contains,991001810689702656","Catalog Record")</f>
        <v>Catalog Record</v>
      </c>
      <c r="AT51" s="6" t="str">
        <f>HYPERLINK("http://www.worldcat.org/oclc/22734658","WorldCat Record")</f>
        <v>WorldCat Record</v>
      </c>
      <c r="AU51" s="3" t="s">
        <v>758</v>
      </c>
      <c r="AV51" s="3" t="s">
        <v>759</v>
      </c>
      <c r="AW51" s="3" t="s">
        <v>760</v>
      </c>
      <c r="AX51" s="3" t="s">
        <v>760</v>
      </c>
      <c r="AY51" s="3" t="s">
        <v>761</v>
      </c>
      <c r="AZ51" s="3" t="s">
        <v>73</v>
      </c>
      <c r="BB51" s="3" t="s">
        <v>762</v>
      </c>
      <c r="BC51" s="3" t="s">
        <v>763</v>
      </c>
      <c r="BD51" s="3" t="s">
        <v>764</v>
      </c>
    </row>
    <row r="52" spans="1:56" ht="47.25" customHeight="1" x14ac:dyDescent="0.25">
      <c r="A52" s="7" t="s">
        <v>58</v>
      </c>
      <c r="B52" s="2" t="s">
        <v>765</v>
      </c>
      <c r="C52" s="2" t="s">
        <v>766</v>
      </c>
      <c r="D52" s="2" t="s">
        <v>767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K52" s="2" t="s">
        <v>768</v>
      </c>
      <c r="L52" s="2" t="s">
        <v>769</v>
      </c>
      <c r="M52" s="3" t="s">
        <v>368</v>
      </c>
      <c r="N52" s="2" t="s">
        <v>770</v>
      </c>
      <c r="O52" s="3" t="s">
        <v>63</v>
      </c>
      <c r="P52" s="3" t="s">
        <v>64</v>
      </c>
      <c r="Q52" s="2" t="s">
        <v>771</v>
      </c>
      <c r="R52" s="3" t="s">
        <v>66</v>
      </c>
      <c r="S52" s="4">
        <v>3</v>
      </c>
      <c r="T52" s="4">
        <v>3</v>
      </c>
      <c r="U52" s="5" t="s">
        <v>772</v>
      </c>
      <c r="V52" s="5" t="s">
        <v>772</v>
      </c>
      <c r="W52" s="5" t="s">
        <v>772</v>
      </c>
      <c r="X52" s="5" t="s">
        <v>772</v>
      </c>
      <c r="Y52" s="4">
        <v>67</v>
      </c>
      <c r="Z52" s="4">
        <v>20</v>
      </c>
      <c r="AA52" s="4">
        <v>52</v>
      </c>
      <c r="AB52" s="4">
        <v>3</v>
      </c>
      <c r="AC52" s="4">
        <v>3</v>
      </c>
      <c r="AD52" s="4">
        <v>3</v>
      </c>
      <c r="AE52" s="4">
        <v>3</v>
      </c>
      <c r="AF52" s="4">
        <v>1</v>
      </c>
      <c r="AG52" s="4">
        <v>1</v>
      </c>
      <c r="AH52" s="4">
        <v>0</v>
      </c>
      <c r="AI52" s="4">
        <v>0</v>
      </c>
      <c r="AJ52" s="4">
        <v>0</v>
      </c>
      <c r="AK52" s="4">
        <v>0</v>
      </c>
      <c r="AL52" s="4">
        <v>2</v>
      </c>
      <c r="AM52" s="4">
        <v>2</v>
      </c>
      <c r="AN52" s="4">
        <v>0</v>
      </c>
      <c r="AO52" s="4">
        <v>0</v>
      </c>
      <c r="AP52" s="3" t="s">
        <v>58</v>
      </c>
      <c r="AQ52" s="3" t="s">
        <v>58</v>
      </c>
      <c r="AS52" s="6" t="str">
        <f>HYPERLINK("https://creighton-primo.hosted.exlibrisgroup.com/primo-explore/search?tab=default_tab&amp;search_scope=EVERYTHING&amp;vid=01CRU&amp;lang=en_US&amp;offset=0&amp;query=any,contains,991004153229702656","Catalog Record")</f>
        <v>Catalog Record</v>
      </c>
      <c r="AT52" s="6" t="str">
        <f>HYPERLINK("http://www.worldcat.org/oclc/47057050","WorldCat Record")</f>
        <v>WorldCat Record</v>
      </c>
      <c r="AU52" s="3" t="s">
        <v>773</v>
      </c>
      <c r="AV52" s="3" t="s">
        <v>774</v>
      </c>
      <c r="AW52" s="3" t="s">
        <v>775</v>
      </c>
      <c r="AX52" s="3" t="s">
        <v>775</v>
      </c>
      <c r="AY52" s="3" t="s">
        <v>776</v>
      </c>
      <c r="AZ52" s="3" t="s">
        <v>73</v>
      </c>
      <c r="BB52" s="3" t="s">
        <v>777</v>
      </c>
      <c r="BC52" s="3" t="s">
        <v>778</v>
      </c>
      <c r="BD52" s="3" t="s">
        <v>779</v>
      </c>
    </row>
    <row r="53" spans="1:56" ht="47.25" customHeight="1" x14ac:dyDescent="0.25">
      <c r="A53" s="7" t="s">
        <v>58</v>
      </c>
      <c r="B53" s="2" t="s">
        <v>780</v>
      </c>
      <c r="C53" s="2" t="s">
        <v>781</v>
      </c>
      <c r="D53" s="2" t="s">
        <v>782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K53" s="2" t="s">
        <v>783</v>
      </c>
      <c r="L53" s="2" t="s">
        <v>784</v>
      </c>
      <c r="M53" s="3" t="s">
        <v>785</v>
      </c>
      <c r="N53" s="2" t="s">
        <v>695</v>
      </c>
      <c r="O53" s="3" t="s">
        <v>63</v>
      </c>
      <c r="P53" s="3" t="s">
        <v>101</v>
      </c>
      <c r="R53" s="3" t="s">
        <v>66</v>
      </c>
      <c r="S53" s="4">
        <v>6</v>
      </c>
      <c r="T53" s="4">
        <v>6</v>
      </c>
      <c r="U53" s="5" t="s">
        <v>786</v>
      </c>
      <c r="V53" s="5" t="s">
        <v>786</v>
      </c>
      <c r="W53" s="5" t="s">
        <v>787</v>
      </c>
      <c r="X53" s="5" t="s">
        <v>787</v>
      </c>
      <c r="Y53" s="4">
        <v>364</v>
      </c>
      <c r="Z53" s="4">
        <v>284</v>
      </c>
      <c r="AA53" s="4">
        <v>551</v>
      </c>
      <c r="AB53" s="4">
        <v>3</v>
      </c>
      <c r="AC53" s="4">
        <v>5</v>
      </c>
      <c r="AD53" s="4">
        <v>14</v>
      </c>
      <c r="AE53" s="4">
        <v>34</v>
      </c>
      <c r="AF53" s="4">
        <v>7</v>
      </c>
      <c r="AG53" s="4">
        <v>20</v>
      </c>
      <c r="AH53" s="4">
        <v>3</v>
      </c>
      <c r="AI53" s="4">
        <v>4</v>
      </c>
      <c r="AJ53" s="4">
        <v>6</v>
      </c>
      <c r="AK53" s="4">
        <v>14</v>
      </c>
      <c r="AL53" s="4">
        <v>2</v>
      </c>
      <c r="AM53" s="4">
        <v>4</v>
      </c>
      <c r="AN53" s="4">
        <v>0</v>
      </c>
      <c r="AO53" s="4">
        <v>0</v>
      </c>
      <c r="AP53" s="3" t="s">
        <v>58</v>
      </c>
      <c r="AQ53" s="3" t="s">
        <v>87</v>
      </c>
      <c r="AR53" s="6" t="str">
        <f>HYPERLINK("http://catalog.hathitrust.org/Record/002736947","HathiTrust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HYPERLINK("https://creighton-primo.hosted.exlibrisgroup.com/primo-explore/search?tab=default_tab&amp;search_scope=EVERYTHING&amp;vid=01CRU&amp;lang=en_US&amp;offset=0&amp;query=any,contains,991002218109702656","Catalog Record")</f>
        <v>Catalog Record</v>
      </c>
      <c r="AT53" s="6" t="str">
        <f>HYPERLINK("http://www.worldcat.org/oclc/28573324","WorldCat Record")</f>
        <v>WorldCat Record</v>
      </c>
      <c r="AU53" s="3" t="s">
        <v>788</v>
      </c>
      <c r="AV53" s="3" t="s">
        <v>789</v>
      </c>
      <c r="AW53" s="3" t="s">
        <v>790</v>
      </c>
      <c r="AX53" s="3" t="s">
        <v>790</v>
      </c>
      <c r="AY53" s="3" t="s">
        <v>791</v>
      </c>
      <c r="AZ53" s="3" t="s">
        <v>73</v>
      </c>
      <c r="BB53" s="3" t="s">
        <v>792</v>
      </c>
      <c r="BC53" s="3" t="s">
        <v>793</v>
      </c>
      <c r="BD53" s="3" t="s">
        <v>794</v>
      </c>
    </row>
    <row r="54" spans="1:56" ht="47.25" customHeight="1" x14ac:dyDescent="0.25">
      <c r="A54" s="7" t="s">
        <v>58</v>
      </c>
      <c r="B54" s="2" t="s">
        <v>795</v>
      </c>
      <c r="C54" s="2" t="s">
        <v>796</v>
      </c>
      <c r="D54" s="2" t="s">
        <v>797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L54" s="2" t="s">
        <v>798</v>
      </c>
      <c r="M54" s="3" t="s">
        <v>62</v>
      </c>
      <c r="N54" s="2" t="s">
        <v>695</v>
      </c>
      <c r="O54" s="3" t="s">
        <v>63</v>
      </c>
      <c r="P54" s="3" t="s">
        <v>83</v>
      </c>
      <c r="R54" s="3" t="s">
        <v>66</v>
      </c>
      <c r="S54" s="4">
        <v>1</v>
      </c>
      <c r="T54" s="4">
        <v>1</v>
      </c>
      <c r="U54" s="5" t="s">
        <v>799</v>
      </c>
      <c r="V54" s="5" t="s">
        <v>799</v>
      </c>
      <c r="W54" s="5" t="s">
        <v>799</v>
      </c>
      <c r="X54" s="5" t="s">
        <v>799</v>
      </c>
      <c r="Y54" s="4">
        <v>707</v>
      </c>
      <c r="Z54" s="4">
        <v>601</v>
      </c>
      <c r="AA54" s="4">
        <v>738</v>
      </c>
      <c r="AB54" s="4">
        <v>6</v>
      </c>
      <c r="AC54" s="4">
        <v>6</v>
      </c>
      <c r="AD54" s="4">
        <v>37</v>
      </c>
      <c r="AE54" s="4">
        <v>39</v>
      </c>
      <c r="AF54" s="4">
        <v>13</v>
      </c>
      <c r="AG54" s="4">
        <v>14</v>
      </c>
      <c r="AH54" s="4">
        <v>8</v>
      </c>
      <c r="AI54" s="4">
        <v>10</v>
      </c>
      <c r="AJ54" s="4">
        <v>19</v>
      </c>
      <c r="AK54" s="4">
        <v>20</v>
      </c>
      <c r="AL54" s="4">
        <v>5</v>
      </c>
      <c r="AM54" s="4">
        <v>5</v>
      </c>
      <c r="AN54" s="4">
        <v>0</v>
      </c>
      <c r="AO54" s="4">
        <v>0</v>
      </c>
      <c r="AP54" s="3" t="s">
        <v>58</v>
      </c>
      <c r="AQ54" s="3" t="s">
        <v>58</v>
      </c>
      <c r="AS54" s="6" t="str">
        <f>HYPERLINK("https://creighton-primo.hosted.exlibrisgroup.com/primo-explore/search?tab=default_tab&amp;search_scope=EVERYTHING&amp;vid=01CRU&amp;lang=en_US&amp;offset=0&amp;query=any,contains,991005043899702656","Catalog Record")</f>
        <v>Catalog Record</v>
      </c>
      <c r="AT54" s="6" t="str">
        <f>HYPERLINK("http://www.worldcat.org/oclc/25008548","WorldCat Record")</f>
        <v>WorldCat Record</v>
      </c>
      <c r="AU54" s="3" t="s">
        <v>800</v>
      </c>
      <c r="AV54" s="3" t="s">
        <v>801</v>
      </c>
      <c r="AW54" s="3" t="s">
        <v>802</v>
      </c>
      <c r="AX54" s="3" t="s">
        <v>802</v>
      </c>
      <c r="AY54" s="3" t="s">
        <v>803</v>
      </c>
      <c r="AZ54" s="3" t="s">
        <v>73</v>
      </c>
      <c r="BB54" s="3" t="s">
        <v>804</v>
      </c>
      <c r="BC54" s="3" t="s">
        <v>805</v>
      </c>
      <c r="BD54" s="3" t="s">
        <v>806</v>
      </c>
    </row>
    <row r="55" spans="1:56" ht="47.25" customHeight="1" x14ac:dyDescent="0.25">
      <c r="A55" s="7" t="s">
        <v>58</v>
      </c>
      <c r="B55" s="2" t="s">
        <v>807</v>
      </c>
      <c r="C55" s="2" t="s">
        <v>808</v>
      </c>
      <c r="D55" s="2" t="s">
        <v>809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L55" s="2" t="s">
        <v>810</v>
      </c>
      <c r="M55" s="3" t="s">
        <v>811</v>
      </c>
      <c r="O55" s="3" t="s">
        <v>63</v>
      </c>
      <c r="P55" s="3" t="s">
        <v>64</v>
      </c>
      <c r="R55" s="3" t="s">
        <v>66</v>
      </c>
      <c r="S55" s="4">
        <v>1</v>
      </c>
      <c r="T55" s="4">
        <v>1</v>
      </c>
      <c r="U55" s="5" t="s">
        <v>786</v>
      </c>
      <c r="V55" s="5" t="s">
        <v>786</v>
      </c>
      <c r="W55" s="5" t="s">
        <v>812</v>
      </c>
      <c r="X55" s="5" t="s">
        <v>812</v>
      </c>
      <c r="Y55" s="4">
        <v>478</v>
      </c>
      <c r="Z55" s="4">
        <v>368</v>
      </c>
      <c r="AA55" s="4">
        <v>379</v>
      </c>
      <c r="AB55" s="4">
        <v>2</v>
      </c>
      <c r="AC55" s="4">
        <v>2</v>
      </c>
      <c r="AD55" s="4">
        <v>13</v>
      </c>
      <c r="AE55" s="4">
        <v>13</v>
      </c>
      <c r="AF55" s="4">
        <v>6</v>
      </c>
      <c r="AG55" s="4">
        <v>6</v>
      </c>
      <c r="AH55" s="4">
        <v>1</v>
      </c>
      <c r="AI55" s="4">
        <v>1</v>
      </c>
      <c r="AJ55" s="4">
        <v>7</v>
      </c>
      <c r="AK55" s="4">
        <v>7</v>
      </c>
      <c r="AL55" s="4">
        <v>1</v>
      </c>
      <c r="AM55" s="4">
        <v>1</v>
      </c>
      <c r="AN55" s="4">
        <v>0</v>
      </c>
      <c r="AO55" s="4">
        <v>0</v>
      </c>
      <c r="AP55" s="3" t="s">
        <v>58</v>
      </c>
      <c r="AQ55" s="3" t="s">
        <v>58</v>
      </c>
      <c r="AS55" s="6" t="str">
        <f>HYPERLINK("https://creighton-primo.hosted.exlibrisgroup.com/primo-explore/search?tab=default_tab&amp;search_scope=EVERYTHING&amp;vid=01CRU&amp;lang=en_US&amp;offset=0&amp;query=any,contains,991000185349702656","Catalog Record")</f>
        <v>Catalog Record</v>
      </c>
      <c r="AT55" s="6" t="str">
        <f>HYPERLINK("http://www.worldcat.org/oclc/9393433","WorldCat Record")</f>
        <v>WorldCat Record</v>
      </c>
      <c r="AU55" s="3" t="s">
        <v>813</v>
      </c>
      <c r="AV55" s="3" t="s">
        <v>814</v>
      </c>
      <c r="AW55" s="3" t="s">
        <v>815</v>
      </c>
      <c r="AX55" s="3" t="s">
        <v>815</v>
      </c>
      <c r="AY55" s="3" t="s">
        <v>816</v>
      </c>
      <c r="AZ55" s="3" t="s">
        <v>73</v>
      </c>
      <c r="BB55" s="3" t="s">
        <v>817</v>
      </c>
      <c r="BC55" s="3" t="s">
        <v>818</v>
      </c>
      <c r="BD55" s="3" t="s">
        <v>819</v>
      </c>
    </row>
    <row r="56" spans="1:56" ht="47.25" customHeight="1" x14ac:dyDescent="0.25">
      <c r="A56" s="7" t="s">
        <v>58</v>
      </c>
      <c r="B56" s="2" t="s">
        <v>820</v>
      </c>
      <c r="C56" s="2" t="s">
        <v>821</v>
      </c>
      <c r="D56" s="2" t="s">
        <v>822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K56" s="2" t="s">
        <v>823</v>
      </c>
      <c r="L56" s="2" t="s">
        <v>824</v>
      </c>
      <c r="M56" s="3" t="s">
        <v>295</v>
      </c>
      <c r="O56" s="3" t="s">
        <v>63</v>
      </c>
      <c r="P56" s="3" t="s">
        <v>83</v>
      </c>
      <c r="R56" s="3" t="s">
        <v>66</v>
      </c>
      <c r="S56" s="4">
        <v>3</v>
      </c>
      <c r="T56" s="4">
        <v>3</v>
      </c>
      <c r="U56" s="5" t="s">
        <v>825</v>
      </c>
      <c r="V56" s="5" t="s">
        <v>825</v>
      </c>
      <c r="W56" s="5" t="s">
        <v>812</v>
      </c>
      <c r="X56" s="5" t="s">
        <v>812</v>
      </c>
      <c r="Y56" s="4">
        <v>1021</v>
      </c>
      <c r="Z56" s="4">
        <v>982</v>
      </c>
      <c r="AA56" s="4">
        <v>1077</v>
      </c>
      <c r="AB56" s="4">
        <v>11</v>
      </c>
      <c r="AC56" s="4">
        <v>11</v>
      </c>
      <c r="AD56" s="4">
        <v>37</v>
      </c>
      <c r="AE56" s="4">
        <v>40</v>
      </c>
      <c r="AF56" s="4">
        <v>17</v>
      </c>
      <c r="AG56" s="4">
        <v>18</v>
      </c>
      <c r="AH56" s="4">
        <v>8</v>
      </c>
      <c r="AI56" s="4">
        <v>8</v>
      </c>
      <c r="AJ56" s="4">
        <v>16</v>
      </c>
      <c r="AK56" s="4">
        <v>17</v>
      </c>
      <c r="AL56" s="4">
        <v>7</v>
      </c>
      <c r="AM56" s="4">
        <v>7</v>
      </c>
      <c r="AN56" s="4">
        <v>0</v>
      </c>
      <c r="AO56" s="4">
        <v>1</v>
      </c>
      <c r="AP56" s="3" t="s">
        <v>58</v>
      </c>
      <c r="AQ56" s="3" t="s">
        <v>87</v>
      </c>
      <c r="AR56" s="6" t="str">
        <f>HYPERLINK("http://catalog.hathitrust.org/Record/000732144","HathiTrust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HYPERLINK("https://creighton-primo.hosted.exlibrisgroup.com/primo-explore/search?tab=default_tab&amp;search_scope=EVERYTHING&amp;vid=01CRU&amp;lang=en_US&amp;offset=0&amp;query=any,contains,991004984509702656","Catalog Record")</f>
        <v>Catalog Record</v>
      </c>
      <c r="AT56" s="6" t="str">
        <f>HYPERLINK("http://www.worldcat.org/oclc/6446854","WorldCat Record")</f>
        <v>WorldCat Record</v>
      </c>
      <c r="AU56" s="3" t="s">
        <v>826</v>
      </c>
      <c r="AV56" s="3" t="s">
        <v>827</v>
      </c>
      <c r="AW56" s="3" t="s">
        <v>828</v>
      </c>
      <c r="AX56" s="3" t="s">
        <v>828</v>
      </c>
      <c r="AY56" s="3" t="s">
        <v>829</v>
      </c>
      <c r="AZ56" s="3" t="s">
        <v>73</v>
      </c>
      <c r="BB56" s="3" t="s">
        <v>830</v>
      </c>
      <c r="BC56" s="3" t="s">
        <v>831</v>
      </c>
      <c r="BD56" s="3" t="s">
        <v>832</v>
      </c>
    </row>
    <row r="57" spans="1:56" ht="47.25" customHeight="1" x14ac:dyDescent="0.25">
      <c r="A57" s="7" t="s">
        <v>58</v>
      </c>
      <c r="B57" s="2" t="s">
        <v>833</v>
      </c>
      <c r="C57" s="2" t="s">
        <v>834</v>
      </c>
      <c r="D57" s="2" t="s">
        <v>835</v>
      </c>
      <c r="F57" s="3" t="s">
        <v>58</v>
      </c>
      <c r="G57" s="3" t="s">
        <v>59</v>
      </c>
      <c r="H57" s="3" t="s">
        <v>58</v>
      </c>
      <c r="I57" s="3" t="s">
        <v>58</v>
      </c>
      <c r="J57" s="3" t="s">
        <v>60</v>
      </c>
      <c r="L57" s="2" t="s">
        <v>836</v>
      </c>
      <c r="M57" s="3" t="s">
        <v>837</v>
      </c>
      <c r="N57" s="2" t="s">
        <v>838</v>
      </c>
      <c r="O57" s="3" t="s">
        <v>63</v>
      </c>
      <c r="P57" s="3" t="s">
        <v>839</v>
      </c>
      <c r="Q57" s="2" t="s">
        <v>840</v>
      </c>
      <c r="R57" s="3" t="s">
        <v>66</v>
      </c>
      <c r="S57" s="4">
        <v>0</v>
      </c>
      <c r="T57" s="4">
        <v>0</v>
      </c>
      <c r="U57" s="5" t="s">
        <v>841</v>
      </c>
      <c r="V57" s="5" t="s">
        <v>841</v>
      </c>
      <c r="W57" s="5" t="s">
        <v>842</v>
      </c>
      <c r="X57" s="5" t="s">
        <v>842</v>
      </c>
      <c r="Y57" s="4">
        <v>16</v>
      </c>
      <c r="Z57" s="4">
        <v>13</v>
      </c>
      <c r="AA57" s="4">
        <v>123</v>
      </c>
      <c r="AB57" s="4">
        <v>2</v>
      </c>
      <c r="AC57" s="4">
        <v>4</v>
      </c>
      <c r="AD57" s="4">
        <v>1</v>
      </c>
      <c r="AE57" s="4">
        <v>4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1</v>
      </c>
      <c r="AL57" s="4">
        <v>1</v>
      </c>
      <c r="AM57" s="4">
        <v>3</v>
      </c>
      <c r="AN57" s="4">
        <v>0</v>
      </c>
      <c r="AO57" s="4">
        <v>0</v>
      </c>
      <c r="AP57" s="3" t="s">
        <v>58</v>
      </c>
      <c r="AQ57" s="3" t="s">
        <v>58</v>
      </c>
      <c r="AR57" s="6" t="str">
        <f>HYPERLINK("http://catalog.hathitrust.org/Record/101005483","HathiTrust Record")</f>
        <v>HathiTrust Record</v>
      </c>
      <c r="AS57" s="6" t="str">
        <f>HYPERLINK("https://creighton-primo.hosted.exlibrisgroup.com/primo-explore/search?tab=default_tab&amp;search_scope=EVERYTHING&amp;vid=01CRU&amp;lang=en_US&amp;offset=0&amp;query=any,contains,991000727409702656","Catalog Record")</f>
        <v>Catalog Record</v>
      </c>
      <c r="AT57" s="6" t="str">
        <f>HYPERLINK("http://www.worldcat.org/oclc/12709468","WorldCat Record")</f>
        <v>WorldCat Record</v>
      </c>
      <c r="AU57" s="3" t="s">
        <v>843</v>
      </c>
      <c r="AV57" s="3" t="s">
        <v>844</v>
      </c>
      <c r="AW57" s="3" t="s">
        <v>845</v>
      </c>
      <c r="AX57" s="3" t="s">
        <v>845</v>
      </c>
      <c r="AY57" s="3" t="s">
        <v>846</v>
      </c>
      <c r="AZ57" s="3" t="s">
        <v>73</v>
      </c>
      <c r="BC57" s="3" t="s">
        <v>847</v>
      </c>
      <c r="BD57" s="3" t="s">
        <v>848</v>
      </c>
    </row>
    <row r="58" spans="1:56" ht="47.25" customHeight="1" x14ac:dyDescent="0.25">
      <c r="A58" s="7" t="s">
        <v>58</v>
      </c>
      <c r="B58" s="2" t="s">
        <v>849</v>
      </c>
      <c r="C58" s="2" t="s">
        <v>850</v>
      </c>
      <c r="D58" s="2" t="s">
        <v>851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K58" s="2" t="s">
        <v>852</v>
      </c>
      <c r="L58" s="2" t="s">
        <v>853</v>
      </c>
      <c r="M58" s="3" t="s">
        <v>854</v>
      </c>
      <c r="O58" s="3" t="s">
        <v>63</v>
      </c>
      <c r="P58" s="3" t="s">
        <v>83</v>
      </c>
      <c r="R58" s="3" t="s">
        <v>855</v>
      </c>
      <c r="S58" s="4">
        <v>7</v>
      </c>
      <c r="T58" s="4">
        <v>7</v>
      </c>
      <c r="U58" s="5" t="s">
        <v>856</v>
      </c>
      <c r="V58" s="5" t="s">
        <v>856</v>
      </c>
      <c r="W58" s="5" t="s">
        <v>857</v>
      </c>
      <c r="X58" s="5" t="s">
        <v>857</v>
      </c>
      <c r="Y58" s="4">
        <v>25</v>
      </c>
      <c r="Z58" s="4">
        <v>25</v>
      </c>
      <c r="AA58" s="4">
        <v>48</v>
      </c>
      <c r="AB58" s="4">
        <v>1</v>
      </c>
      <c r="AC58" s="4">
        <v>1</v>
      </c>
      <c r="AD58" s="4">
        <v>2</v>
      </c>
      <c r="AE58" s="4">
        <v>4</v>
      </c>
      <c r="AF58" s="4">
        <v>1</v>
      </c>
      <c r="AG58" s="4">
        <v>2</v>
      </c>
      <c r="AH58" s="4">
        <v>0</v>
      </c>
      <c r="AI58" s="4">
        <v>0</v>
      </c>
      <c r="AJ58" s="4">
        <v>1</v>
      </c>
      <c r="AK58" s="4">
        <v>2</v>
      </c>
      <c r="AL58" s="4">
        <v>0</v>
      </c>
      <c r="AM58" s="4">
        <v>0</v>
      </c>
      <c r="AN58" s="4">
        <v>0</v>
      </c>
      <c r="AO58" s="4">
        <v>0</v>
      </c>
      <c r="AP58" s="3" t="s">
        <v>87</v>
      </c>
      <c r="AQ58" s="3" t="s">
        <v>58</v>
      </c>
      <c r="AR58" s="6" t="str">
        <f>HYPERLINK("http://catalog.hathitrust.org/Record/100414515","HathiTrust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HYPERLINK("https://creighton-primo.hosted.exlibrisgroup.com/primo-explore/search?tab=default_tab&amp;search_scope=EVERYTHING&amp;vid=01CRU&amp;lang=en_US&amp;offset=0&amp;query=any,contains,991005372089702656","Catalog Record")</f>
        <v>Catalog Record</v>
      </c>
      <c r="AT58" s="6" t="str">
        <f>HYPERLINK("http://www.worldcat.org/oclc/4066529","WorldCat Record")</f>
        <v>WorldCat Record</v>
      </c>
      <c r="AU58" s="3" t="s">
        <v>858</v>
      </c>
      <c r="AV58" s="3" t="s">
        <v>859</v>
      </c>
      <c r="AW58" s="3" t="s">
        <v>860</v>
      </c>
      <c r="AX58" s="3" t="s">
        <v>860</v>
      </c>
      <c r="AY58" s="3" t="s">
        <v>861</v>
      </c>
      <c r="AZ58" s="3" t="s">
        <v>73</v>
      </c>
      <c r="BC58" s="3" t="s">
        <v>862</v>
      </c>
      <c r="BD58" s="3" t="s">
        <v>863</v>
      </c>
    </row>
    <row r="59" spans="1:56" ht="47.25" customHeight="1" x14ac:dyDescent="0.25">
      <c r="A59" s="7" t="s">
        <v>58</v>
      </c>
      <c r="B59" s="2" t="s">
        <v>864</v>
      </c>
      <c r="C59" s="2" t="s">
        <v>865</v>
      </c>
      <c r="D59" s="2" t="s">
        <v>866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60</v>
      </c>
      <c r="K59" s="2" t="s">
        <v>867</v>
      </c>
      <c r="L59" s="2" t="s">
        <v>868</v>
      </c>
      <c r="M59" s="3" t="s">
        <v>837</v>
      </c>
      <c r="O59" s="3" t="s">
        <v>63</v>
      </c>
      <c r="P59" s="3" t="s">
        <v>101</v>
      </c>
      <c r="Q59" s="2" t="s">
        <v>869</v>
      </c>
      <c r="R59" s="3" t="s">
        <v>855</v>
      </c>
      <c r="S59" s="4">
        <v>5</v>
      </c>
      <c r="T59" s="4">
        <v>5</v>
      </c>
      <c r="U59" s="5" t="s">
        <v>870</v>
      </c>
      <c r="V59" s="5" t="s">
        <v>870</v>
      </c>
      <c r="W59" s="5" t="s">
        <v>240</v>
      </c>
      <c r="X59" s="5" t="s">
        <v>240</v>
      </c>
      <c r="Y59" s="4">
        <v>63</v>
      </c>
      <c r="Z59" s="4">
        <v>43</v>
      </c>
      <c r="AA59" s="4">
        <v>45</v>
      </c>
      <c r="AB59" s="4">
        <v>1</v>
      </c>
      <c r="AC59" s="4">
        <v>1</v>
      </c>
      <c r="AD59" s="4">
        <v>3</v>
      </c>
      <c r="AE59" s="4">
        <v>3</v>
      </c>
      <c r="AF59" s="4">
        <v>2</v>
      </c>
      <c r="AG59" s="4">
        <v>2</v>
      </c>
      <c r="AH59" s="4">
        <v>0</v>
      </c>
      <c r="AI59" s="4">
        <v>0</v>
      </c>
      <c r="AJ59" s="4">
        <v>3</v>
      </c>
      <c r="AK59" s="4">
        <v>3</v>
      </c>
      <c r="AL59" s="4">
        <v>0</v>
      </c>
      <c r="AM59" s="4">
        <v>0</v>
      </c>
      <c r="AN59" s="4">
        <v>0</v>
      </c>
      <c r="AO59" s="4">
        <v>0</v>
      </c>
      <c r="AP59" s="3" t="s">
        <v>58</v>
      </c>
      <c r="AQ59" s="3" t="s">
        <v>58</v>
      </c>
      <c r="AR59" s="6" t="str">
        <f>HYPERLINK("http://catalog.hathitrust.org/Record/101849567","HathiTrust Record")</f>
        <v>HathiTrust Record</v>
      </c>
      <c r="AS59" s="6" t="str">
        <f>HYPERLINK("https://creighton-primo.hosted.exlibrisgroup.com/primo-explore/search?tab=default_tab&amp;search_scope=EVERYTHING&amp;vid=01CRU&amp;lang=en_US&amp;offset=0&amp;query=any,contains,991003957529702656","Catalog Record")</f>
        <v>Catalog Record</v>
      </c>
      <c r="AT59" s="6" t="str">
        <f>HYPERLINK("http://www.worldcat.org/oclc/1971080","WorldCat Record")</f>
        <v>WorldCat Record</v>
      </c>
      <c r="AU59" s="3" t="s">
        <v>871</v>
      </c>
      <c r="AV59" s="3" t="s">
        <v>872</v>
      </c>
      <c r="AW59" s="3" t="s">
        <v>873</v>
      </c>
      <c r="AX59" s="3" t="s">
        <v>873</v>
      </c>
      <c r="AY59" s="3" t="s">
        <v>874</v>
      </c>
      <c r="AZ59" s="3" t="s">
        <v>73</v>
      </c>
      <c r="BC59" s="3" t="s">
        <v>875</v>
      </c>
      <c r="BD59" s="3" t="s">
        <v>876</v>
      </c>
    </row>
    <row r="60" spans="1:56" ht="47.25" customHeight="1" x14ac:dyDescent="0.25">
      <c r="A60" s="7" t="s">
        <v>58</v>
      </c>
      <c r="B60" s="2" t="s">
        <v>877</v>
      </c>
      <c r="C60" s="2" t="s">
        <v>878</v>
      </c>
      <c r="D60" s="2" t="s">
        <v>879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60</v>
      </c>
      <c r="K60" s="2" t="s">
        <v>880</v>
      </c>
      <c r="L60" s="2" t="s">
        <v>881</v>
      </c>
      <c r="M60" s="3" t="s">
        <v>854</v>
      </c>
      <c r="O60" s="3" t="s">
        <v>63</v>
      </c>
      <c r="P60" s="3" t="s">
        <v>310</v>
      </c>
      <c r="Q60" s="2" t="s">
        <v>882</v>
      </c>
      <c r="R60" s="3" t="s">
        <v>855</v>
      </c>
      <c r="S60" s="4">
        <v>12</v>
      </c>
      <c r="T60" s="4">
        <v>12</v>
      </c>
      <c r="U60" s="5" t="s">
        <v>870</v>
      </c>
      <c r="V60" s="5" t="s">
        <v>870</v>
      </c>
      <c r="W60" s="5" t="s">
        <v>883</v>
      </c>
      <c r="X60" s="5" t="s">
        <v>883</v>
      </c>
      <c r="Y60" s="4">
        <v>53</v>
      </c>
      <c r="Z60" s="4">
        <v>52</v>
      </c>
      <c r="AA60" s="4">
        <v>78</v>
      </c>
      <c r="AB60" s="4">
        <v>1</v>
      </c>
      <c r="AC60" s="4">
        <v>2</v>
      </c>
      <c r="AD60" s="4">
        <v>1</v>
      </c>
      <c r="AE60" s="4">
        <v>4</v>
      </c>
      <c r="AF60" s="4">
        <v>0</v>
      </c>
      <c r="AG60" s="4">
        <v>0</v>
      </c>
      <c r="AH60" s="4">
        <v>1</v>
      </c>
      <c r="AI60" s="4">
        <v>2</v>
      </c>
      <c r="AJ60" s="4">
        <v>0</v>
      </c>
      <c r="AK60" s="4">
        <v>1</v>
      </c>
      <c r="AL60" s="4">
        <v>0</v>
      </c>
      <c r="AM60" s="4">
        <v>1</v>
      </c>
      <c r="AN60" s="4">
        <v>0</v>
      </c>
      <c r="AO60" s="4">
        <v>0</v>
      </c>
      <c r="AP60" s="3" t="s">
        <v>87</v>
      </c>
      <c r="AQ60" s="3" t="s">
        <v>58</v>
      </c>
      <c r="AR60" s="6" t="str">
        <f>HYPERLINK("http://catalog.hathitrust.org/Record/008015203","HathiTrust Record")</f>
        <v>HathiTrust Record</v>
      </c>
      <c r="AS60" s="6" t="str">
        <f>HYPERLINK("https://creighton-primo.hosted.exlibrisgroup.com/primo-explore/search?tab=default_tab&amp;search_scope=EVERYTHING&amp;vid=01CRU&amp;lang=en_US&amp;offset=0&amp;query=any,contains,991005370269702656","Catalog Record")</f>
        <v>Catalog Record</v>
      </c>
      <c r="AT60" s="6" t="str">
        <f>HYPERLINK("http://www.worldcat.org/oclc/2821711","WorldCat Record")</f>
        <v>WorldCat Record</v>
      </c>
      <c r="AU60" s="3" t="s">
        <v>884</v>
      </c>
      <c r="AV60" s="3" t="s">
        <v>885</v>
      </c>
      <c r="AW60" s="3" t="s">
        <v>886</v>
      </c>
      <c r="AX60" s="3" t="s">
        <v>886</v>
      </c>
      <c r="AY60" s="3" t="s">
        <v>887</v>
      </c>
      <c r="AZ60" s="3" t="s">
        <v>73</v>
      </c>
      <c r="BC60" s="3" t="s">
        <v>888</v>
      </c>
      <c r="BD60" s="3" t="s">
        <v>889</v>
      </c>
    </row>
    <row r="61" spans="1:56" ht="47.25" customHeight="1" x14ac:dyDescent="0.25">
      <c r="A61" s="7" t="s">
        <v>58</v>
      </c>
      <c r="B61" s="2" t="s">
        <v>890</v>
      </c>
      <c r="C61" s="2" t="s">
        <v>891</v>
      </c>
      <c r="D61" s="2" t="s">
        <v>892</v>
      </c>
      <c r="F61" s="3" t="s">
        <v>58</v>
      </c>
      <c r="G61" s="3" t="s">
        <v>59</v>
      </c>
      <c r="H61" s="3" t="s">
        <v>87</v>
      </c>
      <c r="I61" s="3" t="s">
        <v>58</v>
      </c>
      <c r="J61" s="3" t="s">
        <v>60</v>
      </c>
      <c r="K61" s="2" t="s">
        <v>893</v>
      </c>
      <c r="L61" s="2" t="s">
        <v>894</v>
      </c>
      <c r="M61" s="3" t="s">
        <v>895</v>
      </c>
      <c r="O61" s="3" t="s">
        <v>896</v>
      </c>
      <c r="P61" s="3" t="s">
        <v>83</v>
      </c>
      <c r="R61" s="3" t="s">
        <v>855</v>
      </c>
      <c r="S61" s="4">
        <v>0</v>
      </c>
      <c r="T61" s="4">
        <v>1</v>
      </c>
      <c r="V61" s="5" t="s">
        <v>897</v>
      </c>
      <c r="W61" s="5" t="s">
        <v>151</v>
      </c>
      <c r="X61" s="5" t="s">
        <v>151</v>
      </c>
      <c r="Y61" s="4">
        <v>48</v>
      </c>
      <c r="Z61" s="4">
        <v>42</v>
      </c>
      <c r="AA61" s="4">
        <v>42</v>
      </c>
      <c r="AB61" s="4">
        <v>1</v>
      </c>
      <c r="AC61" s="4">
        <v>1</v>
      </c>
      <c r="AD61" s="4">
        <v>5</v>
      </c>
      <c r="AE61" s="4">
        <v>5</v>
      </c>
      <c r="AF61" s="4">
        <v>1</v>
      </c>
      <c r="AG61" s="4">
        <v>1</v>
      </c>
      <c r="AH61" s="4">
        <v>2</v>
      </c>
      <c r="AI61" s="4">
        <v>2</v>
      </c>
      <c r="AJ61" s="4">
        <v>3</v>
      </c>
      <c r="AK61" s="4">
        <v>3</v>
      </c>
      <c r="AL61" s="4">
        <v>0</v>
      </c>
      <c r="AM61" s="4">
        <v>0</v>
      </c>
      <c r="AN61" s="4">
        <v>0</v>
      </c>
      <c r="AO61" s="4">
        <v>0</v>
      </c>
      <c r="AP61" s="3" t="s">
        <v>58</v>
      </c>
      <c r="AQ61" s="3" t="s">
        <v>58</v>
      </c>
      <c r="AS61" s="6" t="str">
        <f>HYPERLINK("https://creighton-primo.hosted.exlibrisgroup.com/primo-explore/search?tab=default_tab&amp;search_scope=EVERYTHING&amp;vid=01CRU&amp;lang=en_US&amp;offset=0&amp;query=any,contains,991004402179702656","Catalog Record")</f>
        <v>Catalog Record</v>
      </c>
      <c r="AT61" s="6" t="str">
        <f>HYPERLINK("http://www.worldcat.org/oclc/3307914","WorldCat Record")</f>
        <v>WorldCat Record</v>
      </c>
      <c r="AU61" s="3" t="s">
        <v>898</v>
      </c>
      <c r="AV61" s="3" t="s">
        <v>899</v>
      </c>
      <c r="AW61" s="3" t="s">
        <v>900</v>
      </c>
      <c r="AX61" s="3" t="s">
        <v>900</v>
      </c>
      <c r="AY61" s="3" t="s">
        <v>901</v>
      </c>
      <c r="AZ61" s="3" t="s">
        <v>73</v>
      </c>
      <c r="BC61" s="3" t="s">
        <v>902</v>
      </c>
      <c r="BD61" s="3" t="s">
        <v>903</v>
      </c>
    </row>
    <row r="62" spans="1:56" ht="47.25" customHeight="1" x14ac:dyDescent="0.25">
      <c r="A62" s="7" t="s">
        <v>58</v>
      </c>
      <c r="B62" s="2" t="s">
        <v>890</v>
      </c>
      <c r="C62" s="2" t="s">
        <v>891</v>
      </c>
      <c r="D62" s="2" t="s">
        <v>892</v>
      </c>
      <c r="F62" s="3" t="s">
        <v>58</v>
      </c>
      <c r="G62" s="3" t="s">
        <v>59</v>
      </c>
      <c r="H62" s="3" t="s">
        <v>87</v>
      </c>
      <c r="I62" s="3" t="s">
        <v>58</v>
      </c>
      <c r="J62" s="3" t="s">
        <v>60</v>
      </c>
      <c r="K62" s="2" t="s">
        <v>893</v>
      </c>
      <c r="L62" s="2" t="s">
        <v>894</v>
      </c>
      <c r="M62" s="3" t="s">
        <v>895</v>
      </c>
      <c r="O62" s="3" t="s">
        <v>896</v>
      </c>
      <c r="P62" s="3" t="s">
        <v>83</v>
      </c>
      <c r="R62" s="3" t="s">
        <v>855</v>
      </c>
      <c r="S62" s="4">
        <v>1</v>
      </c>
      <c r="T62" s="4">
        <v>1</v>
      </c>
      <c r="U62" s="5" t="s">
        <v>897</v>
      </c>
      <c r="V62" s="5" t="s">
        <v>897</v>
      </c>
      <c r="W62" s="5" t="s">
        <v>151</v>
      </c>
      <c r="X62" s="5" t="s">
        <v>151</v>
      </c>
      <c r="Y62" s="4">
        <v>48</v>
      </c>
      <c r="Z62" s="4">
        <v>42</v>
      </c>
      <c r="AA62" s="4">
        <v>42</v>
      </c>
      <c r="AB62" s="4">
        <v>1</v>
      </c>
      <c r="AC62" s="4">
        <v>1</v>
      </c>
      <c r="AD62" s="4">
        <v>5</v>
      </c>
      <c r="AE62" s="4">
        <v>5</v>
      </c>
      <c r="AF62" s="4">
        <v>1</v>
      </c>
      <c r="AG62" s="4">
        <v>1</v>
      </c>
      <c r="AH62" s="4">
        <v>2</v>
      </c>
      <c r="AI62" s="4">
        <v>2</v>
      </c>
      <c r="AJ62" s="4">
        <v>3</v>
      </c>
      <c r="AK62" s="4">
        <v>3</v>
      </c>
      <c r="AL62" s="4">
        <v>0</v>
      </c>
      <c r="AM62" s="4">
        <v>0</v>
      </c>
      <c r="AN62" s="4">
        <v>0</v>
      </c>
      <c r="AO62" s="4">
        <v>0</v>
      </c>
      <c r="AP62" s="3" t="s">
        <v>58</v>
      </c>
      <c r="AQ62" s="3" t="s">
        <v>58</v>
      </c>
      <c r="AS62" s="6" t="str">
        <f>HYPERLINK("https://creighton-primo.hosted.exlibrisgroup.com/primo-explore/search?tab=default_tab&amp;search_scope=EVERYTHING&amp;vid=01CRU&amp;lang=en_US&amp;offset=0&amp;query=any,contains,991004402179702656","Catalog Record")</f>
        <v>Catalog Record</v>
      </c>
      <c r="AT62" s="6" t="str">
        <f>HYPERLINK("http://www.worldcat.org/oclc/3307914","WorldCat Record")</f>
        <v>WorldCat Record</v>
      </c>
      <c r="AU62" s="3" t="s">
        <v>898</v>
      </c>
      <c r="AV62" s="3" t="s">
        <v>899</v>
      </c>
      <c r="AW62" s="3" t="s">
        <v>900</v>
      </c>
      <c r="AX62" s="3" t="s">
        <v>900</v>
      </c>
      <c r="AY62" s="3" t="s">
        <v>901</v>
      </c>
      <c r="AZ62" s="3" t="s">
        <v>73</v>
      </c>
      <c r="BC62" s="3" t="s">
        <v>904</v>
      </c>
      <c r="BD62" s="3" t="s">
        <v>905</v>
      </c>
    </row>
    <row r="63" spans="1:56" ht="47.25" customHeight="1" x14ac:dyDescent="0.25">
      <c r="A63" s="7" t="s">
        <v>58</v>
      </c>
      <c r="B63" s="2" t="s">
        <v>906</v>
      </c>
      <c r="C63" s="2" t="s">
        <v>907</v>
      </c>
      <c r="D63" s="2" t="s">
        <v>908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K63" s="2" t="s">
        <v>909</v>
      </c>
      <c r="L63" s="2" t="s">
        <v>910</v>
      </c>
      <c r="M63" s="3" t="s">
        <v>911</v>
      </c>
      <c r="O63" s="3" t="s">
        <v>63</v>
      </c>
      <c r="P63" s="3" t="s">
        <v>148</v>
      </c>
      <c r="Q63" s="2" t="s">
        <v>912</v>
      </c>
      <c r="R63" s="3" t="s">
        <v>855</v>
      </c>
      <c r="S63" s="4">
        <v>21</v>
      </c>
      <c r="T63" s="4">
        <v>21</v>
      </c>
      <c r="U63" s="5" t="s">
        <v>913</v>
      </c>
      <c r="V63" s="5" t="s">
        <v>913</v>
      </c>
      <c r="W63" s="5" t="s">
        <v>914</v>
      </c>
      <c r="X63" s="5" t="s">
        <v>914</v>
      </c>
      <c r="Y63" s="4">
        <v>294</v>
      </c>
      <c r="Z63" s="4">
        <v>282</v>
      </c>
      <c r="AA63" s="4">
        <v>380</v>
      </c>
      <c r="AB63" s="4">
        <v>2</v>
      </c>
      <c r="AC63" s="4">
        <v>2</v>
      </c>
      <c r="AD63" s="4">
        <v>4</v>
      </c>
      <c r="AE63" s="4">
        <v>4</v>
      </c>
      <c r="AF63" s="4">
        <v>2</v>
      </c>
      <c r="AG63" s="4">
        <v>2</v>
      </c>
      <c r="AH63" s="4">
        <v>0</v>
      </c>
      <c r="AI63" s="4">
        <v>0</v>
      </c>
      <c r="AJ63" s="4">
        <v>3</v>
      </c>
      <c r="AK63" s="4">
        <v>3</v>
      </c>
      <c r="AL63" s="4">
        <v>0</v>
      </c>
      <c r="AM63" s="4">
        <v>0</v>
      </c>
      <c r="AN63" s="4">
        <v>0</v>
      </c>
      <c r="AO63" s="4">
        <v>0</v>
      </c>
      <c r="AP63" s="3" t="s">
        <v>58</v>
      </c>
      <c r="AQ63" s="3" t="s">
        <v>58</v>
      </c>
      <c r="AS63" s="6" t="str">
        <f>HYPERLINK("https://creighton-primo.hosted.exlibrisgroup.com/primo-explore/search?tab=default_tab&amp;search_scope=EVERYTHING&amp;vid=01CRU&amp;lang=en_US&amp;offset=0&amp;query=any,contains,991005369899702656","Catalog Record")</f>
        <v>Catalog Record</v>
      </c>
      <c r="AT63" s="6" t="str">
        <f>HYPERLINK("http://www.worldcat.org/oclc/1268892","WorldCat Record")</f>
        <v>WorldCat Record</v>
      </c>
      <c r="AU63" s="3" t="s">
        <v>915</v>
      </c>
      <c r="AV63" s="3" t="s">
        <v>916</v>
      </c>
      <c r="AW63" s="3" t="s">
        <v>917</v>
      </c>
      <c r="AX63" s="3" t="s">
        <v>917</v>
      </c>
      <c r="AY63" s="3" t="s">
        <v>918</v>
      </c>
      <c r="AZ63" s="3" t="s">
        <v>73</v>
      </c>
      <c r="BC63" s="3" t="s">
        <v>919</v>
      </c>
      <c r="BD63" s="3" t="s">
        <v>920</v>
      </c>
    </row>
    <row r="64" spans="1:56" ht="47.25" customHeight="1" x14ac:dyDescent="0.25">
      <c r="A64" s="7" t="s">
        <v>58</v>
      </c>
      <c r="B64" s="2" t="s">
        <v>921</v>
      </c>
      <c r="C64" s="2" t="s">
        <v>922</v>
      </c>
      <c r="D64" s="2" t="s">
        <v>923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K64" s="2" t="s">
        <v>924</v>
      </c>
      <c r="L64" s="2" t="s">
        <v>925</v>
      </c>
      <c r="M64" s="3" t="s">
        <v>425</v>
      </c>
      <c r="O64" s="3" t="s">
        <v>896</v>
      </c>
      <c r="P64" s="3" t="s">
        <v>926</v>
      </c>
      <c r="R64" s="3" t="s">
        <v>855</v>
      </c>
      <c r="S64" s="4">
        <v>10</v>
      </c>
      <c r="T64" s="4">
        <v>10</v>
      </c>
      <c r="U64" s="5" t="s">
        <v>927</v>
      </c>
      <c r="V64" s="5" t="s">
        <v>927</v>
      </c>
      <c r="W64" s="5" t="s">
        <v>928</v>
      </c>
      <c r="X64" s="5" t="s">
        <v>928</v>
      </c>
      <c r="Y64" s="4">
        <v>35</v>
      </c>
      <c r="Z64" s="4">
        <v>16</v>
      </c>
      <c r="AA64" s="4">
        <v>16</v>
      </c>
      <c r="AB64" s="4">
        <v>1</v>
      </c>
      <c r="AC64" s="4">
        <v>1</v>
      </c>
      <c r="AD64" s="4">
        <v>1</v>
      </c>
      <c r="AE64" s="4">
        <v>1</v>
      </c>
      <c r="AF64" s="4">
        <v>0</v>
      </c>
      <c r="AG64" s="4">
        <v>0</v>
      </c>
      <c r="AH64" s="4">
        <v>0</v>
      </c>
      <c r="AI64" s="4">
        <v>0</v>
      </c>
      <c r="AJ64" s="4">
        <v>1</v>
      </c>
      <c r="AK64" s="4">
        <v>1</v>
      </c>
      <c r="AL64" s="4">
        <v>0</v>
      </c>
      <c r="AM64" s="4">
        <v>0</v>
      </c>
      <c r="AN64" s="4">
        <v>0</v>
      </c>
      <c r="AO64" s="4">
        <v>0</v>
      </c>
      <c r="AP64" s="3" t="s">
        <v>58</v>
      </c>
      <c r="AQ64" s="3" t="s">
        <v>58</v>
      </c>
      <c r="AS64" s="6" t="str">
        <f>HYPERLINK("https://creighton-primo.hosted.exlibrisgroup.com/primo-explore/search?tab=default_tab&amp;search_scope=EVERYTHING&amp;vid=01CRU&amp;lang=en_US&amp;offset=0&amp;query=any,contains,991005029809702656","Catalog Record")</f>
        <v>Catalog Record</v>
      </c>
      <c r="AT64" s="6" t="str">
        <f>HYPERLINK("http://www.worldcat.org/oclc/35915044","WorldCat Record")</f>
        <v>WorldCat Record</v>
      </c>
      <c r="AU64" s="3" t="s">
        <v>929</v>
      </c>
      <c r="AV64" s="3" t="s">
        <v>930</v>
      </c>
      <c r="AW64" s="3" t="s">
        <v>931</v>
      </c>
      <c r="AX64" s="3" t="s">
        <v>931</v>
      </c>
      <c r="AY64" s="3" t="s">
        <v>932</v>
      </c>
      <c r="AZ64" s="3" t="s">
        <v>73</v>
      </c>
      <c r="BB64" s="3" t="s">
        <v>933</v>
      </c>
      <c r="BC64" s="3" t="s">
        <v>934</v>
      </c>
      <c r="BD64" s="3" t="s">
        <v>935</v>
      </c>
    </row>
    <row r="65" spans="1:56" ht="47.25" customHeight="1" x14ac:dyDescent="0.25">
      <c r="A65" s="7" t="s">
        <v>58</v>
      </c>
      <c r="B65" s="2" t="s">
        <v>936</v>
      </c>
      <c r="C65" s="2" t="s">
        <v>937</v>
      </c>
      <c r="D65" s="2" t="s">
        <v>938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60</v>
      </c>
      <c r="K65" s="2" t="s">
        <v>939</v>
      </c>
      <c r="L65" s="2" t="s">
        <v>940</v>
      </c>
      <c r="M65" s="3" t="s">
        <v>941</v>
      </c>
      <c r="O65" s="3" t="s">
        <v>896</v>
      </c>
      <c r="P65" s="3" t="s">
        <v>926</v>
      </c>
      <c r="R65" s="3" t="s">
        <v>855</v>
      </c>
      <c r="S65" s="4">
        <v>6</v>
      </c>
      <c r="T65" s="4">
        <v>6</v>
      </c>
      <c r="U65" s="5" t="s">
        <v>942</v>
      </c>
      <c r="V65" s="5" t="s">
        <v>942</v>
      </c>
      <c r="W65" s="5" t="s">
        <v>943</v>
      </c>
      <c r="X65" s="5" t="s">
        <v>943</v>
      </c>
      <c r="Y65" s="4">
        <v>34</v>
      </c>
      <c r="Z65" s="4">
        <v>20</v>
      </c>
      <c r="AA65" s="4">
        <v>21</v>
      </c>
      <c r="AB65" s="4">
        <v>1</v>
      </c>
      <c r="AC65" s="4">
        <v>1</v>
      </c>
      <c r="AD65" s="4">
        <v>2</v>
      </c>
      <c r="AE65" s="4">
        <v>2</v>
      </c>
      <c r="AF65" s="4">
        <v>1</v>
      </c>
      <c r="AG65" s="4">
        <v>1</v>
      </c>
      <c r="AH65" s="4">
        <v>1</v>
      </c>
      <c r="AI65" s="4">
        <v>1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3" t="s">
        <v>58</v>
      </c>
      <c r="AQ65" s="3" t="s">
        <v>58</v>
      </c>
      <c r="AS65" s="6" t="str">
        <f>HYPERLINK("https://creighton-primo.hosted.exlibrisgroup.com/primo-explore/search?tab=default_tab&amp;search_scope=EVERYTHING&amp;vid=01CRU&amp;lang=en_US&amp;offset=0&amp;query=any,contains,991005046579702656","Catalog Record")</f>
        <v>Catalog Record</v>
      </c>
      <c r="AT65" s="6" t="str">
        <f>HYPERLINK("http://www.worldcat.org/oclc/77557183","WorldCat Record")</f>
        <v>WorldCat Record</v>
      </c>
      <c r="AU65" s="3" t="s">
        <v>944</v>
      </c>
      <c r="AV65" s="3" t="s">
        <v>945</v>
      </c>
      <c r="AW65" s="3" t="s">
        <v>946</v>
      </c>
      <c r="AX65" s="3" t="s">
        <v>946</v>
      </c>
      <c r="AY65" s="3" t="s">
        <v>947</v>
      </c>
      <c r="AZ65" s="3" t="s">
        <v>73</v>
      </c>
      <c r="BB65" s="3" t="s">
        <v>948</v>
      </c>
      <c r="BC65" s="3" t="s">
        <v>949</v>
      </c>
      <c r="BD65" s="3" t="s">
        <v>950</v>
      </c>
    </row>
    <row r="66" spans="1:56" ht="47.25" customHeight="1" x14ac:dyDescent="0.25">
      <c r="A66" s="7" t="s">
        <v>58</v>
      </c>
      <c r="B66" s="2" t="s">
        <v>951</v>
      </c>
      <c r="C66" s="2" t="s">
        <v>952</v>
      </c>
      <c r="D66" s="2" t="s">
        <v>953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60</v>
      </c>
      <c r="K66" s="2" t="s">
        <v>954</v>
      </c>
      <c r="L66" s="2" t="s">
        <v>955</v>
      </c>
      <c r="M66" s="3" t="s">
        <v>956</v>
      </c>
      <c r="O66" s="3" t="s">
        <v>63</v>
      </c>
      <c r="P66" s="3" t="s">
        <v>83</v>
      </c>
      <c r="Q66" s="2" t="s">
        <v>957</v>
      </c>
      <c r="R66" s="3" t="s">
        <v>855</v>
      </c>
      <c r="S66" s="4">
        <v>3</v>
      </c>
      <c r="T66" s="4">
        <v>3</v>
      </c>
      <c r="U66" s="5" t="s">
        <v>958</v>
      </c>
      <c r="V66" s="5" t="s">
        <v>958</v>
      </c>
      <c r="W66" s="5" t="s">
        <v>959</v>
      </c>
      <c r="X66" s="5" t="s">
        <v>959</v>
      </c>
      <c r="Y66" s="4">
        <v>155</v>
      </c>
      <c r="Z66" s="4">
        <v>127</v>
      </c>
      <c r="AA66" s="4">
        <v>132</v>
      </c>
      <c r="AB66" s="4">
        <v>1</v>
      </c>
      <c r="AC66" s="4">
        <v>1</v>
      </c>
      <c r="AD66" s="4">
        <v>9</v>
      </c>
      <c r="AE66" s="4">
        <v>9</v>
      </c>
      <c r="AF66" s="4">
        <v>3</v>
      </c>
      <c r="AG66" s="4">
        <v>3</v>
      </c>
      <c r="AH66" s="4">
        <v>1</v>
      </c>
      <c r="AI66" s="4">
        <v>1</v>
      </c>
      <c r="AJ66" s="4">
        <v>6</v>
      </c>
      <c r="AK66" s="4">
        <v>6</v>
      </c>
      <c r="AL66" s="4">
        <v>0</v>
      </c>
      <c r="AM66" s="4">
        <v>0</v>
      </c>
      <c r="AN66" s="4">
        <v>0</v>
      </c>
      <c r="AO66" s="4">
        <v>0</v>
      </c>
      <c r="AP66" s="3" t="s">
        <v>58</v>
      </c>
      <c r="AQ66" s="3" t="s">
        <v>58</v>
      </c>
      <c r="AS66" s="6" t="str">
        <f>HYPERLINK("https://creighton-primo.hosted.exlibrisgroup.com/primo-explore/search?tab=default_tab&amp;search_scope=EVERYTHING&amp;vid=01CRU&amp;lang=en_US&amp;offset=0&amp;query=any,contains,991005365409702656","Catalog Record")</f>
        <v>Catalog Record</v>
      </c>
      <c r="AT66" s="6" t="str">
        <f>HYPERLINK("http://www.worldcat.org/oclc/1812170","WorldCat Record")</f>
        <v>WorldCat Record</v>
      </c>
      <c r="AU66" s="3" t="s">
        <v>960</v>
      </c>
      <c r="AV66" s="3" t="s">
        <v>961</v>
      </c>
      <c r="AW66" s="3" t="s">
        <v>962</v>
      </c>
      <c r="AX66" s="3" t="s">
        <v>962</v>
      </c>
      <c r="AY66" s="3" t="s">
        <v>963</v>
      </c>
      <c r="AZ66" s="3" t="s">
        <v>73</v>
      </c>
      <c r="BC66" s="3" t="s">
        <v>964</v>
      </c>
      <c r="BD66" s="3" t="s">
        <v>965</v>
      </c>
    </row>
    <row r="67" spans="1:56" ht="47.25" customHeight="1" x14ac:dyDescent="0.25">
      <c r="A67" s="7" t="s">
        <v>58</v>
      </c>
      <c r="B67" s="2" t="s">
        <v>966</v>
      </c>
      <c r="C67" s="2" t="s">
        <v>967</v>
      </c>
      <c r="D67" s="2" t="s">
        <v>968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60</v>
      </c>
      <c r="K67" s="2" t="s">
        <v>969</v>
      </c>
      <c r="L67" s="2" t="s">
        <v>970</v>
      </c>
      <c r="M67" s="3" t="s">
        <v>971</v>
      </c>
      <c r="O67" s="3" t="s">
        <v>63</v>
      </c>
      <c r="P67" s="3" t="s">
        <v>83</v>
      </c>
      <c r="R67" s="3" t="s">
        <v>855</v>
      </c>
      <c r="S67" s="4">
        <v>3</v>
      </c>
      <c r="T67" s="4">
        <v>3</v>
      </c>
      <c r="U67" s="5" t="s">
        <v>972</v>
      </c>
      <c r="V67" s="5" t="s">
        <v>972</v>
      </c>
      <c r="W67" s="5" t="s">
        <v>973</v>
      </c>
      <c r="X67" s="5" t="s">
        <v>973</v>
      </c>
      <c r="Y67" s="4">
        <v>275</v>
      </c>
      <c r="Z67" s="4">
        <v>254</v>
      </c>
      <c r="AA67" s="4">
        <v>318</v>
      </c>
      <c r="AB67" s="4">
        <v>2</v>
      </c>
      <c r="AC67" s="4">
        <v>2</v>
      </c>
      <c r="AD67" s="4">
        <v>9</v>
      </c>
      <c r="AE67" s="4">
        <v>10</v>
      </c>
      <c r="AF67" s="4">
        <v>2</v>
      </c>
      <c r="AG67" s="4">
        <v>2</v>
      </c>
      <c r="AH67" s="4">
        <v>2</v>
      </c>
      <c r="AI67" s="4">
        <v>2</v>
      </c>
      <c r="AJ67" s="4">
        <v>5</v>
      </c>
      <c r="AK67" s="4">
        <v>6</v>
      </c>
      <c r="AL67" s="4">
        <v>1</v>
      </c>
      <c r="AM67" s="4">
        <v>1</v>
      </c>
      <c r="AN67" s="4">
        <v>0</v>
      </c>
      <c r="AO67" s="4">
        <v>0</v>
      </c>
      <c r="AP67" s="3" t="s">
        <v>58</v>
      </c>
      <c r="AQ67" s="3" t="s">
        <v>58</v>
      </c>
      <c r="AS67" s="6" t="str">
        <f>HYPERLINK("https://creighton-primo.hosted.exlibrisgroup.com/primo-explore/search?tab=default_tab&amp;search_scope=EVERYTHING&amp;vid=01CRU&amp;lang=en_US&amp;offset=0&amp;query=any,contains,991001321459702656","Catalog Record")</f>
        <v>Catalog Record</v>
      </c>
      <c r="AT67" s="6" t="str">
        <f>HYPERLINK("http://www.worldcat.org/oclc/912791","WorldCat Record")</f>
        <v>WorldCat Record</v>
      </c>
      <c r="AU67" s="3" t="s">
        <v>974</v>
      </c>
      <c r="AV67" s="3" t="s">
        <v>975</v>
      </c>
      <c r="AW67" s="3" t="s">
        <v>976</v>
      </c>
      <c r="AX67" s="3" t="s">
        <v>976</v>
      </c>
      <c r="AY67" s="3" t="s">
        <v>977</v>
      </c>
      <c r="AZ67" s="3" t="s">
        <v>73</v>
      </c>
      <c r="BC67" s="3" t="s">
        <v>978</v>
      </c>
      <c r="BD67" s="3" t="s">
        <v>979</v>
      </c>
    </row>
    <row r="68" spans="1:56" ht="47.25" customHeight="1" x14ac:dyDescent="0.25">
      <c r="A68" s="7" t="s">
        <v>58</v>
      </c>
      <c r="B68" s="2" t="s">
        <v>980</v>
      </c>
      <c r="C68" s="2" t="s">
        <v>981</v>
      </c>
      <c r="D68" s="2" t="s">
        <v>982</v>
      </c>
      <c r="E68" s="3" t="s">
        <v>174</v>
      </c>
      <c r="F68" s="3" t="s">
        <v>87</v>
      </c>
      <c r="G68" s="3" t="s">
        <v>59</v>
      </c>
      <c r="H68" s="3" t="s">
        <v>58</v>
      </c>
      <c r="I68" s="3" t="s">
        <v>58</v>
      </c>
      <c r="J68" s="3" t="s">
        <v>60</v>
      </c>
      <c r="K68" s="2" t="s">
        <v>983</v>
      </c>
      <c r="L68" s="2" t="s">
        <v>984</v>
      </c>
      <c r="M68" s="3" t="s">
        <v>425</v>
      </c>
      <c r="N68" s="2" t="s">
        <v>985</v>
      </c>
      <c r="O68" s="3" t="s">
        <v>986</v>
      </c>
      <c r="P68" s="3" t="s">
        <v>987</v>
      </c>
      <c r="R68" s="3" t="s">
        <v>855</v>
      </c>
      <c r="S68" s="4">
        <v>1</v>
      </c>
      <c r="T68" s="4">
        <v>2</v>
      </c>
      <c r="U68" s="5" t="s">
        <v>988</v>
      </c>
      <c r="V68" s="5" t="s">
        <v>988</v>
      </c>
      <c r="W68" s="5" t="s">
        <v>989</v>
      </c>
      <c r="X68" s="5" t="s">
        <v>989</v>
      </c>
      <c r="Y68" s="4">
        <v>157</v>
      </c>
      <c r="Z68" s="4">
        <v>123</v>
      </c>
      <c r="AA68" s="4">
        <v>183</v>
      </c>
      <c r="AB68" s="4">
        <v>1</v>
      </c>
      <c r="AC68" s="4">
        <v>2</v>
      </c>
      <c r="AD68" s="4">
        <v>4</v>
      </c>
      <c r="AE68" s="4">
        <v>9</v>
      </c>
      <c r="AF68" s="4">
        <v>1</v>
      </c>
      <c r="AG68" s="4">
        <v>2</v>
      </c>
      <c r="AH68" s="4">
        <v>1</v>
      </c>
      <c r="AI68" s="4">
        <v>2</v>
      </c>
      <c r="AJ68" s="4">
        <v>3</v>
      </c>
      <c r="AK68" s="4">
        <v>6</v>
      </c>
      <c r="AL68" s="4">
        <v>0</v>
      </c>
      <c r="AM68" s="4">
        <v>1</v>
      </c>
      <c r="AN68" s="4">
        <v>0</v>
      </c>
      <c r="AO68" s="4">
        <v>0</v>
      </c>
      <c r="AP68" s="3" t="s">
        <v>58</v>
      </c>
      <c r="AQ68" s="3" t="s">
        <v>87</v>
      </c>
      <c r="AR68" s="6" t="str">
        <f>HYPERLINK("http://catalog.hathitrust.org/Record/007480866","HathiTrust Record")</f>
        <v>HathiTrust Record</v>
      </c>
      <c r="AS68" s="6" t="str">
        <f>HYPERLINK("https://creighton-primo.hosted.exlibrisgroup.com/primo-explore/search?tab=default_tab&amp;search_scope=EVERYTHING&amp;vid=01CRU&amp;lang=en_US&amp;offset=0&amp;query=any,contains,991002771159702656","Catalog Record")</f>
        <v>Catalog Record</v>
      </c>
      <c r="AT68" s="6" t="str">
        <f>HYPERLINK("http://www.worldcat.org/oclc/33361308","WorldCat Record")</f>
        <v>WorldCat Record</v>
      </c>
      <c r="AU68" s="3" t="s">
        <v>990</v>
      </c>
      <c r="AV68" s="3" t="s">
        <v>991</v>
      </c>
      <c r="AW68" s="3" t="s">
        <v>992</v>
      </c>
      <c r="AX68" s="3" t="s">
        <v>992</v>
      </c>
      <c r="AY68" s="3" t="s">
        <v>993</v>
      </c>
      <c r="AZ68" s="3" t="s">
        <v>73</v>
      </c>
      <c r="BB68" s="3" t="s">
        <v>994</v>
      </c>
      <c r="BC68" s="3" t="s">
        <v>995</v>
      </c>
      <c r="BD68" s="3" t="s">
        <v>996</v>
      </c>
    </row>
    <row r="69" spans="1:56" ht="47.25" customHeight="1" x14ac:dyDescent="0.25">
      <c r="A69" s="7" t="s">
        <v>58</v>
      </c>
      <c r="B69" s="2" t="s">
        <v>980</v>
      </c>
      <c r="C69" s="2" t="s">
        <v>981</v>
      </c>
      <c r="D69" s="2" t="s">
        <v>982</v>
      </c>
      <c r="E69" s="3" t="s">
        <v>186</v>
      </c>
      <c r="F69" s="3" t="s">
        <v>87</v>
      </c>
      <c r="G69" s="3" t="s">
        <v>59</v>
      </c>
      <c r="H69" s="3" t="s">
        <v>58</v>
      </c>
      <c r="I69" s="3" t="s">
        <v>58</v>
      </c>
      <c r="J69" s="3" t="s">
        <v>60</v>
      </c>
      <c r="K69" s="2" t="s">
        <v>983</v>
      </c>
      <c r="L69" s="2" t="s">
        <v>984</v>
      </c>
      <c r="M69" s="3" t="s">
        <v>425</v>
      </c>
      <c r="N69" s="2" t="s">
        <v>985</v>
      </c>
      <c r="O69" s="3" t="s">
        <v>986</v>
      </c>
      <c r="P69" s="3" t="s">
        <v>987</v>
      </c>
      <c r="R69" s="3" t="s">
        <v>855</v>
      </c>
      <c r="S69" s="4">
        <v>1</v>
      </c>
      <c r="T69" s="4">
        <v>2</v>
      </c>
      <c r="U69" s="5" t="s">
        <v>988</v>
      </c>
      <c r="V69" s="5" t="s">
        <v>988</v>
      </c>
      <c r="W69" s="5" t="s">
        <v>989</v>
      </c>
      <c r="X69" s="5" t="s">
        <v>989</v>
      </c>
      <c r="Y69" s="4">
        <v>157</v>
      </c>
      <c r="Z69" s="4">
        <v>123</v>
      </c>
      <c r="AA69" s="4">
        <v>183</v>
      </c>
      <c r="AB69" s="4">
        <v>1</v>
      </c>
      <c r="AC69" s="4">
        <v>2</v>
      </c>
      <c r="AD69" s="4">
        <v>4</v>
      </c>
      <c r="AE69" s="4">
        <v>9</v>
      </c>
      <c r="AF69" s="4">
        <v>1</v>
      </c>
      <c r="AG69" s="4">
        <v>2</v>
      </c>
      <c r="AH69" s="4">
        <v>1</v>
      </c>
      <c r="AI69" s="4">
        <v>2</v>
      </c>
      <c r="AJ69" s="4">
        <v>3</v>
      </c>
      <c r="AK69" s="4">
        <v>6</v>
      </c>
      <c r="AL69" s="4">
        <v>0</v>
      </c>
      <c r="AM69" s="4">
        <v>1</v>
      </c>
      <c r="AN69" s="4">
        <v>0</v>
      </c>
      <c r="AO69" s="4">
        <v>0</v>
      </c>
      <c r="AP69" s="3" t="s">
        <v>58</v>
      </c>
      <c r="AQ69" s="3" t="s">
        <v>87</v>
      </c>
      <c r="AR69" s="6" t="str">
        <f>HYPERLINK("http://catalog.hathitrust.org/Record/007480866","HathiTrust Record")</f>
        <v>HathiTrust Record</v>
      </c>
      <c r="AS69" s="6" t="str">
        <f>HYPERLINK("https://creighton-primo.hosted.exlibrisgroup.com/primo-explore/search?tab=default_tab&amp;search_scope=EVERYTHING&amp;vid=01CRU&amp;lang=en_US&amp;offset=0&amp;query=any,contains,991002771159702656","Catalog Record")</f>
        <v>Catalog Record</v>
      </c>
      <c r="AT69" s="6" t="str">
        <f>HYPERLINK("http://www.worldcat.org/oclc/33361308","WorldCat Record")</f>
        <v>WorldCat Record</v>
      </c>
      <c r="AU69" s="3" t="s">
        <v>990</v>
      </c>
      <c r="AV69" s="3" t="s">
        <v>991</v>
      </c>
      <c r="AW69" s="3" t="s">
        <v>992</v>
      </c>
      <c r="AX69" s="3" t="s">
        <v>992</v>
      </c>
      <c r="AY69" s="3" t="s">
        <v>993</v>
      </c>
      <c r="AZ69" s="3" t="s">
        <v>73</v>
      </c>
      <c r="BB69" s="3" t="s">
        <v>994</v>
      </c>
      <c r="BC69" s="3" t="s">
        <v>997</v>
      </c>
      <c r="BD69" s="3" t="s">
        <v>998</v>
      </c>
    </row>
    <row r="70" spans="1:56" ht="47.25" customHeight="1" x14ac:dyDescent="0.25">
      <c r="A70" s="7" t="s">
        <v>58</v>
      </c>
      <c r="B70" s="2" t="s">
        <v>999</v>
      </c>
      <c r="C70" s="2" t="s">
        <v>1000</v>
      </c>
      <c r="D70" s="2" t="s">
        <v>1001</v>
      </c>
      <c r="F70" s="3" t="s">
        <v>58</v>
      </c>
      <c r="G70" s="3" t="s">
        <v>59</v>
      </c>
      <c r="H70" s="3" t="s">
        <v>58</v>
      </c>
      <c r="I70" s="3" t="s">
        <v>58</v>
      </c>
      <c r="J70" s="3" t="s">
        <v>60</v>
      </c>
      <c r="K70" s="2" t="s">
        <v>1002</v>
      </c>
      <c r="L70" s="2" t="s">
        <v>1003</v>
      </c>
      <c r="M70" s="3" t="s">
        <v>1004</v>
      </c>
      <c r="O70" s="3" t="s">
        <v>63</v>
      </c>
      <c r="P70" s="3" t="s">
        <v>64</v>
      </c>
      <c r="R70" s="3" t="s">
        <v>855</v>
      </c>
      <c r="S70" s="4">
        <v>1</v>
      </c>
      <c r="T70" s="4">
        <v>1</v>
      </c>
      <c r="U70" s="5" t="s">
        <v>1005</v>
      </c>
      <c r="V70" s="5" t="s">
        <v>1005</v>
      </c>
      <c r="W70" s="5" t="s">
        <v>151</v>
      </c>
      <c r="X70" s="5" t="s">
        <v>151</v>
      </c>
      <c r="Y70" s="4">
        <v>413</v>
      </c>
      <c r="Z70" s="4">
        <v>325</v>
      </c>
      <c r="AA70" s="4">
        <v>530</v>
      </c>
      <c r="AB70" s="4">
        <v>5</v>
      </c>
      <c r="AC70" s="4">
        <v>7</v>
      </c>
      <c r="AD70" s="4">
        <v>17</v>
      </c>
      <c r="AE70" s="4">
        <v>27</v>
      </c>
      <c r="AF70" s="4">
        <v>7</v>
      </c>
      <c r="AG70" s="4">
        <v>9</v>
      </c>
      <c r="AH70" s="4">
        <v>3</v>
      </c>
      <c r="AI70" s="4">
        <v>7</v>
      </c>
      <c r="AJ70" s="4">
        <v>8</v>
      </c>
      <c r="AK70" s="4">
        <v>12</v>
      </c>
      <c r="AL70" s="4">
        <v>4</v>
      </c>
      <c r="AM70" s="4">
        <v>6</v>
      </c>
      <c r="AN70" s="4">
        <v>0</v>
      </c>
      <c r="AO70" s="4">
        <v>0</v>
      </c>
      <c r="AP70" s="3" t="s">
        <v>58</v>
      </c>
      <c r="AQ70" s="3" t="s">
        <v>58</v>
      </c>
      <c r="AS70" s="6" t="str">
        <f>HYPERLINK("https://creighton-primo.hosted.exlibrisgroup.com/primo-explore/search?tab=default_tab&amp;search_scope=EVERYTHING&amp;vid=01CRU&amp;lang=en_US&amp;offset=0&amp;query=any,contains,991000563729702656","Catalog Record")</f>
        <v>Catalog Record</v>
      </c>
      <c r="AT70" s="6" t="str">
        <f>HYPERLINK("http://www.worldcat.org/oclc/93662","WorldCat Record")</f>
        <v>WorldCat Record</v>
      </c>
      <c r="AU70" s="3" t="s">
        <v>1006</v>
      </c>
      <c r="AV70" s="3" t="s">
        <v>1007</v>
      </c>
      <c r="AW70" s="3" t="s">
        <v>1008</v>
      </c>
      <c r="AX70" s="3" t="s">
        <v>1008</v>
      </c>
      <c r="AY70" s="3" t="s">
        <v>1009</v>
      </c>
      <c r="AZ70" s="3" t="s">
        <v>73</v>
      </c>
      <c r="BB70" s="3" t="s">
        <v>1010</v>
      </c>
      <c r="BC70" s="3" t="s">
        <v>1011</v>
      </c>
      <c r="BD70" s="3" t="s">
        <v>1012</v>
      </c>
    </row>
    <row r="71" spans="1:56" ht="47.25" customHeight="1" x14ac:dyDescent="0.25">
      <c r="A71" s="7" t="s">
        <v>58</v>
      </c>
      <c r="B71" s="2" t="s">
        <v>1013</v>
      </c>
      <c r="C71" s="2" t="s">
        <v>1014</v>
      </c>
      <c r="D71" s="2" t="s">
        <v>1015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60</v>
      </c>
      <c r="K71" s="2" t="s">
        <v>1016</v>
      </c>
      <c r="L71" s="2" t="s">
        <v>1017</v>
      </c>
      <c r="M71" s="3" t="s">
        <v>1018</v>
      </c>
      <c r="N71" s="2" t="s">
        <v>1019</v>
      </c>
      <c r="O71" s="3" t="s">
        <v>63</v>
      </c>
      <c r="P71" s="3" t="s">
        <v>64</v>
      </c>
      <c r="Q71" s="2" t="s">
        <v>1020</v>
      </c>
      <c r="R71" s="3" t="s">
        <v>855</v>
      </c>
      <c r="S71" s="4">
        <v>2</v>
      </c>
      <c r="T71" s="4">
        <v>2</v>
      </c>
      <c r="U71" s="5" t="s">
        <v>1021</v>
      </c>
      <c r="V71" s="5" t="s">
        <v>1021</v>
      </c>
      <c r="W71" s="5" t="s">
        <v>151</v>
      </c>
      <c r="X71" s="5" t="s">
        <v>151</v>
      </c>
      <c r="Y71" s="4">
        <v>296</v>
      </c>
      <c r="Z71" s="4">
        <v>248</v>
      </c>
      <c r="AA71" s="4">
        <v>545</v>
      </c>
      <c r="AB71" s="4">
        <v>2</v>
      </c>
      <c r="AC71" s="4">
        <v>6</v>
      </c>
      <c r="AD71" s="4">
        <v>10</v>
      </c>
      <c r="AE71" s="4">
        <v>30</v>
      </c>
      <c r="AF71" s="4">
        <v>3</v>
      </c>
      <c r="AG71" s="4">
        <v>10</v>
      </c>
      <c r="AH71" s="4">
        <v>2</v>
      </c>
      <c r="AI71" s="4">
        <v>6</v>
      </c>
      <c r="AJ71" s="4">
        <v>7</v>
      </c>
      <c r="AK71" s="4">
        <v>17</v>
      </c>
      <c r="AL71" s="4">
        <v>1</v>
      </c>
      <c r="AM71" s="4">
        <v>4</v>
      </c>
      <c r="AN71" s="4">
        <v>0</v>
      </c>
      <c r="AO71" s="4">
        <v>0</v>
      </c>
      <c r="AP71" s="3" t="s">
        <v>58</v>
      </c>
      <c r="AQ71" s="3" t="s">
        <v>58</v>
      </c>
      <c r="AR71" s="6" t="str">
        <f>HYPERLINK("http://catalog.hathitrust.org/Record/001789193","HathiTrust Record")</f>
        <v>HathiTrust Record</v>
      </c>
      <c r="AS71" s="6" t="str">
        <f>HYPERLINK("https://creighton-primo.hosted.exlibrisgroup.com/primo-explore/search?tab=default_tab&amp;search_scope=EVERYTHING&amp;vid=01CRU&amp;lang=en_US&amp;offset=0&amp;query=any,contains,991004668149702656","Catalog Record")</f>
        <v>Catalog Record</v>
      </c>
      <c r="AT71" s="6" t="str">
        <f>HYPERLINK("http://www.worldcat.org/oclc/4511938","WorldCat Record")</f>
        <v>WorldCat Record</v>
      </c>
      <c r="AU71" s="3" t="s">
        <v>1022</v>
      </c>
      <c r="AV71" s="3" t="s">
        <v>1023</v>
      </c>
      <c r="AW71" s="3" t="s">
        <v>1024</v>
      </c>
      <c r="AX71" s="3" t="s">
        <v>1024</v>
      </c>
      <c r="AY71" s="3" t="s">
        <v>1025</v>
      </c>
      <c r="AZ71" s="3" t="s">
        <v>73</v>
      </c>
      <c r="BC71" s="3" t="s">
        <v>1026</v>
      </c>
      <c r="BD71" s="3" t="s">
        <v>1027</v>
      </c>
    </row>
    <row r="72" spans="1:56" ht="47.25" customHeight="1" x14ac:dyDescent="0.25">
      <c r="A72" s="7" t="s">
        <v>58</v>
      </c>
      <c r="B72" s="2" t="s">
        <v>1028</v>
      </c>
      <c r="C72" s="2" t="s">
        <v>1029</v>
      </c>
      <c r="D72" s="2" t="s">
        <v>1030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K72" s="2" t="s">
        <v>1031</v>
      </c>
      <c r="L72" s="2" t="s">
        <v>1032</v>
      </c>
      <c r="M72" s="3" t="s">
        <v>253</v>
      </c>
      <c r="O72" s="3" t="s">
        <v>1033</v>
      </c>
      <c r="P72" s="3" t="s">
        <v>1034</v>
      </c>
      <c r="R72" s="3" t="s">
        <v>855</v>
      </c>
      <c r="S72" s="4">
        <v>5</v>
      </c>
      <c r="T72" s="4">
        <v>5</v>
      </c>
      <c r="U72" s="5" t="s">
        <v>1035</v>
      </c>
      <c r="V72" s="5" t="s">
        <v>1035</v>
      </c>
      <c r="W72" s="5" t="s">
        <v>151</v>
      </c>
      <c r="X72" s="5" t="s">
        <v>151</v>
      </c>
      <c r="Y72" s="4">
        <v>258</v>
      </c>
      <c r="Z72" s="4">
        <v>146</v>
      </c>
      <c r="AA72" s="4">
        <v>241</v>
      </c>
      <c r="AB72" s="4">
        <v>4</v>
      </c>
      <c r="AC72" s="4">
        <v>4</v>
      </c>
      <c r="AD72" s="4">
        <v>8</v>
      </c>
      <c r="AE72" s="4">
        <v>12</v>
      </c>
      <c r="AF72" s="4">
        <v>1</v>
      </c>
      <c r="AG72" s="4">
        <v>2</v>
      </c>
      <c r="AH72" s="4">
        <v>1</v>
      </c>
      <c r="AI72" s="4">
        <v>3</v>
      </c>
      <c r="AJ72" s="4">
        <v>3</v>
      </c>
      <c r="AK72" s="4">
        <v>5</v>
      </c>
      <c r="AL72" s="4">
        <v>3</v>
      </c>
      <c r="AM72" s="4">
        <v>3</v>
      </c>
      <c r="AN72" s="4">
        <v>0</v>
      </c>
      <c r="AO72" s="4">
        <v>0</v>
      </c>
      <c r="AP72" s="3" t="s">
        <v>58</v>
      </c>
      <c r="AQ72" s="3" t="s">
        <v>87</v>
      </c>
      <c r="AR72" s="6" t="str">
        <f>HYPERLINK("http://catalog.hathitrust.org/Record/001201379","HathiTrust Record")</f>
        <v>HathiTrust Record</v>
      </c>
      <c r="AS72" s="6" t="str">
        <f>HYPERLINK("https://creighton-primo.hosted.exlibrisgroup.com/primo-explore/search?tab=default_tab&amp;search_scope=EVERYTHING&amp;vid=01CRU&amp;lang=en_US&amp;offset=0&amp;query=any,contains,991005072399702656","Catalog Record")</f>
        <v>Catalog Record</v>
      </c>
      <c r="AT72" s="6" t="str">
        <f>HYPERLINK("http://www.worldcat.org/oclc/7050235","WorldCat Record")</f>
        <v>WorldCat Record</v>
      </c>
      <c r="AU72" s="3" t="s">
        <v>1036</v>
      </c>
      <c r="AV72" s="3" t="s">
        <v>1037</v>
      </c>
      <c r="AW72" s="3" t="s">
        <v>1038</v>
      </c>
      <c r="AX72" s="3" t="s">
        <v>1038</v>
      </c>
      <c r="AY72" s="3" t="s">
        <v>1039</v>
      </c>
      <c r="AZ72" s="3" t="s">
        <v>73</v>
      </c>
      <c r="BC72" s="3" t="s">
        <v>1040</v>
      </c>
      <c r="BD72" s="3" t="s">
        <v>1041</v>
      </c>
    </row>
    <row r="73" spans="1:56" ht="47.25" customHeight="1" x14ac:dyDescent="0.25">
      <c r="A73" s="7" t="s">
        <v>58</v>
      </c>
      <c r="B73" s="2" t="s">
        <v>1042</v>
      </c>
      <c r="C73" s="2" t="s">
        <v>1043</v>
      </c>
      <c r="D73" s="2" t="s">
        <v>1044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K73" s="2" t="s">
        <v>1045</v>
      </c>
      <c r="L73" s="2" t="s">
        <v>1046</v>
      </c>
      <c r="M73" s="3" t="s">
        <v>1047</v>
      </c>
      <c r="O73" s="3" t="s">
        <v>63</v>
      </c>
      <c r="P73" s="3" t="s">
        <v>148</v>
      </c>
      <c r="R73" s="3" t="s">
        <v>855</v>
      </c>
      <c r="S73" s="4">
        <v>4</v>
      </c>
      <c r="T73" s="4">
        <v>4</v>
      </c>
      <c r="U73" s="5" t="s">
        <v>1048</v>
      </c>
      <c r="V73" s="5" t="s">
        <v>1048</v>
      </c>
      <c r="W73" s="5" t="s">
        <v>151</v>
      </c>
      <c r="X73" s="5" t="s">
        <v>151</v>
      </c>
      <c r="Y73" s="4">
        <v>42</v>
      </c>
      <c r="Z73" s="4">
        <v>42</v>
      </c>
      <c r="AA73" s="4">
        <v>45</v>
      </c>
      <c r="AB73" s="4">
        <v>2</v>
      </c>
      <c r="AC73" s="4">
        <v>2</v>
      </c>
      <c r="AD73" s="4">
        <v>5</v>
      </c>
      <c r="AE73" s="4">
        <v>5</v>
      </c>
      <c r="AF73" s="4">
        <v>0</v>
      </c>
      <c r="AG73" s="4">
        <v>0</v>
      </c>
      <c r="AH73" s="4">
        <v>1</v>
      </c>
      <c r="AI73" s="4">
        <v>1</v>
      </c>
      <c r="AJ73" s="4">
        <v>3</v>
      </c>
      <c r="AK73" s="4">
        <v>3</v>
      </c>
      <c r="AL73" s="4">
        <v>1</v>
      </c>
      <c r="AM73" s="4">
        <v>1</v>
      </c>
      <c r="AN73" s="4">
        <v>0</v>
      </c>
      <c r="AO73" s="4">
        <v>0</v>
      </c>
      <c r="AP73" s="3" t="s">
        <v>58</v>
      </c>
      <c r="AQ73" s="3" t="s">
        <v>87</v>
      </c>
      <c r="AR73" s="6" t="str">
        <f>HYPERLINK("http://catalog.hathitrust.org/Record/100842478","HathiTrust Record")</f>
        <v>HathiTrust Record</v>
      </c>
      <c r="AS73" s="6" t="str">
        <f>HYPERLINK("https://creighton-primo.hosted.exlibrisgroup.com/primo-explore/search?tab=default_tab&amp;search_scope=EVERYTHING&amp;vid=01CRU&amp;lang=en_US&amp;offset=0&amp;query=any,contains,991004486229702656","Catalog Record")</f>
        <v>Catalog Record</v>
      </c>
      <c r="AT73" s="6" t="str">
        <f>HYPERLINK("http://www.worldcat.org/oclc/3646526","WorldCat Record")</f>
        <v>WorldCat Record</v>
      </c>
      <c r="AU73" s="3" t="s">
        <v>1049</v>
      </c>
      <c r="AV73" s="3" t="s">
        <v>1050</v>
      </c>
      <c r="AW73" s="3" t="s">
        <v>1051</v>
      </c>
      <c r="AX73" s="3" t="s">
        <v>1051</v>
      </c>
      <c r="AY73" s="3" t="s">
        <v>1052</v>
      </c>
      <c r="AZ73" s="3" t="s">
        <v>73</v>
      </c>
      <c r="BC73" s="3" t="s">
        <v>1053</v>
      </c>
      <c r="BD73" s="3" t="s">
        <v>1054</v>
      </c>
    </row>
    <row r="74" spans="1:56" ht="47.25" customHeight="1" x14ac:dyDescent="0.25">
      <c r="A74" s="7" t="s">
        <v>58</v>
      </c>
      <c r="B74" s="2" t="s">
        <v>1055</v>
      </c>
      <c r="C74" s="2" t="s">
        <v>1056</v>
      </c>
      <c r="D74" s="2" t="s">
        <v>1057</v>
      </c>
      <c r="F74" s="3" t="s">
        <v>58</v>
      </c>
      <c r="G74" s="3" t="s">
        <v>59</v>
      </c>
      <c r="H74" s="3" t="s">
        <v>58</v>
      </c>
      <c r="I74" s="3" t="s">
        <v>58</v>
      </c>
      <c r="J74" s="3" t="s">
        <v>60</v>
      </c>
      <c r="K74" s="2" t="s">
        <v>1058</v>
      </c>
      <c r="L74" s="2" t="s">
        <v>1059</v>
      </c>
      <c r="M74" s="3" t="s">
        <v>1047</v>
      </c>
      <c r="O74" s="3" t="s">
        <v>63</v>
      </c>
      <c r="P74" s="3" t="s">
        <v>83</v>
      </c>
      <c r="Q74" s="2" t="s">
        <v>1060</v>
      </c>
      <c r="R74" s="3" t="s">
        <v>855</v>
      </c>
      <c r="S74" s="4">
        <v>5</v>
      </c>
      <c r="T74" s="4">
        <v>5</v>
      </c>
      <c r="U74" s="5" t="s">
        <v>1048</v>
      </c>
      <c r="V74" s="5" t="s">
        <v>1048</v>
      </c>
      <c r="W74" s="5" t="s">
        <v>151</v>
      </c>
      <c r="X74" s="5" t="s">
        <v>151</v>
      </c>
      <c r="Y74" s="4">
        <v>39</v>
      </c>
      <c r="Z74" s="4">
        <v>37</v>
      </c>
      <c r="AA74" s="4">
        <v>38</v>
      </c>
      <c r="AB74" s="4">
        <v>1</v>
      </c>
      <c r="AC74" s="4">
        <v>1</v>
      </c>
      <c r="AD74" s="4">
        <v>3</v>
      </c>
      <c r="AE74" s="4">
        <v>3</v>
      </c>
      <c r="AF74" s="4">
        <v>0</v>
      </c>
      <c r="AG74" s="4">
        <v>0</v>
      </c>
      <c r="AH74" s="4">
        <v>0</v>
      </c>
      <c r="AI74" s="4">
        <v>0</v>
      </c>
      <c r="AJ74" s="4">
        <v>3</v>
      </c>
      <c r="AK74" s="4">
        <v>3</v>
      </c>
      <c r="AL74" s="4">
        <v>0</v>
      </c>
      <c r="AM74" s="4">
        <v>0</v>
      </c>
      <c r="AN74" s="4">
        <v>0</v>
      </c>
      <c r="AO74" s="4">
        <v>0</v>
      </c>
      <c r="AP74" s="3" t="s">
        <v>58</v>
      </c>
      <c r="AQ74" s="3" t="s">
        <v>58</v>
      </c>
      <c r="AS74" s="6" t="str">
        <f>HYPERLINK("https://creighton-primo.hosted.exlibrisgroup.com/primo-explore/search?tab=default_tab&amp;search_scope=EVERYTHING&amp;vid=01CRU&amp;lang=en_US&amp;offset=0&amp;query=any,contains,991004558369702656","Catalog Record")</f>
        <v>Catalog Record</v>
      </c>
      <c r="AT74" s="6" t="str">
        <f>HYPERLINK("http://www.worldcat.org/oclc/3980845","WorldCat Record")</f>
        <v>WorldCat Record</v>
      </c>
      <c r="AU74" s="3" t="s">
        <v>1061</v>
      </c>
      <c r="AV74" s="3" t="s">
        <v>1062</v>
      </c>
      <c r="AW74" s="3" t="s">
        <v>1063</v>
      </c>
      <c r="AX74" s="3" t="s">
        <v>1063</v>
      </c>
      <c r="AY74" s="3" t="s">
        <v>1064</v>
      </c>
      <c r="AZ74" s="3" t="s">
        <v>73</v>
      </c>
      <c r="BC74" s="3" t="s">
        <v>1065</v>
      </c>
      <c r="BD74" s="3" t="s">
        <v>1066</v>
      </c>
    </row>
    <row r="75" spans="1:56" ht="47.25" customHeight="1" x14ac:dyDescent="0.25">
      <c r="A75" s="7" t="s">
        <v>58</v>
      </c>
      <c r="B75" s="2" t="s">
        <v>1067</v>
      </c>
      <c r="C75" s="2" t="s">
        <v>1068</v>
      </c>
      <c r="D75" s="2" t="s">
        <v>1069</v>
      </c>
      <c r="F75" s="3" t="s">
        <v>58</v>
      </c>
      <c r="G75" s="3" t="s">
        <v>59</v>
      </c>
      <c r="H75" s="3" t="s">
        <v>58</v>
      </c>
      <c r="I75" s="3" t="s">
        <v>58</v>
      </c>
      <c r="J75" s="3" t="s">
        <v>60</v>
      </c>
      <c r="K75" s="2" t="s">
        <v>1070</v>
      </c>
      <c r="L75" s="2" t="s">
        <v>1071</v>
      </c>
      <c r="M75" s="3" t="s">
        <v>1072</v>
      </c>
      <c r="N75" s="2" t="s">
        <v>1073</v>
      </c>
      <c r="O75" s="3" t="s">
        <v>1033</v>
      </c>
      <c r="P75" s="3" t="s">
        <v>148</v>
      </c>
      <c r="Q75" s="2" t="s">
        <v>1074</v>
      </c>
      <c r="R75" s="3" t="s">
        <v>855</v>
      </c>
      <c r="S75" s="4">
        <v>1</v>
      </c>
      <c r="T75" s="4">
        <v>1</v>
      </c>
      <c r="U75" s="5" t="s">
        <v>1075</v>
      </c>
      <c r="V75" s="5" t="s">
        <v>1075</v>
      </c>
      <c r="W75" s="5" t="s">
        <v>1076</v>
      </c>
      <c r="X75" s="5" t="s">
        <v>1076</v>
      </c>
      <c r="Y75" s="4">
        <v>99</v>
      </c>
      <c r="Z75" s="4">
        <v>77</v>
      </c>
      <c r="AA75" s="4">
        <v>272</v>
      </c>
      <c r="AB75" s="4">
        <v>1</v>
      </c>
      <c r="AC75" s="4">
        <v>2</v>
      </c>
      <c r="AD75" s="4">
        <v>2</v>
      </c>
      <c r="AE75" s="4">
        <v>7</v>
      </c>
      <c r="AF75" s="4">
        <v>0</v>
      </c>
      <c r="AG75" s="4">
        <v>3</v>
      </c>
      <c r="AH75" s="4">
        <v>0</v>
      </c>
      <c r="AI75" s="4">
        <v>1</v>
      </c>
      <c r="AJ75" s="4">
        <v>2</v>
      </c>
      <c r="AK75" s="4">
        <v>4</v>
      </c>
      <c r="AL75" s="4">
        <v>0</v>
      </c>
      <c r="AM75" s="4">
        <v>1</v>
      </c>
      <c r="AN75" s="4">
        <v>0</v>
      </c>
      <c r="AO75" s="4">
        <v>0</v>
      </c>
      <c r="AP75" s="3" t="s">
        <v>58</v>
      </c>
      <c r="AQ75" s="3" t="s">
        <v>87</v>
      </c>
      <c r="AR75" s="6" t="str">
        <f>HYPERLINK("http://catalog.hathitrust.org/Record/007114725","HathiTrust Record")</f>
        <v>HathiTrust Record</v>
      </c>
      <c r="AS75" s="6" t="str">
        <f>HYPERLINK("https://creighton-primo.hosted.exlibrisgroup.com/primo-explore/search?tab=default_tab&amp;search_scope=EVERYTHING&amp;vid=01CRU&amp;lang=en_US&amp;offset=0&amp;query=any,contains,991003889799702656","Catalog Record")</f>
        <v>Catalog Record</v>
      </c>
      <c r="AT75" s="6" t="str">
        <f>HYPERLINK("http://www.worldcat.org/oclc/1750170","WorldCat Record")</f>
        <v>WorldCat Record</v>
      </c>
      <c r="AU75" s="3" t="s">
        <v>1077</v>
      </c>
      <c r="AV75" s="3" t="s">
        <v>1078</v>
      </c>
      <c r="AW75" s="3" t="s">
        <v>1079</v>
      </c>
      <c r="AX75" s="3" t="s">
        <v>1079</v>
      </c>
      <c r="AY75" s="3" t="s">
        <v>1080</v>
      </c>
      <c r="AZ75" s="3" t="s">
        <v>73</v>
      </c>
      <c r="BB75" s="3" t="s">
        <v>1081</v>
      </c>
      <c r="BC75" s="3" t="s">
        <v>1082</v>
      </c>
      <c r="BD75" s="3" t="s">
        <v>1083</v>
      </c>
    </row>
    <row r="76" spans="1:56" ht="47.25" customHeight="1" x14ac:dyDescent="0.25">
      <c r="A76" s="7" t="s">
        <v>58</v>
      </c>
      <c r="B76" s="2" t="s">
        <v>1084</v>
      </c>
      <c r="C76" s="2" t="s">
        <v>1085</v>
      </c>
      <c r="D76" s="2" t="s">
        <v>1086</v>
      </c>
      <c r="F76" s="3" t="s">
        <v>58</v>
      </c>
      <c r="G76" s="3" t="s">
        <v>59</v>
      </c>
      <c r="H76" s="3" t="s">
        <v>58</v>
      </c>
      <c r="I76" s="3" t="s">
        <v>58</v>
      </c>
      <c r="J76" s="3" t="s">
        <v>60</v>
      </c>
      <c r="K76" s="2" t="s">
        <v>1087</v>
      </c>
      <c r="L76" s="2" t="s">
        <v>1088</v>
      </c>
      <c r="M76" s="3" t="s">
        <v>1089</v>
      </c>
      <c r="O76" s="3" t="s">
        <v>63</v>
      </c>
      <c r="P76" s="3" t="s">
        <v>83</v>
      </c>
      <c r="R76" s="3" t="s">
        <v>855</v>
      </c>
      <c r="S76" s="4">
        <v>6</v>
      </c>
      <c r="T76" s="4">
        <v>6</v>
      </c>
      <c r="U76" s="5" t="s">
        <v>1090</v>
      </c>
      <c r="V76" s="5" t="s">
        <v>1090</v>
      </c>
      <c r="W76" s="5" t="s">
        <v>151</v>
      </c>
      <c r="X76" s="5" t="s">
        <v>151</v>
      </c>
      <c r="Y76" s="4">
        <v>40</v>
      </c>
      <c r="Z76" s="4">
        <v>38</v>
      </c>
      <c r="AA76" s="4">
        <v>56</v>
      </c>
      <c r="AB76" s="4">
        <v>1</v>
      </c>
      <c r="AC76" s="4">
        <v>2</v>
      </c>
      <c r="AD76" s="4">
        <v>1</v>
      </c>
      <c r="AE76" s="4">
        <v>3</v>
      </c>
      <c r="AF76" s="4">
        <v>0</v>
      </c>
      <c r="AG76" s="4">
        <v>0</v>
      </c>
      <c r="AH76" s="4">
        <v>1</v>
      </c>
      <c r="AI76" s="4">
        <v>2</v>
      </c>
      <c r="AJ76" s="4">
        <v>1</v>
      </c>
      <c r="AK76" s="4">
        <v>1</v>
      </c>
      <c r="AL76" s="4">
        <v>0</v>
      </c>
      <c r="AM76" s="4">
        <v>1</v>
      </c>
      <c r="AN76" s="4">
        <v>0</v>
      </c>
      <c r="AO76" s="4">
        <v>0</v>
      </c>
      <c r="AP76" s="3" t="s">
        <v>87</v>
      </c>
      <c r="AQ76" s="3" t="s">
        <v>58</v>
      </c>
      <c r="AR76" s="6" t="str">
        <f>HYPERLINK("http://catalog.hathitrust.org/Record/001201304","HathiTrust Record")</f>
        <v>HathiTrust Record</v>
      </c>
      <c r="AS76" s="6" t="str">
        <f>HYPERLINK("https://creighton-primo.hosted.exlibrisgroup.com/primo-explore/search?tab=default_tab&amp;search_scope=EVERYTHING&amp;vid=01CRU&amp;lang=en_US&amp;offset=0&amp;query=any,contains,991005150089702656","Catalog Record")</f>
        <v>Catalog Record</v>
      </c>
      <c r="AT76" s="6" t="str">
        <f>HYPERLINK("http://www.worldcat.org/oclc/7725655","WorldCat Record")</f>
        <v>WorldCat Record</v>
      </c>
      <c r="AU76" s="3" t="s">
        <v>1091</v>
      </c>
      <c r="AV76" s="3" t="s">
        <v>1092</v>
      </c>
      <c r="AW76" s="3" t="s">
        <v>1093</v>
      </c>
      <c r="AX76" s="3" t="s">
        <v>1093</v>
      </c>
      <c r="AY76" s="3" t="s">
        <v>1094</v>
      </c>
      <c r="AZ76" s="3" t="s">
        <v>73</v>
      </c>
      <c r="BC76" s="3" t="s">
        <v>1095</v>
      </c>
      <c r="BD76" s="3" t="s">
        <v>1096</v>
      </c>
    </row>
    <row r="77" spans="1:56" ht="47.25" customHeight="1" x14ac:dyDescent="0.25">
      <c r="A77" s="7" t="s">
        <v>58</v>
      </c>
      <c r="B77" s="2" t="s">
        <v>1097</v>
      </c>
      <c r="C77" s="2" t="s">
        <v>1098</v>
      </c>
      <c r="D77" s="2" t="s">
        <v>1099</v>
      </c>
      <c r="F77" s="3" t="s">
        <v>58</v>
      </c>
      <c r="G77" s="3" t="s">
        <v>59</v>
      </c>
      <c r="H77" s="3" t="s">
        <v>58</v>
      </c>
      <c r="I77" s="3" t="s">
        <v>58</v>
      </c>
      <c r="J77" s="3" t="s">
        <v>60</v>
      </c>
      <c r="K77" s="2" t="s">
        <v>1100</v>
      </c>
      <c r="L77" s="2" t="s">
        <v>1101</v>
      </c>
      <c r="M77" s="3" t="s">
        <v>1102</v>
      </c>
      <c r="O77" s="3" t="s">
        <v>63</v>
      </c>
      <c r="P77" s="3" t="s">
        <v>1103</v>
      </c>
      <c r="Q77" s="2" t="s">
        <v>869</v>
      </c>
      <c r="R77" s="3" t="s">
        <v>855</v>
      </c>
      <c r="S77" s="4">
        <v>5</v>
      </c>
      <c r="T77" s="4">
        <v>5</v>
      </c>
      <c r="U77" s="5" t="s">
        <v>1104</v>
      </c>
      <c r="V77" s="5" t="s">
        <v>1104</v>
      </c>
      <c r="W77" s="5" t="s">
        <v>240</v>
      </c>
      <c r="X77" s="5" t="s">
        <v>240</v>
      </c>
      <c r="Y77" s="4">
        <v>51</v>
      </c>
      <c r="Z77" s="4">
        <v>45</v>
      </c>
      <c r="AA77" s="4">
        <v>45</v>
      </c>
      <c r="AB77" s="4">
        <v>1</v>
      </c>
      <c r="AC77" s="4">
        <v>1</v>
      </c>
      <c r="AD77" s="4">
        <v>1</v>
      </c>
      <c r="AE77" s="4">
        <v>1</v>
      </c>
      <c r="AF77" s="4">
        <v>0</v>
      </c>
      <c r="AG77" s="4">
        <v>0</v>
      </c>
      <c r="AH77" s="4">
        <v>1</v>
      </c>
      <c r="AI77" s="4">
        <v>1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3" t="s">
        <v>58</v>
      </c>
      <c r="AQ77" s="3" t="s">
        <v>58</v>
      </c>
      <c r="AS77" s="6" t="str">
        <f>HYPERLINK("https://creighton-primo.hosted.exlibrisgroup.com/primo-explore/search?tab=default_tab&amp;search_scope=EVERYTHING&amp;vid=01CRU&amp;lang=en_US&amp;offset=0&amp;query=any,contains,991003041399702656","Catalog Record")</f>
        <v>Catalog Record</v>
      </c>
      <c r="AT77" s="6" t="str">
        <f>HYPERLINK("http://www.worldcat.org/oclc/602652","WorldCat Record")</f>
        <v>WorldCat Record</v>
      </c>
      <c r="AU77" s="3" t="s">
        <v>1105</v>
      </c>
      <c r="AV77" s="3" t="s">
        <v>1106</v>
      </c>
      <c r="AW77" s="3" t="s">
        <v>1107</v>
      </c>
      <c r="AX77" s="3" t="s">
        <v>1107</v>
      </c>
      <c r="AY77" s="3" t="s">
        <v>1108</v>
      </c>
      <c r="AZ77" s="3" t="s">
        <v>73</v>
      </c>
      <c r="BC77" s="3" t="s">
        <v>1109</v>
      </c>
      <c r="BD77" s="3" t="s">
        <v>1110</v>
      </c>
    </row>
    <row r="78" spans="1:56" ht="47.25" customHeight="1" x14ac:dyDescent="0.25">
      <c r="A78" s="7" t="s">
        <v>58</v>
      </c>
      <c r="B78" s="2" t="s">
        <v>1111</v>
      </c>
      <c r="C78" s="2" t="s">
        <v>1112</v>
      </c>
      <c r="D78" s="2" t="s">
        <v>1113</v>
      </c>
      <c r="F78" s="3" t="s">
        <v>58</v>
      </c>
      <c r="G78" s="3" t="s">
        <v>59</v>
      </c>
      <c r="H78" s="3" t="s">
        <v>58</v>
      </c>
      <c r="I78" s="3" t="s">
        <v>58</v>
      </c>
      <c r="J78" s="3" t="s">
        <v>60</v>
      </c>
      <c r="K78" s="2" t="s">
        <v>1114</v>
      </c>
      <c r="L78" s="2" t="s">
        <v>1115</v>
      </c>
      <c r="M78" s="3" t="s">
        <v>1116</v>
      </c>
      <c r="O78" s="3" t="s">
        <v>63</v>
      </c>
      <c r="P78" s="3" t="s">
        <v>83</v>
      </c>
      <c r="R78" s="3" t="s">
        <v>855</v>
      </c>
      <c r="S78" s="4">
        <v>2</v>
      </c>
      <c r="T78" s="4">
        <v>2</v>
      </c>
      <c r="U78" s="5" t="s">
        <v>1117</v>
      </c>
      <c r="V78" s="5" t="s">
        <v>1117</v>
      </c>
      <c r="W78" s="5" t="s">
        <v>1118</v>
      </c>
      <c r="X78" s="5" t="s">
        <v>1118</v>
      </c>
      <c r="Y78" s="4">
        <v>29</v>
      </c>
      <c r="Z78" s="4">
        <v>28</v>
      </c>
      <c r="AA78" s="4">
        <v>36</v>
      </c>
      <c r="AB78" s="4">
        <v>1</v>
      </c>
      <c r="AC78" s="4">
        <v>1</v>
      </c>
      <c r="AD78" s="4">
        <v>4</v>
      </c>
      <c r="AE78" s="4">
        <v>4</v>
      </c>
      <c r="AF78" s="4">
        <v>2</v>
      </c>
      <c r="AG78" s="4">
        <v>2</v>
      </c>
      <c r="AH78" s="4">
        <v>0</v>
      </c>
      <c r="AI78" s="4">
        <v>0</v>
      </c>
      <c r="AJ78" s="4">
        <v>3</v>
      </c>
      <c r="AK78" s="4">
        <v>3</v>
      </c>
      <c r="AL78" s="4">
        <v>0</v>
      </c>
      <c r="AM78" s="4">
        <v>0</v>
      </c>
      <c r="AN78" s="4">
        <v>0</v>
      </c>
      <c r="AO78" s="4">
        <v>0</v>
      </c>
      <c r="AP78" s="3" t="s">
        <v>87</v>
      </c>
      <c r="AQ78" s="3" t="s">
        <v>58</v>
      </c>
      <c r="AR78" s="6" t="str">
        <f>HYPERLINK("http://catalog.hathitrust.org/Record/001201310","HathiTrust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HYPERLINK("https://creighton-primo.hosted.exlibrisgroup.com/primo-explore/search?tab=default_tab&amp;search_scope=EVERYTHING&amp;vid=01CRU&amp;lang=en_US&amp;offset=0&amp;query=any,contains,991000317899702656","Catalog Record")</f>
        <v>Catalog Record</v>
      </c>
      <c r="AT78" s="6" t="str">
        <f>HYPERLINK("http://www.worldcat.org/oclc/10126501","WorldCat Record")</f>
        <v>WorldCat Record</v>
      </c>
      <c r="AU78" s="3" t="s">
        <v>1119</v>
      </c>
      <c r="AV78" s="3" t="s">
        <v>1120</v>
      </c>
      <c r="AW78" s="3" t="s">
        <v>1121</v>
      </c>
      <c r="AX78" s="3" t="s">
        <v>1121</v>
      </c>
      <c r="AY78" s="3" t="s">
        <v>1122</v>
      </c>
      <c r="AZ78" s="3" t="s">
        <v>73</v>
      </c>
      <c r="BC78" s="3" t="s">
        <v>1123</v>
      </c>
      <c r="BD78" s="3" t="s">
        <v>1124</v>
      </c>
    </row>
    <row r="79" spans="1:56" ht="47.25" customHeight="1" x14ac:dyDescent="0.25">
      <c r="A79" s="7" t="s">
        <v>58</v>
      </c>
      <c r="B79" s="2" t="s">
        <v>1125</v>
      </c>
      <c r="C79" s="2" t="s">
        <v>1126</v>
      </c>
      <c r="D79" s="2" t="s">
        <v>1127</v>
      </c>
      <c r="F79" s="3" t="s">
        <v>58</v>
      </c>
      <c r="G79" s="3" t="s">
        <v>59</v>
      </c>
      <c r="H79" s="3" t="s">
        <v>58</v>
      </c>
      <c r="I79" s="3" t="s">
        <v>58</v>
      </c>
      <c r="J79" s="3" t="s">
        <v>60</v>
      </c>
      <c r="K79" s="2" t="s">
        <v>1128</v>
      </c>
      <c r="L79" s="2" t="s">
        <v>1129</v>
      </c>
      <c r="M79" s="3" t="s">
        <v>971</v>
      </c>
      <c r="O79" s="3" t="s">
        <v>63</v>
      </c>
      <c r="P79" s="3" t="s">
        <v>101</v>
      </c>
      <c r="R79" s="3" t="s">
        <v>855</v>
      </c>
      <c r="S79" s="4">
        <v>5</v>
      </c>
      <c r="T79" s="4">
        <v>5</v>
      </c>
      <c r="U79" s="5" t="s">
        <v>1130</v>
      </c>
      <c r="V79" s="5" t="s">
        <v>1130</v>
      </c>
      <c r="W79" s="5" t="s">
        <v>1131</v>
      </c>
      <c r="X79" s="5" t="s">
        <v>1131</v>
      </c>
      <c r="Y79" s="4">
        <v>66</v>
      </c>
      <c r="Z79" s="4">
        <v>50</v>
      </c>
      <c r="AA79" s="4">
        <v>70</v>
      </c>
      <c r="AB79" s="4">
        <v>1</v>
      </c>
      <c r="AC79" s="4">
        <v>1</v>
      </c>
      <c r="AD79" s="4">
        <v>2</v>
      </c>
      <c r="AE79" s="4">
        <v>2</v>
      </c>
      <c r="AF79" s="4">
        <v>1</v>
      </c>
      <c r="AG79" s="4">
        <v>1</v>
      </c>
      <c r="AH79" s="4">
        <v>0</v>
      </c>
      <c r="AI79" s="4">
        <v>0</v>
      </c>
      <c r="AJ79" s="4">
        <v>1</v>
      </c>
      <c r="AK79" s="4">
        <v>1</v>
      </c>
      <c r="AL79" s="4">
        <v>0</v>
      </c>
      <c r="AM79" s="4">
        <v>0</v>
      </c>
      <c r="AN79" s="4">
        <v>0</v>
      </c>
      <c r="AO79" s="4">
        <v>0</v>
      </c>
      <c r="AP79" s="3" t="s">
        <v>58</v>
      </c>
      <c r="AQ79" s="3" t="s">
        <v>58</v>
      </c>
      <c r="AS79" s="6" t="str">
        <f>HYPERLINK("https://creighton-primo.hosted.exlibrisgroup.com/primo-explore/search?tab=default_tab&amp;search_scope=EVERYTHING&amp;vid=01CRU&amp;lang=en_US&amp;offset=0&amp;query=any,contains,991003998839702656","Catalog Record")</f>
        <v>Catalog Record</v>
      </c>
      <c r="AT79" s="6" t="str">
        <f>HYPERLINK("http://www.worldcat.org/oclc/2069482","WorldCat Record")</f>
        <v>WorldCat Record</v>
      </c>
      <c r="AU79" s="3" t="s">
        <v>1132</v>
      </c>
      <c r="AV79" s="3" t="s">
        <v>1133</v>
      </c>
      <c r="AW79" s="3" t="s">
        <v>1134</v>
      </c>
      <c r="AX79" s="3" t="s">
        <v>1134</v>
      </c>
      <c r="AY79" s="3" t="s">
        <v>1135</v>
      </c>
      <c r="AZ79" s="3" t="s">
        <v>73</v>
      </c>
      <c r="BC79" s="3" t="s">
        <v>1136</v>
      </c>
      <c r="BD79" s="3" t="s">
        <v>1137</v>
      </c>
    </row>
    <row r="80" spans="1:56" ht="47.25" customHeight="1" x14ac:dyDescent="0.25">
      <c r="A80" s="7" t="s">
        <v>58</v>
      </c>
      <c r="B80" s="2" t="s">
        <v>1138</v>
      </c>
      <c r="C80" s="2" t="s">
        <v>1139</v>
      </c>
      <c r="D80" s="2" t="s">
        <v>1140</v>
      </c>
      <c r="F80" s="3" t="s">
        <v>58</v>
      </c>
      <c r="G80" s="3" t="s">
        <v>59</v>
      </c>
      <c r="H80" s="3" t="s">
        <v>58</v>
      </c>
      <c r="I80" s="3" t="s">
        <v>58</v>
      </c>
      <c r="J80" s="3" t="s">
        <v>60</v>
      </c>
      <c r="K80" s="2" t="s">
        <v>1141</v>
      </c>
      <c r="L80" s="2" t="s">
        <v>1142</v>
      </c>
      <c r="M80" s="3" t="s">
        <v>811</v>
      </c>
      <c r="O80" s="3" t="s">
        <v>63</v>
      </c>
      <c r="P80" s="3" t="s">
        <v>64</v>
      </c>
      <c r="R80" s="3" t="s">
        <v>855</v>
      </c>
      <c r="S80" s="4">
        <v>14</v>
      </c>
      <c r="T80" s="4">
        <v>14</v>
      </c>
      <c r="U80" s="5" t="s">
        <v>1143</v>
      </c>
      <c r="V80" s="5" t="s">
        <v>1143</v>
      </c>
      <c r="W80" s="5" t="s">
        <v>86</v>
      </c>
      <c r="X80" s="5" t="s">
        <v>86</v>
      </c>
      <c r="Y80" s="4">
        <v>426</v>
      </c>
      <c r="Z80" s="4">
        <v>294</v>
      </c>
      <c r="AA80" s="4">
        <v>555</v>
      </c>
      <c r="AB80" s="4">
        <v>3</v>
      </c>
      <c r="AC80" s="4">
        <v>5</v>
      </c>
      <c r="AD80" s="4">
        <v>19</v>
      </c>
      <c r="AE80" s="4">
        <v>28</v>
      </c>
      <c r="AF80" s="4">
        <v>6</v>
      </c>
      <c r="AG80" s="4">
        <v>10</v>
      </c>
      <c r="AH80" s="4">
        <v>5</v>
      </c>
      <c r="AI80" s="4">
        <v>6</v>
      </c>
      <c r="AJ80" s="4">
        <v>11</v>
      </c>
      <c r="AK80" s="4">
        <v>14</v>
      </c>
      <c r="AL80" s="4">
        <v>2</v>
      </c>
      <c r="AM80" s="4">
        <v>4</v>
      </c>
      <c r="AN80" s="4">
        <v>0</v>
      </c>
      <c r="AO80" s="4">
        <v>0</v>
      </c>
      <c r="AP80" s="3" t="s">
        <v>58</v>
      </c>
      <c r="AQ80" s="3" t="s">
        <v>58</v>
      </c>
      <c r="AS80" s="6" t="str">
        <f>HYPERLINK("https://creighton-primo.hosted.exlibrisgroup.com/primo-explore/search?tab=default_tab&amp;search_scope=EVERYTHING&amp;vid=01CRU&amp;lang=en_US&amp;offset=0&amp;query=any,contains,991000372799702656","Catalog Record")</f>
        <v>Catalog Record</v>
      </c>
      <c r="AT80" s="6" t="str">
        <f>HYPERLINK("http://www.worldcat.org/oclc/12586462","WorldCat Record")</f>
        <v>WorldCat Record</v>
      </c>
      <c r="AU80" s="3" t="s">
        <v>1144</v>
      </c>
      <c r="AV80" s="3" t="s">
        <v>1145</v>
      </c>
      <c r="AW80" s="3" t="s">
        <v>1146</v>
      </c>
      <c r="AX80" s="3" t="s">
        <v>1146</v>
      </c>
      <c r="AY80" s="3" t="s">
        <v>1147</v>
      </c>
      <c r="AZ80" s="3" t="s">
        <v>73</v>
      </c>
      <c r="BB80" s="3" t="s">
        <v>1148</v>
      </c>
      <c r="BC80" s="3" t="s">
        <v>1149</v>
      </c>
      <c r="BD80" s="3" t="s">
        <v>1150</v>
      </c>
    </row>
    <row r="81" spans="1:56" ht="47.25" customHeight="1" x14ac:dyDescent="0.25">
      <c r="A81" s="7" t="s">
        <v>58</v>
      </c>
      <c r="B81" s="2" t="s">
        <v>1151</v>
      </c>
      <c r="C81" s="2" t="s">
        <v>1152</v>
      </c>
      <c r="D81" s="2" t="s">
        <v>1153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60</v>
      </c>
      <c r="K81" s="2" t="s">
        <v>1154</v>
      </c>
      <c r="L81" s="2" t="s">
        <v>1155</v>
      </c>
      <c r="M81" s="3" t="s">
        <v>1156</v>
      </c>
      <c r="O81" s="3" t="s">
        <v>1033</v>
      </c>
      <c r="P81" s="3" t="s">
        <v>148</v>
      </c>
      <c r="R81" s="3" t="s">
        <v>855</v>
      </c>
      <c r="S81" s="4">
        <v>4</v>
      </c>
      <c r="T81" s="4">
        <v>4</v>
      </c>
      <c r="U81" s="5" t="s">
        <v>1048</v>
      </c>
      <c r="V81" s="5" t="s">
        <v>1048</v>
      </c>
      <c r="W81" s="5" t="s">
        <v>1157</v>
      </c>
      <c r="X81" s="5" t="s">
        <v>1157</v>
      </c>
      <c r="Y81" s="4">
        <v>25</v>
      </c>
      <c r="Z81" s="4">
        <v>25</v>
      </c>
      <c r="AA81" s="4">
        <v>39</v>
      </c>
      <c r="AB81" s="4">
        <v>1</v>
      </c>
      <c r="AC81" s="4">
        <v>1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3" t="s">
        <v>87</v>
      </c>
      <c r="AQ81" s="3" t="s">
        <v>58</v>
      </c>
      <c r="AR81" s="6" t="str">
        <f>HYPERLINK("http://catalog.hathitrust.org/Record/006506773","HathiTrust Record")</f>
        <v>HathiTrust Record</v>
      </c>
      <c r="AS81" s="6" t="str">
        <f>HYPERLINK("https://creighton-primo.hosted.exlibrisgroup.com/primo-explore/search?tab=default_tab&amp;search_scope=EVERYTHING&amp;vid=01CRU&amp;lang=en_US&amp;offset=0&amp;query=any,contains,991002293119702656","Catalog Record")</f>
        <v>Catalog Record</v>
      </c>
      <c r="AT81" s="6" t="str">
        <f>HYPERLINK("http://www.worldcat.org/oclc/313876","WorldCat Record")</f>
        <v>WorldCat Record</v>
      </c>
      <c r="AU81" s="3" t="s">
        <v>1158</v>
      </c>
      <c r="AV81" s="3" t="s">
        <v>1159</v>
      </c>
      <c r="AW81" s="3" t="s">
        <v>1160</v>
      </c>
      <c r="AX81" s="3" t="s">
        <v>1160</v>
      </c>
      <c r="AY81" s="3" t="s">
        <v>1161</v>
      </c>
      <c r="AZ81" s="3" t="s">
        <v>73</v>
      </c>
      <c r="BC81" s="3" t="s">
        <v>1162</v>
      </c>
      <c r="BD81" s="3" t="s">
        <v>1163</v>
      </c>
    </row>
    <row r="82" spans="1:56" ht="47.25" customHeight="1" x14ac:dyDescent="0.25">
      <c r="A82" s="7" t="s">
        <v>58</v>
      </c>
      <c r="B82" s="2" t="s">
        <v>1164</v>
      </c>
      <c r="C82" s="2" t="s">
        <v>1165</v>
      </c>
      <c r="D82" s="2" t="s">
        <v>1166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60</v>
      </c>
      <c r="K82" s="2" t="s">
        <v>1167</v>
      </c>
      <c r="L82" s="2" t="s">
        <v>1168</v>
      </c>
      <c r="M82" s="3" t="s">
        <v>895</v>
      </c>
      <c r="O82" s="3" t="s">
        <v>1033</v>
      </c>
      <c r="P82" s="3" t="s">
        <v>101</v>
      </c>
      <c r="Q82" s="2" t="s">
        <v>1169</v>
      </c>
      <c r="R82" s="3" t="s">
        <v>855</v>
      </c>
      <c r="S82" s="4">
        <v>0</v>
      </c>
      <c r="T82" s="4">
        <v>0</v>
      </c>
      <c r="U82" s="5" t="s">
        <v>1170</v>
      </c>
      <c r="V82" s="5" t="s">
        <v>1170</v>
      </c>
      <c r="W82" s="5" t="s">
        <v>1171</v>
      </c>
      <c r="X82" s="5" t="s">
        <v>1171</v>
      </c>
      <c r="Y82" s="4">
        <v>20</v>
      </c>
      <c r="Z82" s="4">
        <v>16</v>
      </c>
      <c r="AA82" s="4">
        <v>16</v>
      </c>
      <c r="AB82" s="4">
        <v>2</v>
      </c>
      <c r="AC82" s="4">
        <v>2</v>
      </c>
      <c r="AD82" s="4">
        <v>1</v>
      </c>
      <c r="AE82" s="4">
        <v>1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1</v>
      </c>
      <c r="AM82" s="4">
        <v>1</v>
      </c>
      <c r="AN82" s="4">
        <v>0</v>
      </c>
      <c r="AO82" s="4">
        <v>0</v>
      </c>
      <c r="AP82" s="3" t="s">
        <v>58</v>
      </c>
      <c r="AQ82" s="3" t="s">
        <v>58</v>
      </c>
      <c r="AS82" s="6" t="str">
        <f>HYPERLINK("https://creighton-primo.hosted.exlibrisgroup.com/primo-explore/search?tab=default_tab&amp;search_scope=EVERYTHING&amp;vid=01CRU&amp;lang=en_US&amp;offset=0&amp;query=any,contains,991000057339702656","Catalog Record")</f>
        <v>Catalog Record</v>
      </c>
      <c r="AT82" s="6" t="str">
        <f>HYPERLINK("http://www.worldcat.org/oclc/23674","WorldCat Record")</f>
        <v>WorldCat Record</v>
      </c>
      <c r="AU82" s="3" t="s">
        <v>1172</v>
      </c>
      <c r="AV82" s="3" t="s">
        <v>1173</v>
      </c>
      <c r="AW82" s="3" t="s">
        <v>1174</v>
      </c>
      <c r="AX82" s="3" t="s">
        <v>1174</v>
      </c>
      <c r="AY82" s="3" t="s">
        <v>1175</v>
      </c>
      <c r="AZ82" s="3" t="s">
        <v>73</v>
      </c>
      <c r="BC82" s="3" t="s">
        <v>1176</v>
      </c>
      <c r="BD82" s="3" t="s">
        <v>1177</v>
      </c>
    </row>
    <row r="83" spans="1:56" ht="47.25" customHeight="1" x14ac:dyDescent="0.25">
      <c r="A83" s="7" t="s">
        <v>58</v>
      </c>
      <c r="B83" s="2" t="s">
        <v>1178</v>
      </c>
      <c r="C83" s="2" t="s">
        <v>1179</v>
      </c>
      <c r="D83" s="2" t="s">
        <v>1180</v>
      </c>
      <c r="F83" s="3" t="s">
        <v>58</v>
      </c>
      <c r="G83" s="3" t="s">
        <v>59</v>
      </c>
      <c r="H83" s="3" t="s">
        <v>58</v>
      </c>
      <c r="I83" s="3" t="s">
        <v>58</v>
      </c>
      <c r="J83" s="3" t="s">
        <v>60</v>
      </c>
      <c r="K83" s="2" t="s">
        <v>1181</v>
      </c>
      <c r="L83" s="2" t="s">
        <v>1182</v>
      </c>
      <c r="M83" s="3" t="s">
        <v>1116</v>
      </c>
      <c r="O83" s="3" t="s">
        <v>1033</v>
      </c>
      <c r="P83" s="3" t="s">
        <v>101</v>
      </c>
      <c r="R83" s="3" t="s">
        <v>855</v>
      </c>
      <c r="S83" s="4">
        <v>2</v>
      </c>
      <c r="T83" s="4">
        <v>2</v>
      </c>
      <c r="U83" s="5" t="s">
        <v>1183</v>
      </c>
      <c r="V83" s="5" t="s">
        <v>1183</v>
      </c>
      <c r="W83" s="5" t="s">
        <v>1184</v>
      </c>
      <c r="X83" s="5" t="s">
        <v>1184</v>
      </c>
      <c r="Y83" s="4">
        <v>39</v>
      </c>
      <c r="Z83" s="4">
        <v>39</v>
      </c>
      <c r="AA83" s="4">
        <v>99</v>
      </c>
      <c r="AB83" s="4">
        <v>1</v>
      </c>
      <c r="AC83" s="4">
        <v>4</v>
      </c>
      <c r="AD83" s="4">
        <v>2</v>
      </c>
      <c r="AE83" s="4">
        <v>8</v>
      </c>
      <c r="AF83" s="4">
        <v>1</v>
      </c>
      <c r="AG83" s="4">
        <v>2</v>
      </c>
      <c r="AH83" s="4">
        <v>0</v>
      </c>
      <c r="AI83" s="4">
        <v>1</v>
      </c>
      <c r="AJ83" s="4">
        <v>1</v>
      </c>
      <c r="AK83" s="4">
        <v>4</v>
      </c>
      <c r="AL83" s="4">
        <v>0</v>
      </c>
      <c r="AM83" s="4">
        <v>3</v>
      </c>
      <c r="AN83" s="4">
        <v>0</v>
      </c>
      <c r="AO83" s="4">
        <v>0</v>
      </c>
      <c r="AP83" s="3" t="s">
        <v>58</v>
      </c>
      <c r="AQ83" s="3" t="s">
        <v>58</v>
      </c>
      <c r="AS83" s="6" t="str">
        <f>HYPERLINK("https://creighton-primo.hosted.exlibrisgroup.com/primo-explore/search?tab=default_tab&amp;search_scope=EVERYTHING&amp;vid=01CRU&amp;lang=en_US&amp;offset=0&amp;query=any,contains,991004853799702656","Catalog Record")</f>
        <v>Catalog Record</v>
      </c>
      <c r="AT83" s="6" t="str">
        <f>HYPERLINK("http://www.worldcat.org/oclc/5654724","WorldCat Record")</f>
        <v>WorldCat Record</v>
      </c>
      <c r="AU83" s="3" t="s">
        <v>1185</v>
      </c>
      <c r="AV83" s="3" t="s">
        <v>1186</v>
      </c>
      <c r="AW83" s="3" t="s">
        <v>1187</v>
      </c>
      <c r="AX83" s="3" t="s">
        <v>1187</v>
      </c>
      <c r="AY83" s="3" t="s">
        <v>1188</v>
      </c>
      <c r="AZ83" s="3" t="s">
        <v>73</v>
      </c>
      <c r="BC83" s="3" t="s">
        <v>1189</v>
      </c>
      <c r="BD83" s="3" t="s">
        <v>1190</v>
      </c>
    </row>
    <row r="84" spans="1:56" ht="47.25" customHeight="1" x14ac:dyDescent="0.25">
      <c r="A84" s="7" t="s">
        <v>58</v>
      </c>
      <c r="B84" s="2" t="s">
        <v>1191</v>
      </c>
      <c r="C84" s="2" t="s">
        <v>1192</v>
      </c>
      <c r="D84" s="2" t="s">
        <v>1193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60</v>
      </c>
      <c r="K84" s="2" t="s">
        <v>1194</v>
      </c>
      <c r="L84" s="2" t="s">
        <v>1195</v>
      </c>
      <c r="M84" s="3" t="s">
        <v>1196</v>
      </c>
      <c r="O84" s="3" t="s">
        <v>1033</v>
      </c>
      <c r="P84" s="3" t="s">
        <v>83</v>
      </c>
      <c r="R84" s="3" t="s">
        <v>855</v>
      </c>
      <c r="S84" s="4">
        <v>5</v>
      </c>
      <c r="T84" s="4">
        <v>5</v>
      </c>
      <c r="U84" s="5" t="s">
        <v>1197</v>
      </c>
      <c r="V84" s="5" t="s">
        <v>1197</v>
      </c>
      <c r="W84" s="5" t="s">
        <v>240</v>
      </c>
      <c r="X84" s="5" t="s">
        <v>240</v>
      </c>
      <c r="Y84" s="4">
        <v>112</v>
      </c>
      <c r="Z84" s="4">
        <v>84</v>
      </c>
      <c r="AA84" s="4">
        <v>86</v>
      </c>
      <c r="AB84" s="4">
        <v>1</v>
      </c>
      <c r="AC84" s="4">
        <v>1</v>
      </c>
      <c r="AD84" s="4">
        <v>5</v>
      </c>
      <c r="AE84" s="4">
        <v>5</v>
      </c>
      <c r="AF84" s="4">
        <v>1</v>
      </c>
      <c r="AG84" s="4">
        <v>1</v>
      </c>
      <c r="AH84" s="4">
        <v>2</v>
      </c>
      <c r="AI84" s="4">
        <v>2</v>
      </c>
      <c r="AJ84" s="4">
        <v>5</v>
      </c>
      <c r="AK84" s="4">
        <v>5</v>
      </c>
      <c r="AL84" s="4">
        <v>0</v>
      </c>
      <c r="AM84" s="4">
        <v>0</v>
      </c>
      <c r="AN84" s="4">
        <v>0</v>
      </c>
      <c r="AO84" s="4">
        <v>0</v>
      </c>
      <c r="AP84" s="3" t="s">
        <v>58</v>
      </c>
      <c r="AQ84" s="3" t="s">
        <v>87</v>
      </c>
      <c r="AR84" s="6" t="str">
        <f>HYPERLINK("http://catalog.hathitrust.org/Record/000773798","HathiTrust Record")</f>
        <v>HathiTrust Record</v>
      </c>
      <c r="AS84" s="6" t="str">
        <f>HYPERLINK("https://creighton-primo.hosted.exlibrisgroup.com/primo-explore/search?tab=default_tab&amp;search_scope=EVERYTHING&amp;vid=01CRU&amp;lang=en_US&amp;offset=0&amp;query=any,contains,991005224319702656","Catalog Record")</f>
        <v>Catalog Record</v>
      </c>
      <c r="AT84" s="6" t="str">
        <f>HYPERLINK("http://www.worldcat.org/oclc/8273869","WorldCat Record")</f>
        <v>WorldCat Record</v>
      </c>
      <c r="AU84" s="3" t="s">
        <v>1198</v>
      </c>
      <c r="AV84" s="3" t="s">
        <v>1199</v>
      </c>
      <c r="AW84" s="3" t="s">
        <v>1200</v>
      </c>
      <c r="AX84" s="3" t="s">
        <v>1200</v>
      </c>
      <c r="AY84" s="3" t="s">
        <v>1201</v>
      </c>
      <c r="AZ84" s="3" t="s">
        <v>73</v>
      </c>
      <c r="BB84" s="3" t="s">
        <v>1202</v>
      </c>
      <c r="BC84" s="3" t="s">
        <v>1203</v>
      </c>
      <c r="BD84" s="3" t="s">
        <v>1204</v>
      </c>
    </row>
    <row r="85" spans="1:56" ht="47.25" customHeight="1" x14ac:dyDescent="0.25">
      <c r="A85" s="7" t="s">
        <v>58</v>
      </c>
      <c r="B85" s="2" t="s">
        <v>1205</v>
      </c>
      <c r="C85" s="2" t="s">
        <v>1206</v>
      </c>
      <c r="D85" s="2" t="s">
        <v>1207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60</v>
      </c>
      <c r="K85" s="2" t="s">
        <v>1208</v>
      </c>
      <c r="L85" s="2" t="s">
        <v>1209</v>
      </c>
      <c r="M85" s="3" t="s">
        <v>1210</v>
      </c>
      <c r="O85" s="3" t="s">
        <v>1033</v>
      </c>
      <c r="P85" s="3" t="s">
        <v>1034</v>
      </c>
      <c r="R85" s="3" t="s">
        <v>855</v>
      </c>
      <c r="S85" s="4">
        <v>1</v>
      </c>
      <c r="T85" s="4">
        <v>1</v>
      </c>
      <c r="U85" s="5" t="s">
        <v>1211</v>
      </c>
      <c r="V85" s="5" t="s">
        <v>1211</v>
      </c>
      <c r="W85" s="5" t="s">
        <v>1212</v>
      </c>
      <c r="X85" s="5" t="s">
        <v>1212</v>
      </c>
      <c r="Y85" s="4">
        <v>21</v>
      </c>
      <c r="Z85" s="4">
        <v>6</v>
      </c>
      <c r="AA85" s="4">
        <v>135</v>
      </c>
      <c r="AB85" s="4">
        <v>1</v>
      </c>
      <c r="AC85" s="4">
        <v>3</v>
      </c>
      <c r="AD85" s="4">
        <v>0</v>
      </c>
      <c r="AE85" s="4">
        <v>8</v>
      </c>
      <c r="AF85" s="4">
        <v>0</v>
      </c>
      <c r="AG85" s="4">
        <v>3</v>
      </c>
      <c r="AH85" s="4">
        <v>0</v>
      </c>
      <c r="AI85" s="4">
        <v>2</v>
      </c>
      <c r="AJ85" s="4">
        <v>0</v>
      </c>
      <c r="AK85" s="4">
        <v>4</v>
      </c>
      <c r="AL85" s="4">
        <v>0</v>
      </c>
      <c r="AM85" s="4">
        <v>2</v>
      </c>
      <c r="AN85" s="4">
        <v>0</v>
      </c>
      <c r="AO85" s="4">
        <v>0</v>
      </c>
      <c r="AP85" s="3" t="s">
        <v>58</v>
      </c>
      <c r="AQ85" s="3" t="s">
        <v>58</v>
      </c>
      <c r="AS85" s="6" t="str">
        <f>HYPERLINK("https://creighton-primo.hosted.exlibrisgroup.com/primo-explore/search?tab=default_tab&amp;search_scope=EVERYTHING&amp;vid=01CRU&amp;lang=en_US&amp;offset=0&amp;query=any,contains,991003001819702656","Catalog Record")</f>
        <v>Catalog Record</v>
      </c>
      <c r="AT85" s="6" t="str">
        <f>HYPERLINK("http://www.worldcat.org/oclc/40670383","WorldCat Record")</f>
        <v>WorldCat Record</v>
      </c>
      <c r="AU85" s="3" t="s">
        <v>1213</v>
      </c>
      <c r="AV85" s="3" t="s">
        <v>1214</v>
      </c>
      <c r="AW85" s="3" t="s">
        <v>1215</v>
      </c>
      <c r="AX85" s="3" t="s">
        <v>1215</v>
      </c>
      <c r="AY85" s="3" t="s">
        <v>1216</v>
      </c>
      <c r="AZ85" s="3" t="s">
        <v>73</v>
      </c>
      <c r="BB85" s="3" t="s">
        <v>1217</v>
      </c>
      <c r="BC85" s="3" t="s">
        <v>1218</v>
      </c>
      <c r="BD85" s="3" t="s">
        <v>1219</v>
      </c>
    </row>
    <row r="86" spans="1:56" ht="47.25" customHeight="1" x14ac:dyDescent="0.25">
      <c r="A86" s="7" t="s">
        <v>58</v>
      </c>
      <c r="B86" s="2" t="s">
        <v>1220</v>
      </c>
      <c r="C86" s="2" t="s">
        <v>1221</v>
      </c>
      <c r="D86" s="2" t="s">
        <v>1222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K86" s="2" t="s">
        <v>1223</v>
      </c>
      <c r="L86" s="2" t="s">
        <v>1224</v>
      </c>
      <c r="M86" s="3" t="s">
        <v>650</v>
      </c>
      <c r="N86" s="2" t="s">
        <v>1225</v>
      </c>
      <c r="O86" s="3" t="s">
        <v>63</v>
      </c>
      <c r="P86" s="3" t="s">
        <v>64</v>
      </c>
      <c r="R86" s="3" t="s">
        <v>855</v>
      </c>
      <c r="S86" s="4">
        <v>5</v>
      </c>
      <c r="T86" s="4">
        <v>5</v>
      </c>
      <c r="U86" s="5" t="s">
        <v>1226</v>
      </c>
      <c r="V86" s="5" t="s">
        <v>1226</v>
      </c>
      <c r="W86" s="5" t="s">
        <v>1227</v>
      </c>
      <c r="X86" s="5" t="s">
        <v>1227</v>
      </c>
      <c r="Y86" s="4">
        <v>44</v>
      </c>
      <c r="Z86" s="4">
        <v>28</v>
      </c>
      <c r="AA86" s="4">
        <v>49</v>
      </c>
      <c r="AB86" s="4">
        <v>1</v>
      </c>
      <c r="AC86" s="4">
        <v>1</v>
      </c>
      <c r="AD86" s="4">
        <v>2</v>
      </c>
      <c r="AE86" s="4">
        <v>2</v>
      </c>
      <c r="AF86" s="4">
        <v>0</v>
      </c>
      <c r="AG86" s="4">
        <v>0</v>
      </c>
      <c r="AH86" s="4">
        <v>1</v>
      </c>
      <c r="AI86" s="4">
        <v>1</v>
      </c>
      <c r="AJ86" s="4">
        <v>2</v>
      </c>
      <c r="AK86" s="4">
        <v>2</v>
      </c>
      <c r="AL86" s="4">
        <v>0</v>
      </c>
      <c r="AM86" s="4">
        <v>0</v>
      </c>
      <c r="AN86" s="4">
        <v>0</v>
      </c>
      <c r="AO86" s="4">
        <v>0</v>
      </c>
      <c r="AP86" s="3" t="s">
        <v>58</v>
      </c>
      <c r="AQ86" s="3" t="s">
        <v>58</v>
      </c>
      <c r="AS86" s="6" t="str">
        <f>HYPERLINK("https://creighton-primo.hosted.exlibrisgroup.com/primo-explore/search?tab=default_tab&amp;search_scope=EVERYTHING&amp;vid=01CRU&amp;lang=en_US&amp;offset=0&amp;query=any,contains,991003023149702656","Catalog Record")</f>
        <v>Catalog Record</v>
      </c>
      <c r="AT86" s="6" t="str">
        <f>HYPERLINK("http://www.worldcat.org/oclc/41528453","WorldCat Record")</f>
        <v>WorldCat Record</v>
      </c>
      <c r="AU86" s="3" t="s">
        <v>1228</v>
      </c>
      <c r="AV86" s="3" t="s">
        <v>1229</v>
      </c>
      <c r="AW86" s="3" t="s">
        <v>1230</v>
      </c>
      <c r="AX86" s="3" t="s">
        <v>1230</v>
      </c>
      <c r="AY86" s="3" t="s">
        <v>1231</v>
      </c>
      <c r="AZ86" s="3" t="s">
        <v>73</v>
      </c>
      <c r="BB86" s="3" t="s">
        <v>1232</v>
      </c>
      <c r="BC86" s="3" t="s">
        <v>1233</v>
      </c>
      <c r="BD86" s="3" t="s">
        <v>1234</v>
      </c>
    </row>
    <row r="87" spans="1:56" ht="47.25" customHeight="1" x14ac:dyDescent="0.25">
      <c r="A87" s="7" t="s">
        <v>58</v>
      </c>
      <c r="B87" s="2" t="s">
        <v>1235</v>
      </c>
      <c r="C87" s="2" t="s">
        <v>1236</v>
      </c>
      <c r="D87" s="2" t="s">
        <v>1237</v>
      </c>
      <c r="F87" s="3" t="s">
        <v>58</v>
      </c>
      <c r="G87" s="3" t="s">
        <v>59</v>
      </c>
      <c r="H87" s="3" t="s">
        <v>58</v>
      </c>
      <c r="I87" s="3" t="s">
        <v>58</v>
      </c>
      <c r="J87" s="3" t="s">
        <v>60</v>
      </c>
      <c r="K87" s="2" t="s">
        <v>1238</v>
      </c>
      <c r="L87" s="2" t="s">
        <v>1239</v>
      </c>
      <c r="M87" s="3" t="s">
        <v>62</v>
      </c>
      <c r="O87" s="3" t="s">
        <v>1033</v>
      </c>
      <c r="P87" s="3" t="s">
        <v>740</v>
      </c>
      <c r="R87" s="3" t="s">
        <v>855</v>
      </c>
      <c r="S87" s="4">
        <v>9</v>
      </c>
      <c r="T87" s="4">
        <v>9</v>
      </c>
      <c r="U87" s="5" t="s">
        <v>1240</v>
      </c>
      <c r="V87" s="5" t="s">
        <v>1240</v>
      </c>
      <c r="W87" s="5" t="s">
        <v>1241</v>
      </c>
      <c r="X87" s="5" t="s">
        <v>1241</v>
      </c>
      <c r="Y87" s="4">
        <v>132</v>
      </c>
      <c r="Z87" s="4">
        <v>120</v>
      </c>
      <c r="AA87" s="4">
        <v>145</v>
      </c>
      <c r="AB87" s="4">
        <v>3</v>
      </c>
      <c r="AC87" s="4">
        <v>3</v>
      </c>
      <c r="AD87" s="4">
        <v>7</v>
      </c>
      <c r="AE87" s="4">
        <v>8</v>
      </c>
      <c r="AF87" s="4">
        <v>1</v>
      </c>
      <c r="AG87" s="4">
        <v>2</v>
      </c>
      <c r="AH87" s="4">
        <v>2</v>
      </c>
      <c r="AI87" s="4">
        <v>2</v>
      </c>
      <c r="AJ87" s="4">
        <v>4</v>
      </c>
      <c r="AK87" s="4">
        <v>4</v>
      </c>
      <c r="AL87" s="4">
        <v>2</v>
      </c>
      <c r="AM87" s="4">
        <v>2</v>
      </c>
      <c r="AN87" s="4">
        <v>0</v>
      </c>
      <c r="AO87" s="4">
        <v>0</v>
      </c>
      <c r="AP87" s="3" t="s">
        <v>58</v>
      </c>
      <c r="AQ87" s="3" t="s">
        <v>58</v>
      </c>
      <c r="AS87" s="6" t="str">
        <f>HYPERLINK("https://creighton-primo.hosted.exlibrisgroup.com/primo-explore/search?tab=default_tab&amp;search_scope=EVERYTHING&amp;vid=01CRU&amp;lang=en_US&amp;offset=0&amp;query=any,contains,991002034989702656","Catalog Record")</f>
        <v>Catalog Record</v>
      </c>
      <c r="AT87" s="6" t="str">
        <f>HYPERLINK("http://www.worldcat.org/oclc/25915496","WorldCat Record")</f>
        <v>WorldCat Record</v>
      </c>
      <c r="AU87" s="3" t="s">
        <v>1242</v>
      </c>
      <c r="AV87" s="3" t="s">
        <v>1243</v>
      </c>
      <c r="AW87" s="3" t="s">
        <v>1244</v>
      </c>
      <c r="AX87" s="3" t="s">
        <v>1244</v>
      </c>
      <c r="AY87" s="3" t="s">
        <v>1245</v>
      </c>
      <c r="AZ87" s="3" t="s">
        <v>73</v>
      </c>
      <c r="BB87" s="3" t="s">
        <v>1246</v>
      </c>
      <c r="BC87" s="3" t="s">
        <v>1247</v>
      </c>
      <c r="BD87" s="3" t="s">
        <v>1248</v>
      </c>
    </row>
    <row r="88" spans="1:56" ht="47.25" customHeight="1" x14ac:dyDescent="0.25">
      <c r="A88" s="7" t="s">
        <v>58</v>
      </c>
      <c r="B88" s="2" t="s">
        <v>1249</v>
      </c>
      <c r="C88" s="2" t="s">
        <v>1250</v>
      </c>
      <c r="D88" s="2" t="s">
        <v>1251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60</v>
      </c>
      <c r="K88" s="2" t="s">
        <v>1252</v>
      </c>
      <c r="L88" s="2" t="s">
        <v>1253</v>
      </c>
      <c r="M88" s="3" t="s">
        <v>352</v>
      </c>
      <c r="N88" s="2" t="s">
        <v>838</v>
      </c>
      <c r="O88" s="3" t="s">
        <v>63</v>
      </c>
      <c r="P88" s="3" t="s">
        <v>83</v>
      </c>
      <c r="R88" s="3" t="s">
        <v>855</v>
      </c>
      <c r="S88" s="4">
        <v>4</v>
      </c>
      <c r="T88" s="4">
        <v>4</v>
      </c>
      <c r="U88" s="5" t="s">
        <v>1254</v>
      </c>
      <c r="V88" s="5" t="s">
        <v>1254</v>
      </c>
      <c r="W88" s="5" t="s">
        <v>1255</v>
      </c>
      <c r="X88" s="5" t="s">
        <v>1255</v>
      </c>
      <c r="Y88" s="4">
        <v>151</v>
      </c>
      <c r="Z88" s="4">
        <v>132</v>
      </c>
      <c r="AA88" s="4">
        <v>132</v>
      </c>
      <c r="AB88" s="4">
        <v>2</v>
      </c>
      <c r="AC88" s="4">
        <v>2</v>
      </c>
      <c r="AD88" s="4">
        <v>2</v>
      </c>
      <c r="AE88" s="4">
        <v>2</v>
      </c>
      <c r="AF88" s="4">
        <v>1</v>
      </c>
      <c r="AG88" s="4">
        <v>1</v>
      </c>
      <c r="AH88" s="4">
        <v>1</v>
      </c>
      <c r="AI88" s="4">
        <v>1</v>
      </c>
      <c r="AJ88" s="4">
        <v>0</v>
      </c>
      <c r="AK88" s="4">
        <v>0</v>
      </c>
      <c r="AL88" s="4">
        <v>1</v>
      </c>
      <c r="AM88" s="4">
        <v>1</v>
      </c>
      <c r="AN88" s="4">
        <v>0</v>
      </c>
      <c r="AO88" s="4">
        <v>0</v>
      </c>
      <c r="AP88" s="3" t="s">
        <v>58</v>
      </c>
      <c r="AQ88" s="3" t="s">
        <v>58</v>
      </c>
      <c r="AS88" s="6" t="str">
        <f>HYPERLINK("https://creighton-primo.hosted.exlibrisgroup.com/primo-explore/search?tab=default_tab&amp;search_scope=EVERYTHING&amp;vid=01CRU&amp;lang=en_US&amp;offset=0&amp;query=any,contains,991005043729702656","Catalog Record")</f>
        <v>Catalog Record</v>
      </c>
      <c r="AT88" s="6" t="str">
        <f>HYPERLINK("http://www.worldcat.org/oclc/36565386","WorldCat Record")</f>
        <v>WorldCat Record</v>
      </c>
      <c r="AU88" s="3" t="s">
        <v>1256</v>
      </c>
      <c r="AV88" s="3" t="s">
        <v>1257</v>
      </c>
      <c r="AW88" s="3" t="s">
        <v>1258</v>
      </c>
      <c r="AX88" s="3" t="s">
        <v>1258</v>
      </c>
      <c r="AY88" s="3" t="s">
        <v>1259</v>
      </c>
      <c r="AZ88" s="3" t="s">
        <v>73</v>
      </c>
      <c r="BB88" s="3" t="s">
        <v>1260</v>
      </c>
      <c r="BC88" s="3" t="s">
        <v>1261</v>
      </c>
      <c r="BD88" s="3" t="s">
        <v>1262</v>
      </c>
    </row>
    <row r="89" spans="1:56" ht="47.25" customHeight="1" x14ac:dyDescent="0.25">
      <c r="A89" s="7" t="s">
        <v>58</v>
      </c>
      <c r="B89" s="2" t="s">
        <v>1263</v>
      </c>
      <c r="C89" s="2" t="s">
        <v>1264</v>
      </c>
      <c r="D89" s="2" t="s">
        <v>1265</v>
      </c>
      <c r="F89" s="3" t="s">
        <v>58</v>
      </c>
      <c r="G89" s="3" t="s">
        <v>59</v>
      </c>
      <c r="H89" s="3" t="s">
        <v>58</v>
      </c>
      <c r="I89" s="3" t="s">
        <v>58</v>
      </c>
      <c r="J89" s="3" t="s">
        <v>60</v>
      </c>
      <c r="K89" s="2" t="s">
        <v>1266</v>
      </c>
      <c r="L89" s="2" t="s">
        <v>1267</v>
      </c>
      <c r="M89" s="3" t="s">
        <v>1268</v>
      </c>
      <c r="O89" s="3" t="s">
        <v>63</v>
      </c>
      <c r="P89" s="3" t="s">
        <v>83</v>
      </c>
      <c r="Q89" s="2" t="s">
        <v>1269</v>
      </c>
      <c r="R89" s="3" t="s">
        <v>855</v>
      </c>
      <c r="S89" s="4">
        <v>3</v>
      </c>
      <c r="T89" s="4">
        <v>3</v>
      </c>
      <c r="U89" s="5" t="s">
        <v>1270</v>
      </c>
      <c r="V89" s="5" t="s">
        <v>1270</v>
      </c>
      <c r="W89" s="5" t="s">
        <v>1271</v>
      </c>
      <c r="X89" s="5" t="s">
        <v>1271</v>
      </c>
      <c r="Y89" s="4">
        <v>57</v>
      </c>
      <c r="Z89" s="4">
        <v>55</v>
      </c>
      <c r="AA89" s="4">
        <v>57</v>
      </c>
      <c r="AB89" s="4">
        <v>3</v>
      </c>
      <c r="AC89" s="4">
        <v>3</v>
      </c>
      <c r="AD89" s="4">
        <v>5</v>
      </c>
      <c r="AE89" s="4">
        <v>5</v>
      </c>
      <c r="AF89" s="4">
        <v>0</v>
      </c>
      <c r="AG89" s="4">
        <v>0</v>
      </c>
      <c r="AH89" s="4">
        <v>1</v>
      </c>
      <c r="AI89" s="4">
        <v>1</v>
      </c>
      <c r="AJ89" s="4">
        <v>2</v>
      </c>
      <c r="AK89" s="4">
        <v>2</v>
      </c>
      <c r="AL89" s="4">
        <v>2</v>
      </c>
      <c r="AM89" s="4">
        <v>2</v>
      </c>
      <c r="AN89" s="4">
        <v>0</v>
      </c>
      <c r="AO89" s="4">
        <v>0</v>
      </c>
      <c r="AP89" s="3" t="s">
        <v>58</v>
      </c>
      <c r="AQ89" s="3" t="s">
        <v>87</v>
      </c>
      <c r="AR89" s="6" t="str">
        <f>HYPERLINK("http://catalog.hathitrust.org/Record/001201324","HathiTrust Record")</f>
        <v>HathiTrust Record</v>
      </c>
      <c r="AS89" s="6" t="str">
        <f>HYPERLINK("https://creighton-primo.hosted.exlibrisgroup.com/primo-explore/search?tab=default_tab&amp;search_scope=EVERYTHING&amp;vid=01CRU&amp;lang=en_US&amp;offset=0&amp;query=any,contains,991004827189702656","Catalog Record")</f>
        <v>Catalog Record</v>
      </c>
      <c r="AT89" s="6" t="str">
        <f>HYPERLINK("http://www.worldcat.org/oclc/5363464","WorldCat Record")</f>
        <v>WorldCat Record</v>
      </c>
      <c r="AU89" s="3" t="s">
        <v>1272</v>
      </c>
      <c r="AV89" s="3" t="s">
        <v>1273</v>
      </c>
      <c r="AW89" s="3" t="s">
        <v>1274</v>
      </c>
      <c r="AX89" s="3" t="s">
        <v>1274</v>
      </c>
      <c r="AY89" s="3" t="s">
        <v>1275</v>
      </c>
      <c r="AZ89" s="3" t="s">
        <v>73</v>
      </c>
      <c r="BC89" s="3" t="s">
        <v>1276</v>
      </c>
      <c r="BD89" s="3" t="s">
        <v>1277</v>
      </c>
    </row>
    <row r="90" spans="1:56" ht="47.25" customHeight="1" x14ac:dyDescent="0.25">
      <c r="A90" s="7" t="s">
        <v>58</v>
      </c>
      <c r="B90" s="2" t="s">
        <v>1278</v>
      </c>
      <c r="C90" s="2" t="s">
        <v>1279</v>
      </c>
      <c r="D90" s="2" t="s">
        <v>1280</v>
      </c>
      <c r="F90" s="3" t="s">
        <v>58</v>
      </c>
      <c r="G90" s="3" t="s">
        <v>59</v>
      </c>
      <c r="H90" s="3" t="s">
        <v>58</v>
      </c>
      <c r="I90" s="3" t="s">
        <v>58</v>
      </c>
      <c r="J90" s="3" t="s">
        <v>60</v>
      </c>
      <c r="K90" s="2" t="s">
        <v>1281</v>
      </c>
      <c r="L90" s="2" t="s">
        <v>1282</v>
      </c>
      <c r="M90" s="3" t="s">
        <v>1283</v>
      </c>
      <c r="O90" s="3" t="s">
        <v>1033</v>
      </c>
      <c r="P90" s="3" t="s">
        <v>1034</v>
      </c>
      <c r="Q90" s="2" t="s">
        <v>1284</v>
      </c>
      <c r="R90" s="3" t="s">
        <v>855</v>
      </c>
      <c r="S90" s="4">
        <v>1</v>
      </c>
      <c r="T90" s="4">
        <v>1</v>
      </c>
      <c r="U90" s="5" t="s">
        <v>1285</v>
      </c>
      <c r="V90" s="5" t="s">
        <v>1285</v>
      </c>
      <c r="W90" s="5" t="s">
        <v>1286</v>
      </c>
      <c r="X90" s="5" t="s">
        <v>1286</v>
      </c>
      <c r="Y90" s="4">
        <v>138</v>
      </c>
      <c r="Z90" s="4">
        <v>58</v>
      </c>
      <c r="AA90" s="4">
        <v>70</v>
      </c>
      <c r="AB90" s="4">
        <v>2</v>
      </c>
      <c r="AC90" s="4">
        <v>2</v>
      </c>
      <c r="AD90" s="4">
        <v>4</v>
      </c>
      <c r="AE90" s="4">
        <v>4</v>
      </c>
      <c r="AF90" s="4">
        <v>0</v>
      </c>
      <c r="AG90" s="4">
        <v>0</v>
      </c>
      <c r="AH90" s="4">
        <v>1</v>
      </c>
      <c r="AI90" s="4">
        <v>1</v>
      </c>
      <c r="AJ90" s="4">
        <v>3</v>
      </c>
      <c r="AK90" s="4">
        <v>3</v>
      </c>
      <c r="AL90" s="4">
        <v>1</v>
      </c>
      <c r="AM90" s="4">
        <v>1</v>
      </c>
      <c r="AN90" s="4">
        <v>0</v>
      </c>
      <c r="AO90" s="4">
        <v>0</v>
      </c>
      <c r="AP90" s="3" t="s">
        <v>58</v>
      </c>
      <c r="AQ90" s="3" t="s">
        <v>58</v>
      </c>
      <c r="AS90" s="6" t="str">
        <f>HYPERLINK("https://creighton-primo.hosted.exlibrisgroup.com/primo-explore/search?tab=default_tab&amp;search_scope=EVERYTHING&amp;vid=01CRU&amp;lang=en_US&amp;offset=0&amp;query=any,contains,991005008839702656","Catalog Record")</f>
        <v>Catalog Record</v>
      </c>
      <c r="AT90" s="6" t="str">
        <f>HYPERLINK("http://www.worldcat.org/oclc/6583463","WorldCat Record")</f>
        <v>WorldCat Record</v>
      </c>
      <c r="AU90" s="3" t="s">
        <v>1287</v>
      </c>
      <c r="AV90" s="3" t="s">
        <v>1288</v>
      </c>
      <c r="AW90" s="3" t="s">
        <v>1289</v>
      </c>
      <c r="AX90" s="3" t="s">
        <v>1289</v>
      </c>
      <c r="AY90" s="3" t="s">
        <v>1290</v>
      </c>
      <c r="AZ90" s="3" t="s">
        <v>73</v>
      </c>
      <c r="BB90" s="3" t="s">
        <v>1291</v>
      </c>
      <c r="BC90" s="3" t="s">
        <v>1292</v>
      </c>
      <c r="BD90" s="3" t="s">
        <v>1293</v>
      </c>
    </row>
    <row r="91" spans="1:56" ht="47.25" customHeight="1" x14ac:dyDescent="0.25">
      <c r="A91" s="7" t="s">
        <v>58</v>
      </c>
      <c r="B91" s="2" t="s">
        <v>1294</v>
      </c>
      <c r="C91" s="2" t="s">
        <v>1295</v>
      </c>
      <c r="D91" s="2" t="s">
        <v>1296</v>
      </c>
      <c r="F91" s="3" t="s">
        <v>58</v>
      </c>
      <c r="G91" s="3" t="s">
        <v>59</v>
      </c>
      <c r="H91" s="3" t="s">
        <v>58</v>
      </c>
      <c r="I91" s="3" t="s">
        <v>58</v>
      </c>
      <c r="J91" s="3" t="s">
        <v>60</v>
      </c>
      <c r="K91" s="2" t="s">
        <v>1297</v>
      </c>
      <c r="L91" s="2" t="s">
        <v>1298</v>
      </c>
      <c r="M91" s="3" t="s">
        <v>1299</v>
      </c>
      <c r="O91" s="3" t="s">
        <v>63</v>
      </c>
      <c r="P91" s="3" t="s">
        <v>740</v>
      </c>
      <c r="R91" s="3" t="s">
        <v>855</v>
      </c>
      <c r="S91" s="4">
        <v>1</v>
      </c>
      <c r="T91" s="4">
        <v>1</v>
      </c>
      <c r="U91" s="5" t="s">
        <v>1300</v>
      </c>
      <c r="V91" s="5" t="s">
        <v>1300</v>
      </c>
      <c r="W91" s="5" t="s">
        <v>1300</v>
      </c>
      <c r="X91" s="5" t="s">
        <v>1300</v>
      </c>
      <c r="Y91" s="4">
        <v>109</v>
      </c>
      <c r="Z91" s="4">
        <v>86</v>
      </c>
      <c r="AA91" s="4">
        <v>86</v>
      </c>
      <c r="AB91" s="4">
        <v>2</v>
      </c>
      <c r="AC91" s="4">
        <v>2</v>
      </c>
      <c r="AD91" s="4">
        <v>3</v>
      </c>
      <c r="AE91" s="4">
        <v>3</v>
      </c>
      <c r="AF91" s="4">
        <v>1</v>
      </c>
      <c r="AG91" s="4">
        <v>1</v>
      </c>
      <c r="AH91" s="4">
        <v>1</v>
      </c>
      <c r="AI91" s="4">
        <v>1</v>
      </c>
      <c r="AJ91" s="4">
        <v>0</v>
      </c>
      <c r="AK91" s="4">
        <v>0</v>
      </c>
      <c r="AL91" s="4">
        <v>1</v>
      </c>
      <c r="AM91" s="4">
        <v>1</v>
      </c>
      <c r="AN91" s="4">
        <v>0</v>
      </c>
      <c r="AO91" s="4">
        <v>0</v>
      </c>
      <c r="AP91" s="3" t="s">
        <v>58</v>
      </c>
      <c r="AQ91" s="3" t="s">
        <v>58</v>
      </c>
      <c r="AS91" s="6" t="str">
        <f>HYPERLINK("https://creighton-primo.hosted.exlibrisgroup.com/primo-explore/search?tab=default_tab&amp;search_scope=EVERYTHING&amp;vid=01CRU&amp;lang=en_US&amp;offset=0&amp;query=any,contains,991005087419702656","Catalog Record")</f>
        <v>Catalog Record</v>
      </c>
      <c r="AT91" s="6" t="str">
        <f>HYPERLINK("http://www.worldcat.org/oclc/62303436","WorldCat Record")</f>
        <v>WorldCat Record</v>
      </c>
      <c r="AU91" s="3" t="s">
        <v>1301</v>
      </c>
      <c r="AV91" s="3" t="s">
        <v>1302</v>
      </c>
      <c r="AW91" s="3" t="s">
        <v>1303</v>
      </c>
      <c r="AX91" s="3" t="s">
        <v>1303</v>
      </c>
      <c r="AY91" s="3" t="s">
        <v>1304</v>
      </c>
      <c r="AZ91" s="3" t="s">
        <v>73</v>
      </c>
      <c r="BB91" s="3" t="s">
        <v>1305</v>
      </c>
      <c r="BC91" s="3" t="s">
        <v>1306</v>
      </c>
      <c r="BD91" s="3" t="s">
        <v>1307</v>
      </c>
    </row>
    <row r="92" spans="1:56" ht="47.25" customHeight="1" x14ac:dyDescent="0.25">
      <c r="A92" s="7" t="s">
        <v>58</v>
      </c>
      <c r="B92" s="2" t="s">
        <v>1308</v>
      </c>
      <c r="C92" s="2" t="s">
        <v>1309</v>
      </c>
      <c r="D92" s="2" t="s">
        <v>1310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60</v>
      </c>
      <c r="K92" s="2" t="s">
        <v>1311</v>
      </c>
      <c r="L92" s="2" t="s">
        <v>1312</v>
      </c>
      <c r="M92" s="3" t="s">
        <v>1313</v>
      </c>
      <c r="O92" s="3" t="s">
        <v>63</v>
      </c>
      <c r="P92" s="3" t="s">
        <v>740</v>
      </c>
      <c r="R92" s="3" t="s">
        <v>855</v>
      </c>
      <c r="S92" s="4">
        <v>3</v>
      </c>
      <c r="T92" s="4">
        <v>3</v>
      </c>
      <c r="U92" s="5" t="s">
        <v>1314</v>
      </c>
      <c r="V92" s="5" t="s">
        <v>1314</v>
      </c>
      <c r="W92" s="5" t="s">
        <v>1241</v>
      </c>
      <c r="X92" s="5" t="s">
        <v>1241</v>
      </c>
      <c r="Y92" s="4">
        <v>344</v>
      </c>
      <c r="Z92" s="4">
        <v>292</v>
      </c>
      <c r="AA92" s="4">
        <v>302</v>
      </c>
      <c r="AB92" s="4">
        <v>3</v>
      </c>
      <c r="AC92" s="4">
        <v>3</v>
      </c>
      <c r="AD92" s="4">
        <v>16</v>
      </c>
      <c r="AE92" s="4">
        <v>16</v>
      </c>
      <c r="AF92" s="4">
        <v>2</v>
      </c>
      <c r="AG92" s="4">
        <v>2</v>
      </c>
      <c r="AH92" s="4">
        <v>4</v>
      </c>
      <c r="AI92" s="4">
        <v>4</v>
      </c>
      <c r="AJ92" s="4">
        <v>11</v>
      </c>
      <c r="AK92" s="4">
        <v>11</v>
      </c>
      <c r="AL92" s="4">
        <v>2</v>
      </c>
      <c r="AM92" s="4">
        <v>2</v>
      </c>
      <c r="AN92" s="4">
        <v>0</v>
      </c>
      <c r="AO92" s="4">
        <v>0</v>
      </c>
      <c r="AP92" s="3" t="s">
        <v>58</v>
      </c>
      <c r="AQ92" s="3" t="s">
        <v>87</v>
      </c>
      <c r="AR92" s="6" t="str">
        <f>HYPERLINK("http://catalog.hathitrust.org/Record/002812149","HathiTrust Record")</f>
        <v>HathiTrust Record</v>
      </c>
      <c r="AS92" s="6" t="str">
        <f>HYPERLINK("https://creighton-primo.hosted.exlibrisgroup.com/primo-explore/search?tab=default_tab&amp;search_scope=EVERYTHING&amp;vid=01CRU&amp;lang=en_US&amp;offset=0&amp;query=any,contains,991002271579702656","Catalog Record")</f>
        <v>Catalog Record</v>
      </c>
      <c r="AT92" s="6" t="str">
        <f>HYPERLINK("http://www.worldcat.org/oclc/29477956","WorldCat Record")</f>
        <v>WorldCat Record</v>
      </c>
      <c r="AU92" s="3" t="s">
        <v>1315</v>
      </c>
      <c r="AV92" s="3" t="s">
        <v>1316</v>
      </c>
      <c r="AW92" s="3" t="s">
        <v>1317</v>
      </c>
      <c r="AX92" s="3" t="s">
        <v>1317</v>
      </c>
      <c r="AY92" s="3" t="s">
        <v>1318</v>
      </c>
      <c r="AZ92" s="3" t="s">
        <v>73</v>
      </c>
      <c r="BB92" s="3" t="s">
        <v>1319</v>
      </c>
      <c r="BC92" s="3" t="s">
        <v>1320</v>
      </c>
      <c r="BD92" s="3" t="s">
        <v>1321</v>
      </c>
    </row>
    <row r="93" spans="1:56" ht="47.25" customHeight="1" x14ac:dyDescent="0.25">
      <c r="A93" s="7" t="s">
        <v>58</v>
      </c>
      <c r="B93" s="2" t="s">
        <v>1322</v>
      </c>
      <c r="C93" s="2" t="s">
        <v>1323</v>
      </c>
      <c r="D93" s="2" t="s">
        <v>1324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K93" s="2" t="s">
        <v>1325</v>
      </c>
      <c r="L93" s="2" t="s">
        <v>1326</v>
      </c>
      <c r="M93" s="3" t="s">
        <v>82</v>
      </c>
      <c r="O93" s="3" t="s">
        <v>1327</v>
      </c>
      <c r="P93" s="3" t="s">
        <v>1328</v>
      </c>
      <c r="Q93" s="2" t="s">
        <v>1329</v>
      </c>
      <c r="R93" s="3" t="s">
        <v>855</v>
      </c>
      <c r="S93" s="4">
        <v>1</v>
      </c>
      <c r="T93" s="4">
        <v>1</v>
      </c>
      <c r="U93" s="5" t="s">
        <v>1330</v>
      </c>
      <c r="V93" s="5" t="s">
        <v>1330</v>
      </c>
      <c r="W93" s="5" t="s">
        <v>1330</v>
      </c>
      <c r="X93" s="5" t="s">
        <v>1330</v>
      </c>
      <c r="Y93" s="4">
        <v>133</v>
      </c>
      <c r="Z93" s="4">
        <v>98</v>
      </c>
      <c r="AA93" s="4">
        <v>102</v>
      </c>
      <c r="AB93" s="4">
        <v>2</v>
      </c>
      <c r="AC93" s="4">
        <v>2</v>
      </c>
      <c r="AD93" s="4">
        <v>5</v>
      </c>
      <c r="AE93" s="4">
        <v>5</v>
      </c>
      <c r="AF93" s="4">
        <v>1</v>
      </c>
      <c r="AG93" s="4">
        <v>1</v>
      </c>
      <c r="AH93" s="4">
        <v>3</v>
      </c>
      <c r="AI93" s="4">
        <v>3</v>
      </c>
      <c r="AJ93" s="4">
        <v>3</v>
      </c>
      <c r="AK93" s="4">
        <v>3</v>
      </c>
      <c r="AL93" s="4">
        <v>1</v>
      </c>
      <c r="AM93" s="4">
        <v>1</v>
      </c>
      <c r="AN93" s="4">
        <v>0</v>
      </c>
      <c r="AO93" s="4">
        <v>0</v>
      </c>
      <c r="AP93" s="3" t="s">
        <v>58</v>
      </c>
      <c r="AQ93" s="3" t="s">
        <v>87</v>
      </c>
      <c r="AR93" s="6" t="str">
        <f>HYPERLINK("http://catalog.hathitrust.org/Record/001789760","HathiTrust Record")</f>
        <v>HathiTrust Record</v>
      </c>
      <c r="AS93" s="6" t="str">
        <f>HYPERLINK("https://creighton-primo.hosted.exlibrisgroup.com/primo-explore/search?tab=default_tab&amp;search_scope=EVERYTHING&amp;vid=01CRU&amp;lang=en_US&amp;offset=0&amp;query=any,contains,991004334739702656","Catalog Record")</f>
        <v>Catalog Record</v>
      </c>
      <c r="AT93" s="6" t="str">
        <f>HYPERLINK("http://www.worldcat.org/oclc/15379180","WorldCat Record")</f>
        <v>WorldCat Record</v>
      </c>
      <c r="AU93" s="3" t="s">
        <v>1331</v>
      </c>
      <c r="AV93" s="3" t="s">
        <v>1332</v>
      </c>
      <c r="AW93" s="3" t="s">
        <v>1333</v>
      </c>
      <c r="AX93" s="3" t="s">
        <v>1333</v>
      </c>
      <c r="AY93" s="3" t="s">
        <v>1334</v>
      </c>
      <c r="AZ93" s="3" t="s">
        <v>73</v>
      </c>
      <c r="BB93" s="3" t="s">
        <v>1335</v>
      </c>
      <c r="BC93" s="3" t="s">
        <v>1336</v>
      </c>
      <c r="BD93" s="3" t="s">
        <v>1337</v>
      </c>
    </row>
    <row r="94" spans="1:56" ht="47.25" customHeight="1" x14ac:dyDescent="0.25">
      <c r="A94" s="7" t="s">
        <v>58</v>
      </c>
      <c r="B94" s="2" t="s">
        <v>1338</v>
      </c>
      <c r="C94" s="2" t="s">
        <v>1339</v>
      </c>
      <c r="D94" s="2" t="s">
        <v>1340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60</v>
      </c>
      <c r="K94" s="2" t="s">
        <v>1341</v>
      </c>
      <c r="L94" s="2" t="s">
        <v>1342</v>
      </c>
      <c r="M94" s="3" t="s">
        <v>1072</v>
      </c>
      <c r="N94" s="2" t="s">
        <v>1343</v>
      </c>
      <c r="O94" s="3" t="s">
        <v>1033</v>
      </c>
      <c r="P94" s="3" t="s">
        <v>1034</v>
      </c>
      <c r="R94" s="3" t="s">
        <v>855</v>
      </c>
      <c r="S94" s="4">
        <v>2</v>
      </c>
      <c r="T94" s="4">
        <v>2</v>
      </c>
      <c r="U94" s="5" t="s">
        <v>1344</v>
      </c>
      <c r="V94" s="5" t="s">
        <v>1344</v>
      </c>
      <c r="W94" s="5" t="s">
        <v>1344</v>
      </c>
      <c r="X94" s="5" t="s">
        <v>1344</v>
      </c>
      <c r="Y94" s="4">
        <v>21</v>
      </c>
      <c r="Z94" s="4">
        <v>11</v>
      </c>
      <c r="AA94" s="4">
        <v>382</v>
      </c>
      <c r="AB94" s="4">
        <v>1</v>
      </c>
      <c r="AC94" s="4">
        <v>4</v>
      </c>
      <c r="AD94" s="4">
        <v>0</v>
      </c>
      <c r="AE94" s="4">
        <v>16</v>
      </c>
      <c r="AF94" s="4">
        <v>0</v>
      </c>
      <c r="AG94" s="4">
        <v>3</v>
      </c>
      <c r="AH94" s="4">
        <v>0</v>
      </c>
      <c r="AI94" s="4">
        <v>4</v>
      </c>
      <c r="AJ94" s="4">
        <v>0</v>
      </c>
      <c r="AK94" s="4">
        <v>9</v>
      </c>
      <c r="AL94" s="4">
        <v>0</v>
      </c>
      <c r="AM94" s="4">
        <v>3</v>
      </c>
      <c r="AN94" s="4">
        <v>0</v>
      </c>
      <c r="AO94" s="4">
        <v>0</v>
      </c>
      <c r="AP94" s="3" t="s">
        <v>58</v>
      </c>
      <c r="AQ94" s="3" t="s">
        <v>58</v>
      </c>
      <c r="AS94" s="6" t="str">
        <f>HYPERLINK("https://creighton-primo.hosted.exlibrisgroup.com/primo-explore/search?tab=default_tab&amp;search_scope=EVERYTHING&amp;vid=01CRU&amp;lang=en_US&amp;offset=0&amp;query=any,contains,991003336649702656","Catalog Record")</f>
        <v>Catalog Record</v>
      </c>
      <c r="AT94" s="6" t="str">
        <f>HYPERLINK("http://www.worldcat.org/oclc/4646124","WorldCat Record")</f>
        <v>WorldCat Record</v>
      </c>
      <c r="AU94" s="3" t="s">
        <v>1345</v>
      </c>
      <c r="AV94" s="3" t="s">
        <v>1346</v>
      </c>
      <c r="AW94" s="3" t="s">
        <v>1347</v>
      </c>
      <c r="AX94" s="3" t="s">
        <v>1347</v>
      </c>
      <c r="AY94" s="3" t="s">
        <v>1348</v>
      </c>
      <c r="AZ94" s="3" t="s">
        <v>73</v>
      </c>
      <c r="BC94" s="3" t="s">
        <v>1349</v>
      </c>
      <c r="BD94" s="3" t="s">
        <v>1350</v>
      </c>
    </row>
    <row r="95" spans="1:56" ht="47.25" customHeight="1" x14ac:dyDescent="0.25">
      <c r="A95" s="7" t="s">
        <v>58</v>
      </c>
      <c r="B95" s="2" t="s">
        <v>1351</v>
      </c>
      <c r="C95" s="2" t="s">
        <v>1352</v>
      </c>
      <c r="D95" s="2" t="s">
        <v>1353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K95" s="2" t="s">
        <v>1354</v>
      </c>
      <c r="L95" s="2" t="s">
        <v>1355</v>
      </c>
      <c r="M95" s="3" t="s">
        <v>116</v>
      </c>
      <c r="O95" s="3" t="s">
        <v>1327</v>
      </c>
      <c r="P95" s="3" t="s">
        <v>1328</v>
      </c>
      <c r="Q95" s="2" t="s">
        <v>1356</v>
      </c>
      <c r="R95" s="3" t="s">
        <v>855</v>
      </c>
      <c r="S95" s="4">
        <v>1</v>
      </c>
      <c r="T95" s="4">
        <v>1</v>
      </c>
      <c r="U95" s="5" t="s">
        <v>1357</v>
      </c>
      <c r="V95" s="5" t="s">
        <v>1357</v>
      </c>
      <c r="W95" s="5" t="s">
        <v>1357</v>
      </c>
      <c r="X95" s="5" t="s">
        <v>1357</v>
      </c>
      <c r="Y95" s="4">
        <v>105</v>
      </c>
      <c r="Z95" s="4">
        <v>82</v>
      </c>
      <c r="AA95" s="4">
        <v>121</v>
      </c>
      <c r="AB95" s="4">
        <v>2</v>
      </c>
      <c r="AC95" s="4">
        <v>2</v>
      </c>
      <c r="AD95" s="4">
        <v>3</v>
      </c>
      <c r="AE95" s="4">
        <v>3</v>
      </c>
      <c r="AF95" s="4">
        <v>0</v>
      </c>
      <c r="AG95" s="4">
        <v>0</v>
      </c>
      <c r="AH95" s="4">
        <v>2</v>
      </c>
      <c r="AI95" s="4">
        <v>2</v>
      </c>
      <c r="AJ95" s="4">
        <v>0</v>
      </c>
      <c r="AK95" s="4">
        <v>0</v>
      </c>
      <c r="AL95" s="4">
        <v>1</v>
      </c>
      <c r="AM95" s="4">
        <v>1</v>
      </c>
      <c r="AN95" s="4">
        <v>0</v>
      </c>
      <c r="AO95" s="4">
        <v>0</v>
      </c>
      <c r="AP95" s="3" t="s">
        <v>58</v>
      </c>
      <c r="AQ95" s="3" t="s">
        <v>58</v>
      </c>
      <c r="AS95" s="6" t="str">
        <f>HYPERLINK("https://creighton-primo.hosted.exlibrisgroup.com/primo-explore/search?tab=default_tab&amp;search_scope=EVERYTHING&amp;vid=01CRU&amp;lang=en_US&amp;offset=0&amp;query=any,contains,991004338619702656","Catalog Record")</f>
        <v>Catalog Record</v>
      </c>
      <c r="AT95" s="6" t="str">
        <f>HYPERLINK("http://www.worldcat.org/oclc/296835","WorldCat Record")</f>
        <v>WorldCat Record</v>
      </c>
      <c r="AU95" s="3" t="s">
        <v>1358</v>
      </c>
      <c r="AV95" s="3" t="s">
        <v>1359</v>
      </c>
      <c r="AW95" s="3" t="s">
        <v>1360</v>
      </c>
      <c r="AX95" s="3" t="s">
        <v>1360</v>
      </c>
      <c r="AY95" s="3" t="s">
        <v>1361</v>
      </c>
      <c r="AZ95" s="3" t="s">
        <v>73</v>
      </c>
      <c r="BC95" s="3" t="s">
        <v>1362</v>
      </c>
      <c r="BD95" s="3" t="s">
        <v>1363</v>
      </c>
    </row>
    <row r="96" spans="1:56" ht="47.25" customHeight="1" x14ac:dyDescent="0.25">
      <c r="A96" s="7" t="s">
        <v>58</v>
      </c>
      <c r="B96" s="2" t="s">
        <v>1364</v>
      </c>
      <c r="C96" s="2" t="s">
        <v>1365</v>
      </c>
      <c r="D96" s="2" t="s">
        <v>1366</v>
      </c>
      <c r="E96" s="3" t="s">
        <v>1367</v>
      </c>
      <c r="F96" s="3" t="s">
        <v>87</v>
      </c>
      <c r="G96" s="3" t="s">
        <v>59</v>
      </c>
      <c r="H96" s="3" t="s">
        <v>58</v>
      </c>
      <c r="I96" s="3" t="s">
        <v>58</v>
      </c>
      <c r="J96" s="3" t="s">
        <v>60</v>
      </c>
      <c r="L96" s="2" t="s">
        <v>1368</v>
      </c>
      <c r="M96" s="3" t="s">
        <v>666</v>
      </c>
      <c r="O96" s="3" t="s">
        <v>1033</v>
      </c>
      <c r="P96" s="3" t="s">
        <v>1034</v>
      </c>
      <c r="R96" s="3" t="s">
        <v>855</v>
      </c>
      <c r="S96" s="4">
        <v>2</v>
      </c>
      <c r="T96" s="4">
        <v>4</v>
      </c>
      <c r="U96" s="5" t="s">
        <v>1369</v>
      </c>
      <c r="V96" s="5" t="s">
        <v>1369</v>
      </c>
      <c r="W96" s="5" t="s">
        <v>973</v>
      </c>
      <c r="X96" s="5" t="s">
        <v>973</v>
      </c>
      <c r="Y96" s="4">
        <v>44</v>
      </c>
      <c r="Z96" s="4">
        <v>39</v>
      </c>
      <c r="AA96" s="4">
        <v>39</v>
      </c>
      <c r="AB96" s="4">
        <v>1</v>
      </c>
      <c r="AC96" s="4">
        <v>1</v>
      </c>
      <c r="AD96" s="4">
        <v>2</v>
      </c>
      <c r="AE96" s="4">
        <v>2</v>
      </c>
      <c r="AF96" s="4">
        <v>0</v>
      </c>
      <c r="AG96" s="4">
        <v>0</v>
      </c>
      <c r="AH96" s="4">
        <v>0</v>
      </c>
      <c r="AI96" s="4">
        <v>0</v>
      </c>
      <c r="AJ96" s="4">
        <v>2</v>
      </c>
      <c r="AK96" s="4">
        <v>2</v>
      </c>
      <c r="AL96" s="4">
        <v>0</v>
      </c>
      <c r="AM96" s="4">
        <v>0</v>
      </c>
      <c r="AN96" s="4">
        <v>0</v>
      </c>
      <c r="AO96" s="4">
        <v>0</v>
      </c>
      <c r="AP96" s="3" t="s">
        <v>58</v>
      </c>
      <c r="AQ96" s="3" t="s">
        <v>58</v>
      </c>
      <c r="AS96" s="6" t="str">
        <f>HYPERLINK("https://creighton-primo.hosted.exlibrisgroup.com/primo-explore/search?tab=default_tab&amp;search_scope=EVERYTHING&amp;vid=01CRU&amp;lang=en_US&amp;offset=0&amp;query=any,contains,991001715639702656","Catalog Record")</f>
        <v>Catalog Record</v>
      </c>
      <c r="AT96" s="6" t="str">
        <f>HYPERLINK("http://www.worldcat.org/oclc/4512701","WorldCat Record")</f>
        <v>WorldCat Record</v>
      </c>
      <c r="AU96" s="3" t="s">
        <v>1370</v>
      </c>
      <c r="AV96" s="3" t="s">
        <v>1371</v>
      </c>
      <c r="AW96" s="3" t="s">
        <v>1372</v>
      </c>
      <c r="AX96" s="3" t="s">
        <v>1372</v>
      </c>
      <c r="AY96" s="3" t="s">
        <v>1373</v>
      </c>
      <c r="AZ96" s="3" t="s">
        <v>73</v>
      </c>
      <c r="BB96" s="3" t="s">
        <v>1374</v>
      </c>
      <c r="BC96" s="3" t="s">
        <v>1375</v>
      </c>
      <c r="BD96" s="3" t="s">
        <v>1376</v>
      </c>
    </row>
    <row r="97" spans="1:56" ht="47.25" customHeight="1" x14ac:dyDescent="0.25">
      <c r="A97" s="7" t="s">
        <v>58</v>
      </c>
      <c r="B97" s="2" t="s">
        <v>1364</v>
      </c>
      <c r="C97" s="2" t="s">
        <v>1365</v>
      </c>
      <c r="D97" s="2" t="s">
        <v>1366</v>
      </c>
      <c r="E97" s="3" t="s">
        <v>1377</v>
      </c>
      <c r="F97" s="3" t="s">
        <v>87</v>
      </c>
      <c r="G97" s="3" t="s">
        <v>59</v>
      </c>
      <c r="H97" s="3" t="s">
        <v>58</v>
      </c>
      <c r="I97" s="3" t="s">
        <v>58</v>
      </c>
      <c r="J97" s="3" t="s">
        <v>60</v>
      </c>
      <c r="L97" s="2" t="s">
        <v>1368</v>
      </c>
      <c r="M97" s="3" t="s">
        <v>666</v>
      </c>
      <c r="O97" s="3" t="s">
        <v>1033</v>
      </c>
      <c r="P97" s="3" t="s">
        <v>1034</v>
      </c>
      <c r="R97" s="3" t="s">
        <v>855</v>
      </c>
      <c r="S97" s="4">
        <v>2</v>
      </c>
      <c r="T97" s="4">
        <v>4</v>
      </c>
      <c r="U97" s="5" t="s">
        <v>1369</v>
      </c>
      <c r="V97" s="5" t="s">
        <v>1369</v>
      </c>
      <c r="W97" s="5" t="s">
        <v>973</v>
      </c>
      <c r="X97" s="5" t="s">
        <v>973</v>
      </c>
      <c r="Y97" s="4">
        <v>44</v>
      </c>
      <c r="Z97" s="4">
        <v>39</v>
      </c>
      <c r="AA97" s="4">
        <v>39</v>
      </c>
      <c r="AB97" s="4">
        <v>1</v>
      </c>
      <c r="AC97" s="4">
        <v>1</v>
      </c>
      <c r="AD97" s="4">
        <v>2</v>
      </c>
      <c r="AE97" s="4">
        <v>2</v>
      </c>
      <c r="AF97" s="4">
        <v>0</v>
      </c>
      <c r="AG97" s="4">
        <v>0</v>
      </c>
      <c r="AH97" s="4">
        <v>0</v>
      </c>
      <c r="AI97" s="4">
        <v>0</v>
      </c>
      <c r="AJ97" s="4">
        <v>2</v>
      </c>
      <c r="AK97" s="4">
        <v>2</v>
      </c>
      <c r="AL97" s="4">
        <v>0</v>
      </c>
      <c r="AM97" s="4">
        <v>0</v>
      </c>
      <c r="AN97" s="4">
        <v>0</v>
      </c>
      <c r="AO97" s="4">
        <v>0</v>
      </c>
      <c r="AP97" s="3" t="s">
        <v>58</v>
      </c>
      <c r="AQ97" s="3" t="s">
        <v>58</v>
      </c>
      <c r="AS97" s="6" t="str">
        <f>HYPERLINK("https://creighton-primo.hosted.exlibrisgroup.com/primo-explore/search?tab=default_tab&amp;search_scope=EVERYTHING&amp;vid=01CRU&amp;lang=en_US&amp;offset=0&amp;query=any,contains,991001715639702656","Catalog Record")</f>
        <v>Catalog Record</v>
      </c>
      <c r="AT97" s="6" t="str">
        <f>HYPERLINK("http://www.worldcat.org/oclc/4512701","WorldCat Record")</f>
        <v>WorldCat Record</v>
      </c>
      <c r="AU97" s="3" t="s">
        <v>1370</v>
      </c>
      <c r="AV97" s="3" t="s">
        <v>1371</v>
      </c>
      <c r="AW97" s="3" t="s">
        <v>1372</v>
      </c>
      <c r="AX97" s="3" t="s">
        <v>1372</v>
      </c>
      <c r="AY97" s="3" t="s">
        <v>1373</v>
      </c>
      <c r="AZ97" s="3" t="s">
        <v>73</v>
      </c>
      <c r="BB97" s="3" t="s">
        <v>1374</v>
      </c>
      <c r="BC97" s="3" t="s">
        <v>1378</v>
      </c>
      <c r="BD97" s="3" t="s">
        <v>1379</v>
      </c>
    </row>
    <row r="98" spans="1:56" ht="47.25" customHeight="1" x14ac:dyDescent="0.25">
      <c r="A98" s="7" t="s">
        <v>58</v>
      </c>
      <c r="B98" s="2" t="s">
        <v>1380</v>
      </c>
      <c r="C98" s="2" t="s">
        <v>1381</v>
      </c>
      <c r="D98" s="2" t="s">
        <v>1382</v>
      </c>
      <c r="F98" s="3" t="s">
        <v>58</v>
      </c>
      <c r="G98" s="3" t="s">
        <v>59</v>
      </c>
      <c r="H98" s="3" t="s">
        <v>58</v>
      </c>
      <c r="I98" s="3" t="s">
        <v>58</v>
      </c>
      <c r="J98" s="3" t="s">
        <v>60</v>
      </c>
      <c r="K98" s="2" t="s">
        <v>1383</v>
      </c>
      <c r="L98" s="2" t="s">
        <v>1384</v>
      </c>
      <c r="M98" s="3" t="s">
        <v>1385</v>
      </c>
      <c r="O98" s="3" t="s">
        <v>1033</v>
      </c>
      <c r="P98" s="3" t="s">
        <v>1034</v>
      </c>
      <c r="R98" s="3" t="s">
        <v>855</v>
      </c>
      <c r="S98" s="4">
        <v>3</v>
      </c>
      <c r="T98" s="4">
        <v>3</v>
      </c>
      <c r="U98" s="5" t="s">
        <v>1386</v>
      </c>
      <c r="V98" s="5" t="s">
        <v>1386</v>
      </c>
      <c r="W98" s="5" t="s">
        <v>973</v>
      </c>
      <c r="X98" s="5" t="s">
        <v>973</v>
      </c>
      <c r="Y98" s="4">
        <v>338</v>
      </c>
      <c r="Z98" s="4">
        <v>266</v>
      </c>
      <c r="AA98" s="4">
        <v>530</v>
      </c>
      <c r="AB98" s="4">
        <v>4</v>
      </c>
      <c r="AC98" s="4">
        <v>5</v>
      </c>
      <c r="AD98" s="4">
        <v>12</v>
      </c>
      <c r="AE98" s="4">
        <v>23</v>
      </c>
      <c r="AF98" s="4">
        <v>4</v>
      </c>
      <c r="AG98" s="4">
        <v>5</v>
      </c>
      <c r="AH98" s="4">
        <v>3</v>
      </c>
      <c r="AI98" s="4">
        <v>6</v>
      </c>
      <c r="AJ98" s="4">
        <v>5</v>
      </c>
      <c r="AK98" s="4">
        <v>14</v>
      </c>
      <c r="AL98" s="4">
        <v>3</v>
      </c>
      <c r="AM98" s="4">
        <v>4</v>
      </c>
      <c r="AN98" s="4">
        <v>0</v>
      </c>
      <c r="AO98" s="4">
        <v>0</v>
      </c>
      <c r="AP98" s="3" t="s">
        <v>58</v>
      </c>
      <c r="AQ98" s="3" t="s">
        <v>87</v>
      </c>
      <c r="AR98" s="6" t="str">
        <f>HYPERLINK("http://catalog.hathitrust.org/Record/101859862","HathiTrust Record")</f>
        <v>HathiTrust Record</v>
      </c>
      <c r="AS98" s="6" t="str">
        <f>HYPERLINK("https://creighton-primo.hosted.exlibrisgroup.com/primo-explore/search?tab=default_tab&amp;search_scope=EVERYTHING&amp;vid=01CRU&amp;lang=en_US&amp;offset=0&amp;query=any,contains,991001351399702656","Catalog Record")</f>
        <v>Catalog Record</v>
      </c>
      <c r="AT98" s="6" t="str">
        <f>HYPERLINK("http://www.worldcat.org/oclc/1053357","WorldCat Record")</f>
        <v>WorldCat Record</v>
      </c>
      <c r="AU98" s="3" t="s">
        <v>1387</v>
      </c>
      <c r="AV98" s="3" t="s">
        <v>1388</v>
      </c>
      <c r="AW98" s="3" t="s">
        <v>1389</v>
      </c>
      <c r="AX98" s="3" t="s">
        <v>1389</v>
      </c>
      <c r="AY98" s="3" t="s">
        <v>1390</v>
      </c>
      <c r="AZ98" s="3" t="s">
        <v>73</v>
      </c>
      <c r="BC98" s="3" t="s">
        <v>1391</v>
      </c>
      <c r="BD98" s="3" t="s">
        <v>1392</v>
      </c>
    </row>
    <row r="99" spans="1:56" ht="47.25" customHeight="1" x14ac:dyDescent="0.25">
      <c r="A99" s="7" t="s">
        <v>58</v>
      </c>
      <c r="B99" s="2" t="s">
        <v>1393</v>
      </c>
      <c r="C99" s="2" t="s">
        <v>1394</v>
      </c>
      <c r="D99" s="2" t="s">
        <v>1395</v>
      </c>
      <c r="F99" s="3" t="s">
        <v>58</v>
      </c>
      <c r="G99" s="3" t="s">
        <v>59</v>
      </c>
      <c r="H99" s="3" t="s">
        <v>58</v>
      </c>
      <c r="I99" s="3" t="s">
        <v>87</v>
      </c>
      <c r="J99" s="3" t="s">
        <v>60</v>
      </c>
      <c r="L99" s="2" t="s">
        <v>1396</v>
      </c>
      <c r="M99" s="3" t="s">
        <v>1072</v>
      </c>
      <c r="N99" s="2" t="s">
        <v>1397</v>
      </c>
      <c r="O99" s="3" t="s">
        <v>63</v>
      </c>
      <c r="P99" s="3" t="s">
        <v>83</v>
      </c>
      <c r="R99" s="3" t="s">
        <v>855</v>
      </c>
      <c r="S99" s="4">
        <v>8</v>
      </c>
      <c r="T99" s="4">
        <v>8</v>
      </c>
      <c r="U99" s="5" t="s">
        <v>1398</v>
      </c>
      <c r="V99" s="5" t="s">
        <v>1398</v>
      </c>
      <c r="W99" s="5" t="s">
        <v>973</v>
      </c>
      <c r="X99" s="5" t="s">
        <v>973</v>
      </c>
      <c r="Y99" s="4">
        <v>321</v>
      </c>
      <c r="Z99" s="4">
        <v>311</v>
      </c>
      <c r="AA99" s="4">
        <v>2274</v>
      </c>
      <c r="AB99" s="4">
        <v>1</v>
      </c>
      <c r="AC99" s="4">
        <v>14</v>
      </c>
      <c r="AD99" s="4">
        <v>2</v>
      </c>
      <c r="AE99" s="4">
        <v>41</v>
      </c>
      <c r="AF99" s="4">
        <v>1</v>
      </c>
      <c r="AG99" s="4">
        <v>13</v>
      </c>
      <c r="AH99" s="4">
        <v>0</v>
      </c>
      <c r="AI99" s="4">
        <v>7</v>
      </c>
      <c r="AJ99" s="4">
        <v>2</v>
      </c>
      <c r="AK99" s="4">
        <v>16</v>
      </c>
      <c r="AL99" s="4">
        <v>0</v>
      </c>
      <c r="AM99" s="4">
        <v>5</v>
      </c>
      <c r="AN99" s="4">
        <v>0</v>
      </c>
      <c r="AO99" s="4">
        <v>8</v>
      </c>
      <c r="AP99" s="3" t="s">
        <v>58</v>
      </c>
      <c r="AQ99" s="3" t="s">
        <v>87</v>
      </c>
      <c r="AR99" s="6" t="str">
        <f>HYPERLINK("http://catalog.hathitrust.org/Record/002532468","HathiTrust Record")</f>
        <v>HathiTrust Record</v>
      </c>
      <c r="AS99" s="6" t="str">
        <f>HYPERLINK("https://creighton-primo.hosted.exlibrisgroup.com/primo-explore/search?tab=default_tab&amp;search_scope=EVERYTHING&amp;vid=01CRU&amp;lang=en_US&amp;offset=0&amp;query=any,contains,991001596179702656","Catalog Record")</f>
        <v>Catalog Record</v>
      </c>
      <c r="AT99" s="6" t="str">
        <f>HYPERLINK("http://www.worldcat.org/oclc/3090943","WorldCat Record")</f>
        <v>WorldCat Record</v>
      </c>
      <c r="AU99" s="3" t="s">
        <v>1399</v>
      </c>
      <c r="AV99" s="3" t="s">
        <v>1400</v>
      </c>
      <c r="AW99" s="3" t="s">
        <v>1401</v>
      </c>
      <c r="AX99" s="3" t="s">
        <v>1401</v>
      </c>
      <c r="AY99" s="3" t="s">
        <v>1402</v>
      </c>
      <c r="AZ99" s="3" t="s">
        <v>73</v>
      </c>
      <c r="BB99" s="3" t="s">
        <v>1403</v>
      </c>
      <c r="BC99" s="3" t="s">
        <v>1404</v>
      </c>
      <c r="BD99" s="3" t="s">
        <v>1405</v>
      </c>
    </row>
    <row r="100" spans="1:56" ht="47.25" customHeight="1" x14ac:dyDescent="0.25">
      <c r="A100" s="7" t="s">
        <v>58</v>
      </c>
      <c r="B100" s="2" t="s">
        <v>1406</v>
      </c>
      <c r="C100" s="2" t="s">
        <v>1407</v>
      </c>
      <c r="D100" s="2" t="s">
        <v>1408</v>
      </c>
      <c r="F100" s="3" t="s">
        <v>58</v>
      </c>
      <c r="G100" s="3" t="s">
        <v>59</v>
      </c>
      <c r="H100" s="3" t="s">
        <v>58</v>
      </c>
      <c r="I100" s="3" t="s">
        <v>58</v>
      </c>
      <c r="J100" s="3" t="s">
        <v>60</v>
      </c>
      <c r="K100" s="2" t="s">
        <v>1409</v>
      </c>
      <c r="L100" s="2" t="s">
        <v>1410</v>
      </c>
      <c r="M100" s="3" t="s">
        <v>425</v>
      </c>
      <c r="N100" s="2" t="s">
        <v>695</v>
      </c>
      <c r="O100" s="3" t="s">
        <v>63</v>
      </c>
      <c r="P100" s="3" t="s">
        <v>83</v>
      </c>
      <c r="R100" s="3" t="s">
        <v>855</v>
      </c>
      <c r="S100" s="4">
        <v>17</v>
      </c>
      <c r="T100" s="4">
        <v>17</v>
      </c>
      <c r="U100" s="5" t="s">
        <v>1411</v>
      </c>
      <c r="V100" s="5" t="s">
        <v>1411</v>
      </c>
      <c r="W100" s="5" t="s">
        <v>727</v>
      </c>
      <c r="X100" s="5" t="s">
        <v>727</v>
      </c>
      <c r="Y100" s="4">
        <v>259</v>
      </c>
      <c r="Z100" s="4">
        <v>226</v>
      </c>
      <c r="AA100" s="4">
        <v>462</v>
      </c>
      <c r="AB100" s="4">
        <v>3</v>
      </c>
      <c r="AC100" s="4">
        <v>4</v>
      </c>
      <c r="AD100" s="4">
        <v>3</v>
      </c>
      <c r="AE100" s="4">
        <v>5</v>
      </c>
      <c r="AF100" s="4">
        <v>0</v>
      </c>
      <c r="AG100" s="4">
        <v>0</v>
      </c>
      <c r="AH100" s="4">
        <v>0</v>
      </c>
      <c r="AI100" s="4">
        <v>2</v>
      </c>
      <c r="AJ100" s="4">
        <v>1</v>
      </c>
      <c r="AK100" s="4">
        <v>2</v>
      </c>
      <c r="AL100" s="4">
        <v>2</v>
      </c>
      <c r="AM100" s="4">
        <v>2</v>
      </c>
      <c r="AN100" s="4">
        <v>0</v>
      </c>
      <c r="AO100" s="4">
        <v>0</v>
      </c>
      <c r="AP100" s="3" t="s">
        <v>58</v>
      </c>
      <c r="AQ100" s="3" t="s">
        <v>58</v>
      </c>
      <c r="AS100" s="6" t="str">
        <f>HYPERLINK("https://creighton-primo.hosted.exlibrisgroup.com/primo-explore/search?tab=default_tab&amp;search_scope=EVERYTHING&amp;vid=01CRU&amp;lang=en_US&amp;offset=0&amp;query=any,contains,991002647879702656","Catalog Record")</f>
        <v>Catalog Record</v>
      </c>
      <c r="AT100" s="6" t="str">
        <f>HYPERLINK("http://www.worldcat.org/oclc/34644124","WorldCat Record")</f>
        <v>WorldCat Record</v>
      </c>
      <c r="AU100" s="3" t="s">
        <v>1412</v>
      </c>
      <c r="AV100" s="3" t="s">
        <v>1413</v>
      </c>
      <c r="AW100" s="3" t="s">
        <v>1414</v>
      </c>
      <c r="AX100" s="3" t="s">
        <v>1414</v>
      </c>
      <c r="AY100" s="3" t="s">
        <v>1415</v>
      </c>
      <c r="AZ100" s="3" t="s">
        <v>73</v>
      </c>
      <c r="BB100" s="3" t="s">
        <v>1416</v>
      </c>
      <c r="BC100" s="3" t="s">
        <v>1417</v>
      </c>
      <c r="BD100" s="3" t="s">
        <v>1418</v>
      </c>
    </row>
    <row r="101" spans="1:56" ht="47.25" customHeight="1" x14ac:dyDescent="0.25">
      <c r="A101" s="7" t="s">
        <v>58</v>
      </c>
      <c r="B101" s="2" t="s">
        <v>1419</v>
      </c>
      <c r="C101" s="2" t="s">
        <v>1420</v>
      </c>
      <c r="D101" s="2" t="s">
        <v>1421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60</v>
      </c>
      <c r="L101" s="2" t="s">
        <v>1422</v>
      </c>
      <c r="M101" s="3" t="s">
        <v>811</v>
      </c>
      <c r="O101" s="3" t="s">
        <v>63</v>
      </c>
      <c r="P101" s="3" t="s">
        <v>64</v>
      </c>
      <c r="R101" s="3" t="s">
        <v>855</v>
      </c>
      <c r="S101" s="4">
        <v>3</v>
      </c>
      <c r="T101" s="4">
        <v>3</v>
      </c>
      <c r="U101" s="5" t="s">
        <v>1423</v>
      </c>
      <c r="V101" s="5" t="s">
        <v>1423</v>
      </c>
      <c r="W101" s="5" t="s">
        <v>1423</v>
      </c>
      <c r="X101" s="5" t="s">
        <v>1423</v>
      </c>
      <c r="Y101" s="4">
        <v>794</v>
      </c>
      <c r="Z101" s="4">
        <v>648</v>
      </c>
      <c r="AA101" s="4">
        <v>756</v>
      </c>
      <c r="AB101" s="4">
        <v>4</v>
      </c>
      <c r="AC101" s="4">
        <v>4</v>
      </c>
      <c r="AD101" s="4">
        <v>15</v>
      </c>
      <c r="AE101" s="4">
        <v>16</v>
      </c>
      <c r="AF101" s="4">
        <v>6</v>
      </c>
      <c r="AG101" s="4">
        <v>6</v>
      </c>
      <c r="AH101" s="4">
        <v>4</v>
      </c>
      <c r="AI101" s="4">
        <v>4</v>
      </c>
      <c r="AJ101" s="4">
        <v>7</v>
      </c>
      <c r="AK101" s="4">
        <v>8</v>
      </c>
      <c r="AL101" s="4">
        <v>1</v>
      </c>
      <c r="AM101" s="4">
        <v>1</v>
      </c>
      <c r="AN101" s="4">
        <v>0</v>
      </c>
      <c r="AO101" s="4">
        <v>0</v>
      </c>
      <c r="AP101" s="3" t="s">
        <v>58</v>
      </c>
      <c r="AQ101" s="3" t="s">
        <v>87</v>
      </c>
      <c r="AR101" s="6" t="str">
        <f>HYPERLINK("http://catalog.hathitrust.org/Record/000443603","HathiTrust Record")</f>
        <v>HathiTrust Record</v>
      </c>
      <c r="AS101" s="6" t="str">
        <f>HYPERLINK("https://creighton-primo.hosted.exlibrisgroup.com/primo-explore/search?tab=default_tab&amp;search_scope=EVERYTHING&amp;vid=01CRU&amp;lang=en_US&amp;offset=0&amp;query=any,contains,991005222909702656","Catalog Record")</f>
        <v>Catalog Record</v>
      </c>
      <c r="AT101" s="6" t="str">
        <f>HYPERLINK("http://www.worldcat.org/oclc/9413009","WorldCat Record")</f>
        <v>WorldCat Record</v>
      </c>
      <c r="AU101" s="3" t="s">
        <v>1424</v>
      </c>
      <c r="AV101" s="3" t="s">
        <v>1425</v>
      </c>
      <c r="AW101" s="3" t="s">
        <v>1426</v>
      </c>
      <c r="AX101" s="3" t="s">
        <v>1426</v>
      </c>
      <c r="AY101" s="3" t="s">
        <v>1427</v>
      </c>
      <c r="AZ101" s="3" t="s">
        <v>73</v>
      </c>
      <c r="BB101" s="3" t="s">
        <v>1428</v>
      </c>
      <c r="BC101" s="3" t="s">
        <v>1429</v>
      </c>
      <c r="BD101" s="3" t="s">
        <v>1430</v>
      </c>
    </row>
    <row r="102" spans="1:56" ht="47.25" customHeight="1" x14ac:dyDescent="0.25">
      <c r="A102" s="7" t="s">
        <v>58</v>
      </c>
      <c r="B102" s="2" t="s">
        <v>1431</v>
      </c>
      <c r="C102" s="2" t="s">
        <v>1432</v>
      </c>
      <c r="D102" s="2" t="s">
        <v>1433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K102" s="2" t="s">
        <v>1434</v>
      </c>
      <c r="L102" s="2" t="s">
        <v>1435</v>
      </c>
      <c r="M102" s="3" t="s">
        <v>1268</v>
      </c>
      <c r="O102" s="3" t="s">
        <v>1033</v>
      </c>
      <c r="P102" s="3" t="s">
        <v>83</v>
      </c>
      <c r="Q102" s="2" t="s">
        <v>1436</v>
      </c>
      <c r="R102" s="3" t="s">
        <v>855</v>
      </c>
      <c r="S102" s="4">
        <v>2</v>
      </c>
      <c r="T102" s="4">
        <v>2</v>
      </c>
      <c r="U102" s="5" t="s">
        <v>1437</v>
      </c>
      <c r="V102" s="5" t="s">
        <v>1437</v>
      </c>
      <c r="W102" s="5" t="s">
        <v>842</v>
      </c>
      <c r="X102" s="5" t="s">
        <v>842</v>
      </c>
      <c r="Y102" s="4">
        <v>198</v>
      </c>
      <c r="Z102" s="4">
        <v>173</v>
      </c>
      <c r="AA102" s="4">
        <v>180</v>
      </c>
      <c r="AB102" s="4">
        <v>4</v>
      </c>
      <c r="AC102" s="4">
        <v>4</v>
      </c>
      <c r="AD102" s="4">
        <v>10</v>
      </c>
      <c r="AE102" s="4">
        <v>10</v>
      </c>
      <c r="AF102" s="4">
        <v>1</v>
      </c>
      <c r="AG102" s="4">
        <v>1</v>
      </c>
      <c r="AH102" s="4">
        <v>2</v>
      </c>
      <c r="AI102" s="4">
        <v>2</v>
      </c>
      <c r="AJ102" s="4">
        <v>7</v>
      </c>
      <c r="AK102" s="4">
        <v>7</v>
      </c>
      <c r="AL102" s="4">
        <v>3</v>
      </c>
      <c r="AM102" s="4">
        <v>3</v>
      </c>
      <c r="AN102" s="4">
        <v>0</v>
      </c>
      <c r="AO102" s="4">
        <v>0</v>
      </c>
      <c r="AP102" s="3" t="s">
        <v>87</v>
      </c>
      <c r="AQ102" s="3" t="s">
        <v>58</v>
      </c>
      <c r="AR102" s="6" t="str">
        <f>HYPERLINK("http://catalog.hathitrust.org/Record/001631059","HathiTrust Record")</f>
        <v>HathiTrust Record</v>
      </c>
      <c r="AS102" s="6" t="str">
        <f>HYPERLINK("https://creighton-primo.hosted.exlibrisgroup.com/primo-explore/search?tab=default_tab&amp;search_scope=EVERYTHING&amp;vid=01CRU&amp;lang=en_US&amp;offset=0&amp;query=any,contains,991003903439702656","Catalog Record")</f>
        <v>Catalog Record</v>
      </c>
      <c r="AT102" s="6" t="str">
        <f>HYPERLINK("http://www.worldcat.org/oclc/1831507","WorldCat Record")</f>
        <v>WorldCat Record</v>
      </c>
      <c r="AU102" s="3" t="s">
        <v>1438</v>
      </c>
      <c r="AV102" s="3" t="s">
        <v>1439</v>
      </c>
      <c r="AW102" s="3" t="s">
        <v>1440</v>
      </c>
      <c r="AX102" s="3" t="s">
        <v>1440</v>
      </c>
      <c r="AY102" s="3" t="s">
        <v>1441</v>
      </c>
      <c r="AZ102" s="3" t="s">
        <v>73</v>
      </c>
      <c r="BC102" s="3" t="s">
        <v>1442</v>
      </c>
      <c r="BD102" s="3" t="s">
        <v>1443</v>
      </c>
    </row>
    <row r="103" spans="1:56" ht="47.25" customHeight="1" x14ac:dyDescent="0.25">
      <c r="A103" s="7" t="s">
        <v>58</v>
      </c>
      <c r="B103" s="2" t="s">
        <v>1444</v>
      </c>
      <c r="C103" s="2" t="s">
        <v>1445</v>
      </c>
      <c r="D103" s="2" t="s">
        <v>1446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K103" s="2" t="s">
        <v>1447</v>
      </c>
      <c r="L103" s="2" t="s">
        <v>1448</v>
      </c>
      <c r="M103" s="3" t="s">
        <v>338</v>
      </c>
      <c r="N103" s="2" t="s">
        <v>1449</v>
      </c>
      <c r="O103" s="3" t="s">
        <v>1033</v>
      </c>
      <c r="P103" s="3" t="s">
        <v>1034</v>
      </c>
      <c r="Q103" s="2" t="s">
        <v>1450</v>
      </c>
      <c r="R103" s="3" t="s">
        <v>855</v>
      </c>
      <c r="S103" s="4">
        <v>1</v>
      </c>
      <c r="T103" s="4">
        <v>1</v>
      </c>
      <c r="U103" s="5" t="s">
        <v>1451</v>
      </c>
      <c r="V103" s="5" t="s">
        <v>1451</v>
      </c>
      <c r="W103" s="5" t="s">
        <v>240</v>
      </c>
      <c r="X103" s="5" t="s">
        <v>240</v>
      </c>
      <c r="Y103" s="4">
        <v>86</v>
      </c>
      <c r="Z103" s="4">
        <v>63</v>
      </c>
      <c r="AA103" s="4">
        <v>120</v>
      </c>
      <c r="AB103" s="4">
        <v>1</v>
      </c>
      <c r="AC103" s="4">
        <v>1</v>
      </c>
      <c r="AD103" s="4">
        <v>5</v>
      </c>
      <c r="AE103" s="4">
        <v>6</v>
      </c>
      <c r="AF103" s="4">
        <v>0</v>
      </c>
      <c r="AG103" s="4">
        <v>0</v>
      </c>
      <c r="AH103" s="4">
        <v>3</v>
      </c>
      <c r="AI103" s="4">
        <v>3</v>
      </c>
      <c r="AJ103" s="4">
        <v>4</v>
      </c>
      <c r="AK103" s="4">
        <v>5</v>
      </c>
      <c r="AL103" s="4">
        <v>0</v>
      </c>
      <c r="AM103" s="4">
        <v>0</v>
      </c>
      <c r="AN103" s="4">
        <v>0</v>
      </c>
      <c r="AO103" s="4">
        <v>0</v>
      </c>
      <c r="AP103" s="3" t="s">
        <v>58</v>
      </c>
      <c r="AQ103" s="3" t="s">
        <v>58</v>
      </c>
      <c r="AS103" s="6" t="str">
        <f>HYPERLINK("https://creighton-primo.hosted.exlibrisgroup.com/primo-explore/search?tab=default_tab&amp;search_scope=EVERYTHING&amp;vid=01CRU&amp;lang=en_US&amp;offset=0&amp;query=any,contains,991001071629702656","Catalog Record")</f>
        <v>Catalog Record</v>
      </c>
      <c r="AT103" s="6" t="str">
        <f>HYPERLINK("http://www.worldcat.org/oclc/15915003","WorldCat Record")</f>
        <v>WorldCat Record</v>
      </c>
      <c r="AU103" s="3" t="s">
        <v>1452</v>
      </c>
      <c r="AV103" s="3" t="s">
        <v>1453</v>
      </c>
      <c r="AW103" s="3" t="s">
        <v>1454</v>
      </c>
      <c r="AX103" s="3" t="s">
        <v>1454</v>
      </c>
      <c r="AY103" s="3" t="s">
        <v>1455</v>
      </c>
      <c r="AZ103" s="3" t="s">
        <v>73</v>
      </c>
      <c r="BB103" s="3" t="s">
        <v>1456</v>
      </c>
      <c r="BC103" s="3" t="s">
        <v>1457</v>
      </c>
      <c r="BD103" s="3" t="s">
        <v>1458</v>
      </c>
    </row>
    <row r="104" spans="1:56" ht="47.25" customHeight="1" x14ac:dyDescent="0.25">
      <c r="A104" s="7" t="s">
        <v>58</v>
      </c>
      <c r="B104" s="2" t="s">
        <v>1459</v>
      </c>
      <c r="C104" s="2" t="s">
        <v>1460</v>
      </c>
      <c r="D104" s="2" t="s">
        <v>1461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60</v>
      </c>
      <c r="K104" s="2" t="s">
        <v>1462</v>
      </c>
      <c r="L104" s="2" t="s">
        <v>1463</v>
      </c>
      <c r="M104" s="3" t="s">
        <v>755</v>
      </c>
      <c r="O104" s="3" t="s">
        <v>1033</v>
      </c>
      <c r="P104" s="3" t="s">
        <v>740</v>
      </c>
      <c r="R104" s="3" t="s">
        <v>855</v>
      </c>
      <c r="S104" s="4">
        <v>3</v>
      </c>
      <c r="T104" s="4">
        <v>3</v>
      </c>
      <c r="U104" s="5" t="s">
        <v>1464</v>
      </c>
      <c r="V104" s="5" t="s">
        <v>1464</v>
      </c>
      <c r="W104" s="5" t="s">
        <v>1465</v>
      </c>
      <c r="X104" s="5" t="s">
        <v>1465</v>
      </c>
      <c r="Y104" s="4">
        <v>231</v>
      </c>
      <c r="Z104" s="4">
        <v>184</v>
      </c>
      <c r="AA104" s="4">
        <v>185</v>
      </c>
      <c r="AB104" s="4">
        <v>3</v>
      </c>
      <c r="AC104" s="4">
        <v>3</v>
      </c>
      <c r="AD104" s="4">
        <v>9</v>
      </c>
      <c r="AE104" s="4">
        <v>9</v>
      </c>
      <c r="AF104" s="4">
        <v>1</v>
      </c>
      <c r="AG104" s="4">
        <v>1</v>
      </c>
      <c r="AH104" s="4">
        <v>3</v>
      </c>
      <c r="AI104" s="4">
        <v>3</v>
      </c>
      <c r="AJ104" s="4">
        <v>6</v>
      </c>
      <c r="AK104" s="4">
        <v>6</v>
      </c>
      <c r="AL104" s="4">
        <v>2</v>
      </c>
      <c r="AM104" s="4">
        <v>2</v>
      </c>
      <c r="AN104" s="4">
        <v>0</v>
      </c>
      <c r="AO104" s="4">
        <v>0</v>
      </c>
      <c r="AP104" s="3" t="s">
        <v>58</v>
      </c>
      <c r="AQ104" s="3" t="s">
        <v>58</v>
      </c>
      <c r="AS104" s="6" t="str">
        <f>HYPERLINK("https://creighton-primo.hosted.exlibrisgroup.com/primo-explore/search?tab=default_tab&amp;search_scope=EVERYTHING&amp;vid=01CRU&amp;lang=en_US&amp;offset=0&amp;query=any,contains,991001724669702656","Catalog Record")</f>
        <v>Catalog Record</v>
      </c>
      <c r="AT104" s="6" t="str">
        <f>HYPERLINK("http://www.worldcat.org/oclc/21874408","WorldCat Record")</f>
        <v>WorldCat Record</v>
      </c>
      <c r="AU104" s="3" t="s">
        <v>1466</v>
      </c>
      <c r="AV104" s="3" t="s">
        <v>1467</v>
      </c>
      <c r="AW104" s="3" t="s">
        <v>1468</v>
      </c>
      <c r="AX104" s="3" t="s">
        <v>1468</v>
      </c>
      <c r="AY104" s="3" t="s">
        <v>1469</v>
      </c>
      <c r="AZ104" s="3" t="s">
        <v>73</v>
      </c>
      <c r="BB104" s="3" t="s">
        <v>1470</v>
      </c>
      <c r="BC104" s="3" t="s">
        <v>1471</v>
      </c>
      <c r="BD104" s="3" t="s">
        <v>1472</v>
      </c>
    </row>
    <row r="105" spans="1:56" ht="47.25" customHeight="1" x14ac:dyDescent="0.25">
      <c r="A105" s="7" t="s">
        <v>58</v>
      </c>
      <c r="B105" s="2" t="s">
        <v>1473</v>
      </c>
      <c r="C105" s="2" t="s">
        <v>1474</v>
      </c>
      <c r="D105" s="2" t="s">
        <v>1475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60</v>
      </c>
      <c r="K105" s="2" t="s">
        <v>1476</v>
      </c>
      <c r="L105" s="2" t="s">
        <v>1477</v>
      </c>
      <c r="M105" s="3" t="s">
        <v>1072</v>
      </c>
      <c r="O105" s="3" t="s">
        <v>1033</v>
      </c>
      <c r="P105" s="3" t="s">
        <v>1478</v>
      </c>
      <c r="R105" s="3" t="s">
        <v>855</v>
      </c>
      <c r="S105" s="4">
        <v>3</v>
      </c>
      <c r="T105" s="4">
        <v>3</v>
      </c>
      <c r="U105" s="5" t="s">
        <v>1479</v>
      </c>
      <c r="V105" s="5" t="s">
        <v>1479</v>
      </c>
      <c r="W105" s="5" t="s">
        <v>240</v>
      </c>
      <c r="X105" s="5" t="s">
        <v>240</v>
      </c>
      <c r="Y105" s="4">
        <v>27</v>
      </c>
      <c r="Z105" s="4">
        <v>19</v>
      </c>
      <c r="AA105" s="4">
        <v>114</v>
      </c>
      <c r="AB105" s="4">
        <v>1</v>
      </c>
      <c r="AC105" s="4">
        <v>2</v>
      </c>
      <c r="AD105" s="4">
        <v>0</v>
      </c>
      <c r="AE105" s="4">
        <v>6</v>
      </c>
      <c r="AF105" s="4">
        <v>0</v>
      </c>
      <c r="AG105" s="4">
        <v>2</v>
      </c>
      <c r="AH105" s="4">
        <v>0</v>
      </c>
      <c r="AI105" s="4">
        <v>1</v>
      </c>
      <c r="AJ105" s="4">
        <v>0</v>
      </c>
      <c r="AK105" s="4">
        <v>4</v>
      </c>
      <c r="AL105" s="4">
        <v>0</v>
      </c>
      <c r="AM105" s="4">
        <v>1</v>
      </c>
      <c r="AN105" s="4">
        <v>0</v>
      </c>
      <c r="AO105" s="4">
        <v>0</v>
      </c>
      <c r="AP105" s="3" t="s">
        <v>58</v>
      </c>
      <c r="AQ105" s="3" t="s">
        <v>58</v>
      </c>
      <c r="AS105" s="6" t="str">
        <f>HYPERLINK("https://creighton-primo.hosted.exlibrisgroup.com/primo-explore/search?tab=default_tab&amp;search_scope=EVERYTHING&amp;vid=01CRU&amp;lang=en_US&amp;offset=0&amp;query=any,contains,991003346849702656","Catalog Record")</f>
        <v>Catalog Record</v>
      </c>
      <c r="AT105" s="6" t="str">
        <f>HYPERLINK("http://www.worldcat.org/oclc/878709","WorldCat Record")</f>
        <v>WorldCat Record</v>
      </c>
      <c r="AU105" s="3" t="s">
        <v>1480</v>
      </c>
      <c r="AV105" s="3" t="s">
        <v>1481</v>
      </c>
      <c r="AW105" s="3" t="s">
        <v>1482</v>
      </c>
      <c r="AX105" s="3" t="s">
        <v>1482</v>
      </c>
      <c r="AY105" s="3" t="s">
        <v>1483</v>
      </c>
      <c r="AZ105" s="3" t="s">
        <v>73</v>
      </c>
      <c r="BC105" s="3" t="s">
        <v>1484</v>
      </c>
      <c r="BD105" s="3" t="s">
        <v>1485</v>
      </c>
    </row>
    <row r="106" spans="1:56" ht="47.25" customHeight="1" x14ac:dyDescent="0.25">
      <c r="A106" s="7" t="s">
        <v>58</v>
      </c>
      <c r="B106" s="2" t="s">
        <v>1486</v>
      </c>
      <c r="C106" s="2" t="s">
        <v>1487</v>
      </c>
      <c r="D106" s="2" t="s">
        <v>1488</v>
      </c>
      <c r="F106" s="3" t="s">
        <v>58</v>
      </c>
      <c r="G106" s="3" t="s">
        <v>59</v>
      </c>
      <c r="H106" s="3" t="s">
        <v>58</v>
      </c>
      <c r="I106" s="3" t="s">
        <v>58</v>
      </c>
      <c r="J106" s="3" t="s">
        <v>60</v>
      </c>
      <c r="K106" s="2" t="s">
        <v>1489</v>
      </c>
      <c r="L106" s="2" t="s">
        <v>1490</v>
      </c>
      <c r="M106" s="3" t="s">
        <v>1072</v>
      </c>
      <c r="O106" s="3" t="s">
        <v>1033</v>
      </c>
      <c r="P106" s="3" t="s">
        <v>1491</v>
      </c>
      <c r="R106" s="3" t="s">
        <v>855</v>
      </c>
      <c r="S106" s="4">
        <v>3</v>
      </c>
      <c r="T106" s="4">
        <v>3</v>
      </c>
      <c r="U106" s="5" t="s">
        <v>1479</v>
      </c>
      <c r="V106" s="5" t="s">
        <v>1479</v>
      </c>
      <c r="W106" s="5" t="s">
        <v>1492</v>
      </c>
      <c r="X106" s="5" t="s">
        <v>1492</v>
      </c>
      <c r="Y106" s="4">
        <v>48</v>
      </c>
      <c r="Z106" s="4">
        <v>25</v>
      </c>
      <c r="AA106" s="4">
        <v>174</v>
      </c>
      <c r="AB106" s="4">
        <v>1</v>
      </c>
      <c r="AC106" s="4">
        <v>2</v>
      </c>
      <c r="AD106" s="4">
        <v>1</v>
      </c>
      <c r="AE106" s="4">
        <v>6</v>
      </c>
      <c r="AF106" s="4">
        <v>0</v>
      </c>
      <c r="AG106" s="4">
        <v>0</v>
      </c>
      <c r="AH106" s="4">
        <v>0</v>
      </c>
      <c r="AI106" s="4">
        <v>2</v>
      </c>
      <c r="AJ106" s="4">
        <v>1</v>
      </c>
      <c r="AK106" s="4">
        <v>4</v>
      </c>
      <c r="AL106" s="4">
        <v>0</v>
      </c>
      <c r="AM106" s="4">
        <v>1</v>
      </c>
      <c r="AN106" s="4">
        <v>0</v>
      </c>
      <c r="AO106" s="4">
        <v>0</v>
      </c>
      <c r="AP106" s="3" t="s">
        <v>58</v>
      </c>
      <c r="AQ106" s="3" t="s">
        <v>87</v>
      </c>
      <c r="AR106" s="6" t="str">
        <f>HYPERLINK("http://catalog.hathitrust.org/Record/012348784","HathiTrust Record")</f>
        <v>HathiTrust Record</v>
      </c>
      <c r="AS106" s="6" t="str">
        <f>HYPERLINK("https://creighton-primo.hosted.exlibrisgroup.com/primo-explore/search?tab=default_tab&amp;search_scope=EVERYTHING&amp;vid=01CRU&amp;lang=en_US&amp;offset=0&amp;query=any,contains,991003290129702656","Catalog Record")</f>
        <v>Catalog Record</v>
      </c>
      <c r="AT106" s="6" t="str">
        <f>HYPERLINK("http://www.worldcat.org/oclc/812174","WorldCat Record")</f>
        <v>WorldCat Record</v>
      </c>
      <c r="AU106" s="3" t="s">
        <v>1493</v>
      </c>
      <c r="AV106" s="3" t="s">
        <v>1494</v>
      </c>
      <c r="AW106" s="3" t="s">
        <v>1495</v>
      </c>
      <c r="AX106" s="3" t="s">
        <v>1495</v>
      </c>
      <c r="AY106" s="3" t="s">
        <v>1496</v>
      </c>
      <c r="AZ106" s="3" t="s">
        <v>73</v>
      </c>
      <c r="BC106" s="3" t="s">
        <v>1497</v>
      </c>
      <c r="BD106" s="3" t="s">
        <v>1498</v>
      </c>
    </row>
    <row r="107" spans="1:56" ht="47.25" customHeight="1" x14ac:dyDescent="0.25">
      <c r="A107" s="7" t="s">
        <v>58</v>
      </c>
      <c r="B107" s="2" t="s">
        <v>1499</v>
      </c>
      <c r="C107" s="2" t="s">
        <v>1500</v>
      </c>
      <c r="D107" s="2" t="s">
        <v>1501</v>
      </c>
      <c r="F107" s="3" t="s">
        <v>58</v>
      </c>
      <c r="G107" s="3" t="s">
        <v>59</v>
      </c>
      <c r="H107" s="3" t="s">
        <v>58</v>
      </c>
      <c r="I107" s="3" t="s">
        <v>58</v>
      </c>
      <c r="J107" s="3" t="s">
        <v>60</v>
      </c>
      <c r="K107" s="2" t="s">
        <v>1502</v>
      </c>
      <c r="L107" s="2" t="s">
        <v>1503</v>
      </c>
      <c r="M107" s="3" t="s">
        <v>1504</v>
      </c>
      <c r="O107" s="3" t="s">
        <v>63</v>
      </c>
      <c r="P107" s="3" t="s">
        <v>1505</v>
      </c>
      <c r="R107" s="3" t="s">
        <v>855</v>
      </c>
      <c r="S107" s="4">
        <v>6</v>
      </c>
      <c r="T107" s="4">
        <v>6</v>
      </c>
      <c r="U107" s="5" t="s">
        <v>1479</v>
      </c>
      <c r="V107" s="5" t="s">
        <v>1479</v>
      </c>
      <c r="W107" s="5" t="s">
        <v>1506</v>
      </c>
      <c r="X107" s="5" t="s">
        <v>1506</v>
      </c>
      <c r="Y107" s="4">
        <v>1048</v>
      </c>
      <c r="Z107" s="4">
        <v>953</v>
      </c>
      <c r="AA107" s="4">
        <v>963</v>
      </c>
      <c r="AB107" s="4">
        <v>6</v>
      </c>
      <c r="AC107" s="4">
        <v>6</v>
      </c>
      <c r="AD107" s="4">
        <v>42</v>
      </c>
      <c r="AE107" s="4">
        <v>42</v>
      </c>
      <c r="AF107" s="4">
        <v>18</v>
      </c>
      <c r="AG107" s="4">
        <v>18</v>
      </c>
      <c r="AH107" s="4">
        <v>8</v>
      </c>
      <c r="AI107" s="4">
        <v>8</v>
      </c>
      <c r="AJ107" s="4">
        <v>22</v>
      </c>
      <c r="AK107" s="4">
        <v>22</v>
      </c>
      <c r="AL107" s="4">
        <v>5</v>
      </c>
      <c r="AM107" s="4">
        <v>5</v>
      </c>
      <c r="AN107" s="4">
        <v>0</v>
      </c>
      <c r="AO107" s="4">
        <v>0</v>
      </c>
      <c r="AP107" s="3" t="s">
        <v>58</v>
      </c>
      <c r="AQ107" s="3" t="s">
        <v>87</v>
      </c>
      <c r="AR107" s="6" t="str">
        <f>HYPERLINK("http://catalog.hathitrust.org/Record/001182754","HathiTrust Record")</f>
        <v>HathiTrust Record</v>
      </c>
      <c r="AS107" s="6" t="str">
        <f>HYPERLINK("https://creighton-primo.hosted.exlibrisgroup.com/primo-explore/search?tab=default_tab&amp;search_scope=EVERYTHING&amp;vid=01CRU&amp;lang=en_US&amp;offset=0&amp;query=any,contains,991001875359702656","Catalog Record")</f>
        <v>Catalog Record</v>
      </c>
      <c r="AT107" s="6" t="str">
        <f>HYPERLINK("http://www.worldcat.org/oclc/238196","WorldCat Record")</f>
        <v>WorldCat Record</v>
      </c>
      <c r="AU107" s="3" t="s">
        <v>1507</v>
      </c>
      <c r="AV107" s="3" t="s">
        <v>1508</v>
      </c>
      <c r="AW107" s="3" t="s">
        <v>1509</v>
      </c>
      <c r="AX107" s="3" t="s">
        <v>1509</v>
      </c>
      <c r="AY107" s="3" t="s">
        <v>1510</v>
      </c>
      <c r="AZ107" s="3" t="s">
        <v>73</v>
      </c>
      <c r="BC107" s="3" t="s">
        <v>1511</v>
      </c>
      <c r="BD107" s="3" t="s">
        <v>1512</v>
      </c>
    </row>
    <row r="108" spans="1:56" ht="47.25" customHeight="1" x14ac:dyDescent="0.25">
      <c r="A108" s="7" t="s">
        <v>58</v>
      </c>
      <c r="B108" s="2" t="s">
        <v>1513</v>
      </c>
      <c r="C108" s="2" t="s">
        <v>1514</v>
      </c>
      <c r="D108" s="2" t="s">
        <v>1515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60</v>
      </c>
      <c r="K108" s="2" t="s">
        <v>1516</v>
      </c>
      <c r="L108" s="2" t="s">
        <v>1517</v>
      </c>
      <c r="M108" s="3" t="s">
        <v>1518</v>
      </c>
      <c r="O108" s="3" t="s">
        <v>63</v>
      </c>
      <c r="P108" s="3" t="s">
        <v>64</v>
      </c>
      <c r="R108" s="3" t="s">
        <v>855</v>
      </c>
      <c r="S108" s="4">
        <v>2</v>
      </c>
      <c r="T108" s="4">
        <v>2</v>
      </c>
      <c r="U108" s="5" t="s">
        <v>1519</v>
      </c>
      <c r="V108" s="5" t="s">
        <v>1519</v>
      </c>
      <c r="W108" s="5" t="s">
        <v>240</v>
      </c>
      <c r="X108" s="5" t="s">
        <v>240</v>
      </c>
      <c r="Y108" s="4">
        <v>521</v>
      </c>
      <c r="Z108" s="4">
        <v>372</v>
      </c>
      <c r="AA108" s="4">
        <v>374</v>
      </c>
      <c r="AB108" s="4">
        <v>3</v>
      </c>
      <c r="AC108" s="4">
        <v>3</v>
      </c>
      <c r="AD108" s="4">
        <v>17</v>
      </c>
      <c r="AE108" s="4">
        <v>17</v>
      </c>
      <c r="AF108" s="4">
        <v>8</v>
      </c>
      <c r="AG108" s="4">
        <v>8</v>
      </c>
      <c r="AH108" s="4">
        <v>5</v>
      </c>
      <c r="AI108" s="4">
        <v>5</v>
      </c>
      <c r="AJ108" s="4">
        <v>8</v>
      </c>
      <c r="AK108" s="4">
        <v>8</v>
      </c>
      <c r="AL108" s="4">
        <v>2</v>
      </c>
      <c r="AM108" s="4">
        <v>2</v>
      </c>
      <c r="AN108" s="4">
        <v>0</v>
      </c>
      <c r="AO108" s="4">
        <v>0</v>
      </c>
      <c r="AP108" s="3" t="s">
        <v>58</v>
      </c>
      <c r="AQ108" s="3" t="s">
        <v>87</v>
      </c>
      <c r="AR108" s="6" t="str">
        <f>HYPERLINK("http://catalog.hathitrust.org/Record/000740323","HathiTrust Record")</f>
        <v>HathiTrust Record</v>
      </c>
      <c r="AS108" s="6" t="str">
        <f>HYPERLINK("https://creighton-primo.hosted.exlibrisgroup.com/primo-explore/search?tab=default_tab&amp;search_scope=EVERYTHING&amp;vid=01CRU&amp;lang=en_US&amp;offset=0&amp;query=any,contains,991004192439702656","Catalog Record")</f>
        <v>Catalog Record</v>
      </c>
      <c r="AT108" s="6" t="str">
        <f>HYPERLINK("http://www.worldcat.org/oclc/2634284","WorldCat Record")</f>
        <v>WorldCat Record</v>
      </c>
      <c r="AU108" s="3" t="s">
        <v>1520</v>
      </c>
      <c r="AV108" s="3" t="s">
        <v>1521</v>
      </c>
      <c r="AW108" s="3" t="s">
        <v>1522</v>
      </c>
      <c r="AX108" s="3" t="s">
        <v>1522</v>
      </c>
      <c r="AY108" s="3" t="s">
        <v>1523</v>
      </c>
      <c r="AZ108" s="3" t="s">
        <v>73</v>
      </c>
      <c r="BB108" s="3" t="s">
        <v>1524</v>
      </c>
      <c r="BC108" s="3" t="s">
        <v>1525</v>
      </c>
      <c r="BD108" s="3" t="s">
        <v>1526</v>
      </c>
    </row>
    <row r="109" spans="1:56" ht="47.25" customHeight="1" x14ac:dyDescent="0.25">
      <c r="A109" s="7" t="s">
        <v>58</v>
      </c>
      <c r="B109" s="2" t="s">
        <v>1527</v>
      </c>
      <c r="C109" s="2" t="s">
        <v>1528</v>
      </c>
      <c r="D109" s="2" t="s">
        <v>1529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60</v>
      </c>
      <c r="K109" s="2" t="s">
        <v>1502</v>
      </c>
      <c r="L109" s="2" t="s">
        <v>1530</v>
      </c>
      <c r="M109" s="3" t="s">
        <v>1531</v>
      </c>
      <c r="O109" s="3" t="s">
        <v>1033</v>
      </c>
      <c r="P109" s="3" t="s">
        <v>1491</v>
      </c>
      <c r="R109" s="3" t="s">
        <v>855</v>
      </c>
      <c r="S109" s="4">
        <v>2</v>
      </c>
      <c r="T109" s="4">
        <v>2</v>
      </c>
      <c r="U109" s="5" t="s">
        <v>1532</v>
      </c>
      <c r="V109" s="5" t="s">
        <v>1532</v>
      </c>
      <c r="W109" s="5" t="s">
        <v>1533</v>
      </c>
      <c r="X109" s="5" t="s">
        <v>1533</v>
      </c>
      <c r="Y109" s="4">
        <v>46</v>
      </c>
      <c r="Z109" s="4">
        <v>32</v>
      </c>
      <c r="AA109" s="4">
        <v>148</v>
      </c>
      <c r="AB109" s="4">
        <v>1</v>
      </c>
      <c r="AC109" s="4">
        <v>2</v>
      </c>
      <c r="AD109" s="4">
        <v>3</v>
      </c>
      <c r="AE109" s="4">
        <v>6</v>
      </c>
      <c r="AF109" s="4">
        <v>0</v>
      </c>
      <c r="AG109" s="4">
        <v>1</v>
      </c>
      <c r="AH109" s="4">
        <v>1</v>
      </c>
      <c r="AI109" s="4">
        <v>2</v>
      </c>
      <c r="AJ109" s="4">
        <v>3</v>
      </c>
      <c r="AK109" s="4">
        <v>3</v>
      </c>
      <c r="AL109" s="4">
        <v>0</v>
      </c>
      <c r="AM109" s="4">
        <v>1</v>
      </c>
      <c r="AN109" s="4">
        <v>0</v>
      </c>
      <c r="AO109" s="4">
        <v>0</v>
      </c>
      <c r="AP109" s="3" t="s">
        <v>58</v>
      </c>
      <c r="AQ109" s="3" t="s">
        <v>58</v>
      </c>
      <c r="AS109" s="6" t="str">
        <f>HYPERLINK("https://creighton-primo.hosted.exlibrisgroup.com/primo-explore/search?tab=default_tab&amp;search_scope=EVERYTHING&amp;vid=01CRU&amp;lang=en_US&amp;offset=0&amp;query=any,contains,991003681609702656","Catalog Record")</f>
        <v>Catalog Record</v>
      </c>
      <c r="AT109" s="6" t="str">
        <f>HYPERLINK("http://www.worldcat.org/oclc/1307389","WorldCat Record")</f>
        <v>WorldCat Record</v>
      </c>
      <c r="AU109" s="3" t="s">
        <v>1534</v>
      </c>
      <c r="AV109" s="3" t="s">
        <v>1535</v>
      </c>
      <c r="AW109" s="3" t="s">
        <v>1536</v>
      </c>
      <c r="AX109" s="3" t="s">
        <v>1536</v>
      </c>
      <c r="AY109" s="3" t="s">
        <v>1537</v>
      </c>
      <c r="AZ109" s="3" t="s">
        <v>73</v>
      </c>
      <c r="BC109" s="3" t="s">
        <v>1538</v>
      </c>
      <c r="BD109" s="3" t="s">
        <v>1539</v>
      </c>
    </row>
    <row r="110" spans="1:56" ht="47.25" customHeight="1" x14ac:dyDescent="0.25">
      <c r="A110" s="7" t="s">
        <v>58</v>
      </c>
      <c r="B110" s="2" t="s">
        <v>1540</v>
      </c>
      <c r="C110" s="2" t="s">
        <v>1541</v>
      </c>
      <c r="D110" s="2" t="s">
        <v>1542</v>
      </c>
      <c r="F110" s="3" t="s">
        <v>58</v>
      </c>
      <c r="G110" s="3" t="s">
        <v>59</v>
      </c>
      <c r="H110" s="3" t="s">
        <v>58</v>
      </c>
      <c r="I110" s="3" t="s">
        <v>58</v>
      </c>
      <c r="J110" s="3" t="s">
        <v>60</v>
      </c>
      <c r="K110" s="2" t="s">
        <v>1543</v>
      </c>
      <c r="L110" s="2" t="s">
        <v>1544</v>
      </c>
      <c r="M110" s="3" t="s">
        <v>382</v>
      </c>
      <c r="O110" s="3" t="s">
        <v>986</v>
      </c>
      <c r="P110" s="3" t="s">
        <v>987</v>
      </c>
      <c r="Q110" s="2" t="s">
        <v>1545</v>
      </c>
      <c r="R110" s="3" t="s">
        <v>855</v>
      </c>
      <c r="S110" s="4">
        <v>1</v>
      </c>
      <c r="T110" s="4">
        <v>1</v>
      </c>
      <c r="U110" s="5" t="s">
        <v>1546</v>
      </c>
      <c r="V110" s="5" t="s">
        <v>1546</v>
      </c>
      <c r="W110" s="5" t="s">
        <v>1546</v>
      </c>
      <c r="X110" s="5" t="s">
        <v>1546</v>
      </c>
      <c r="Y110" s="4">
        <v>142</v>
      </c>
      <c r="Z110" s="4">
        <v>76</v>
      </c>
      <c r="AA110" s="4">
        <v>84</v>
      </c>
      <c r="AB110" s="4">
        <v>1</v>
      </c>
      <c r="AC110" s="4">
        <v>1</v>
      </c>
      <c r="AD110" s="4">
        <v>3</v>
      </c>
      <c r="AE110" s="4">
        <v>3</v>
      </c>
      <c r="AF110" s="4">
        <v>0</v>
      </c>
      <c r="AG110" s="4">
        <v>0</v>
      </c>
      <c r="AH110" s="4">
        <v>1</v>
      </c>
      <c r="AI110" s="4">
        <v>1</v>
      </c>
      <c r="AJ110" s="4">
        <v>2</v>
      </c>
      <c r="AK110" s="4">
        <v>2</v>
      </c>
      <c r="AL110" s="4">
        <v>0</v>
      </c>
      <c r="AM110" s="4">
        <v>0</v>
      </c>
      <c r="AN110" s="4">
        <v>0</v>
      </c>
      <c r="AO110" s="4">
        <v>0</v>
      </c>
      <c r="AP110" s="3" t="s">
        <v>58</v>
      </c>
      <c r="AQ110" s="3" t="s">
        <v>87</v>
      </c>
      <c r="AR110" s="6" t="str">
        <f>HYPERLINK("http://catalog.hathitrust.org/Record/002493454","HathiTrust Record")</f>
        <v>HathiTrust Record</v>
      </c>
      <c r="AS110" s="6" t="str">
        <f>HYPERLINK("https://creighton-primo.hosted.exlibrisgroup.com/primo-explore/search?tab=default_tab&amp;search_scope=EVERYTHING&amp;vid=01CRU&amp;lang=en_US&amp;offset=0&amp;query=any,contains,991005295969702656","Catalog Record")</f>
        <v>Catalog Record</v>
      </c>
      <c r="AT110" s="6" t="str">
        <f>HYPERLINK("http://www.worldcat.org/oclc/24607685","WorldCat Record")</f>
        <v>WorldCat Record</v>
      </c>
      <c r="AU110" s="3" t="s">
        <v>1547</v>
      </c>
      <c r="AV110" s="3" t="s">
        <v>1548</v>
      </c>
      <c r="AW110" s="3" t="s">
        <v>1549</v>
      </c>
      <c r="AX110" s="3" t="s">
        <v>1549</v>
      </c>
      <c r="AY110" s="3" t="s">
        <v>1550</v>
      </c>
      <c r="AZ110" s="3" t="s">
        <v>73</v>
      </c>
      <c r="BB110" s="3" t="s">
        <v>1551</v>
      </c>
      <c r="BC110" s="3" t="s">
        <v>1552</v>
      </c>
      <c r="BD110" s="3" t="s">
        <v>1553</v>
      </c>
    </row>
    <row r="111" spans="1:56" ht="47.25" customHeight="1" x14ac:dyDescent="0.25">
      <c r="A111" s="7" t="s">
        <v>58</v>
      </c>
      <c r="B111" s="2" t="s">
        <v>1554</v>
      </c>
      <c r="C111" s="2" t="s">
        <v>1555</v>
      </c>
      <c r="D111" s="2" t="s">
        <v>1556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L111" s="2" t="s">
        <v>1557</v>
      </c>
      <c r="M111" s="3" t="s">
        <v>598</v>
      </c>
      <c r="O111" s="3" t="s">
        <v>63</v>
      </c>
      <c r="P111" s="3" t="s">
        <v>267</v>
      </c>
      <c r="Q111" s="2" t="s">
        <v>1558</v>
      </c>
      <c r="R111" s="3" t="s">
        <v>855</v>
      </c>
      <c r="S111" s="4">
        <v>18</v>
      </c>
      <c r="T111" s="4">
        <v>18</v>
      </c>
      <c r="U111" s="5" t="s">
        <v>1559</v>
      </c>
      <c r="V111" s="5" t="s">
        <v>1559</v>
      </c>
      <c r="W111" s="5" t="s">
        <v>1560</v>
      </c>
      <c r="X111" s="5" t="s">
        <v>1560</v>
      </c>
      <c r="Y111" s="4">
        <v>448</v>
      </c>
      <c r="Z111" s="4">
        <v>368</v>
      </c>
      <c r="AA111" s="4">
        <v>537</v>
      </c>
      <c r="AB111" s="4">
        <v>2</v>
      </c>
      <c r="AC111" s="4">
        <v>2</v>
      </c>
      <c r="AD111" s="4">
        <v>19</v>
      </c>
      <c r="AE111" s="4">
        <v>27</v>
      </c>
      <c r="AF111" s="4">
        <v>5</v>
      </c>
      <c r="AG111" s="4">
        <v>12</v>
      </c>
      <c r="AH111" s="4">
        <v>8</v>
      </c>
      <c r="AI111" s="4">
        <v>9</v>
      </c>
      <c r="AJ111" s="4">
        <v>12</v>
      </c>
      <c r="AK111" s="4">
        <v>15</v>
      </c>
      <c r="AL111" s="4">
        <v>1</v>
      </c>
      <c r="AM111" s="4">
        <v>1</v>
      </c>
      <c r="AN111" s="4">
        <v>0</v>
      </c>
      <c r="AO111" s="4">
        <v>0</v>
      </c>
      <c r="AP111" s="3" t="s">
        <v>58</v>
      </c>
      <c r="AQ111" s="3" t="s">
        <v>87</v>
      </c>
      <c r="AR111" s="6" t="str">
        <f>HYPERLINK("http://catalog.hathitrust.org/Record/001549841","HathiTrust Record")</f>
        <v>HathiTrust Record</v>
      </c>
      <c r="AS111" s="6" t="str">
        <f>HYPERLINK("https://creighton-primo.hosted.exlibrisgroup.com/primo-explore/search?tab=default_tab&amp;search_scope=EVERYTHING&amp;vid=01CRU&amp;lang=en_US&amp;offset=0&amp;query=any,contains,991001477409702656","Catalog Record")</f>
        <v>Catalog Record</v>
      </c>
      <c r="AT111" s="6" t="str">
        <f>HYPERLINK("http://www.worldcat.org/oclc/19589333","WorldCat Record")</f>
        <v>WorldCat Record</v>
      </c>
      <c r="AU111" s="3" t="s">
        <v>1561</v>
      </c>
      <c r="AV111" s="3" t="s">
        <v>1562</v>
      </c>
      <c r="AW111" s="3" t="s">
        <v>1563</v>
      </c>
      <c r="AX111" s="3" t="s">
        <v>1563</v>
      </c>
      <c r="AY111" s="3" t="s">
        <v>1564</v>
      </c>
      <c r="AZ111" s="3" t="s">
        <v>73</v>
      </c>
      <c r="BB111" s="3" t="s">
        <v>1565</v>
      </c>
      <c r="BC111" s="3" t="s">
        <v>1566</v>
      </c>
      <c r="BD111" s="3" t="s">
        <v>1567</v>
      </c>
    </row>
    <row r="112" spans="1:56" ht="47.25" customHeight="1" x14ac:dyDescent="0.25">
      <c r="A112" s="7" t="s">
        <v>58</v>
      </c>
      <c r="B112" s="2" t="s">
        <v>1568</v>
      </c>
      <c r="C112" s="2" t="s">
        <v>1569</v>
      </c>
      <c r="D112" s="2" t="s">
        <v>1570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60</v>
      </c>
      <c r="K112" s="2" t="s">
        <v>1571</v>
      </c>
      <c r="L112" s="2" t="s">
        <v>1572</v>
      </c>
      <c r="M112" s="3" t="s">
        <v>368</v>
      </c>
      <c r="O112" s="3" t="s">
        <v>63</v>
      </c>
      <c r="P112" s="3" t="s">
        <v>64</v>
      </c>
      <c r="Q112" s="2" t="s">
        <v>1573</v>
      </c>
      <c r="R112" s="3" t="s">
        <v>855</v>
      </c>
      <c r="S112" s="4">
        <v>6</v>
      </c>
      <c r="T112" s="4">
        <v>6</v>
      </c>
      <c r="U112" s="5" t="s">
        <v>1574</v>
      </c>
      <c r="V112" s="5" t="s">
        <v>1574</v>
      </c>
      <c r="W112" s="5" t="s">
        <v>1575</v>
      </c>
      <c r="X112" s="5" t="s">
        <v>1575</v>
      </c>
      <c r="Y112" s="4">
        <v>122</v>
      </c>
      <c r="Z112" s="4">
        <v>83</v>
      </c>
      <c r="AA112" s="4">
        <v>101</v>
      </c>
      <c r="AB112" s="4">
        <v>1</v>
      </c>
      <c r="AC112" s="4">
        <v>1</v>
      </c>
      <c r="AD112" s="4">
        <v>3</v>
      </c>
      <c r="AE112" s="4">
        <v>3</v>
      </c>
      <c r="AF112" s="4">
        <v>0</v>
      </c>
      <c r="AG112" s="4">
        <v>0</v>
      </c>
      <c r="AH112" s="4">
        <v>1</v>
      </c>
      <c r="AI112" s="4">
        <v>1</v>
      </c>
      <c r="AJ112" s="4">
        <v>3</v>
      </c>
      <c r="AK112" s="4">
        <v>3</v>
      </c>
      <c r="AL112" s="4">
        <v>0</v>
      </c>
      <c r="AM112" s="4">
        <v>0</v>
      </c>
      <c r="AN112" s="4">
        <v>0</v>
      </c>
      <c r="AO112" s="4">
        <v>0</v>
      </c>
      <c r="AP112" s="3" t="s">
        <v>58</v>
      </c>
      <c r="AQ112" s="3" t="s">
        <v>87</v>
      </c>
      <c r="AR112" s="6" t="str">
        <f>HYPERLINK("http://catalog.hathitrust.org/Record/003576423","HathiTrust Record")</f>
        <v>HathiTrust Record</v>
      </c>
      <c r="AS112" s="6" t="str">
        <f>HYPERLINK("https://creighton-primo.hosted.exlibrisgroup.com/primo-explore/search?tab=default_tab&amp;search_scope=EVERYTHING&amp;vid=01CRU&amp;lang=en_US&amp;offset=0&amp;query=any,contains,991004393559702656","Catalog Record")</f>
        <v>Catalog Record</v>
      </c>
      <c r="AT112" s="6" t="str">
        <f>HYPERLINK("http://www.worldcat.org/oclc/46432703","WorldCat Record")</f>
        <v>WorldCat Record</v>
      </c>
      <c r="AU112" s="3" t="s">
        <v>1576</v>
      </c>
      <c r="AV112" s="3" t="s">
        <v>1577</v>
      </c>
      <c r="AW112" s="3" t="s">
        <v>1578</v>
      </c>
      <c r="AX112" s="3" t="s">
        <v>1578</v>
      </c>
      <c r="AY112" s="3" t="s">
        <v>1579</v>
      </c>
      <c r="AZ112" s="3" t="s">
        <v>73</v>
      </c>
      <c r="BB112" s="3" t="s">
        <v>1580</v>
      </c>
      <c r="BC112" s="3" t="s">
        <v>1581</v>
      </c>
      <c r="BD112" s="3" t="s">
        <v>1582</v>
      </c>
    </row>
    <row r="113" spans="1:56" ht="47.25" customHeight="1" x14ac:dyDescent="0.25">
      <c r="A113" s="7" t="s">
        <v>58</v>
      </c>
      <c r="B113" s="2" t="s">
        <v>1583</v>
      </c>
      <c r="C113" s="2" t="s">
        <v>1584</v>
      </c>
      <c r="D113" s="2" t="s">
        <v>1585</v>
      </c>
      <c r="F113" s="3" t="s">
        <v>58</v>
      </c>
      <c r="G113" s="3" t="s">
        <v>59</v>
      </c>
      <c r="H113" s="3" t="s">
        <v>58</v>
      </c>
      <c r="I113" s="3" t="s">
        <v>58</v>
      </c>
      <c r="J113" s="3" t="s">
        <v>60</v>
      </c>
      <c r="K113" s="2" t="s">
        <v>1586</v>
      </c>
      <c r="L113" s="2" t="s">
        <v>1587</v>
      </c>
      <c r="M113" s="3" t="s">
        <v>1588</v>
      </c>
      <c r="O113" s="3" t="s">
        <v>1033</v>
      </c>
      <c r="P113" s="3" t="s">
        <v>1034</v>
      </c>
      <c r="Q113" s="2" t="s">
        <v>1589</v>
      </c>
      <c r="R113" s="3" t="s">
        <v>855</v>
      </c>
      <c r="S113" s="4">
        <v>4</v>
      </c>
      <c r="T113" s="4">
        <v>4</v>
      </c>
      <c r="U113" s="5" t="s">
        <v>1479</v>
      </c>
      <c r="V113" s="5" t="s">
        <v>1479</v>
      </c>
      <c r="W113" s="5" t="s">
        <v>240</v>
      </c>
      <c r="X113" s="5" t="s">
        <v>240</v>
      </c>
      <c r="Y113" s="4">
        <v>107</v>
      </c>
      <c r="Z113" s="4">
        <v>86</v>
      </c>
      <c r="AA113" s="4">
        <v>87</v>
      </c>
      <c r="AB113" s="4">
        <v>1</v>
      </c>
      <c r="AC113" s="4">
        <v>1</v>
      </c>
      <c r="AD113" s="4">
        <v>4</v>
      </c>
      <c r="AE113" s="4">
        <v>4</v>
      </c>
      <c r="AF113" s="4">
        <v>2</v>
      </c>
      <c r="AG113" s="4">
        <v>2</v>
      </c>
      <c r="AH113" s="4">
        <v>2</v>
      </c>
      <c r="AI113" s="4">
        <v>2</v>
      </c>
      <c r="AJ113" s="4">
        <v>2</v>
      </c>
      <c r="AK113" s="4">
        <v>2</v>
      </c>
      <c r="AL113" s="4">
        <v>0</v>
      </c>
      <c r="AM113" s="4">
        <v>0</v>
      </c>
      <c r="AN113" s="4">
        <v>0</v>
      </c>
      <c r="AO113" s="4">
        <v>0</v>
      </c>
      <c r="AP113" s="3" t="s">
        <v>58</v>
      </c>
      <c r="AQ113" s="3" t="s">
        <v>58</v>
      </c>
      <c r="AS113" s="6" t="str">
        <f>HYPERLINK("https://creighton-primo.hosted.exlibrisgroup.com/primo-explore/search?tab=default_tab&amp;search_scope=EVERYTHING&amp;vid=01CRU&amp;lang=en_US&amp;offset=0&amp;query=any,contains,991004938319702656","Catalog Record")</f>
        <v>Catalog Record</v>
      </c>
      <c r="AT113" s="6" t="str">
        <f>HYPERLINK("http://www.worldcat.org/oclc/6151523","WorldCat Record")</f>
        <v>WorldCat Record</v>
      </c>
      <c r="AU113" s="3" t="s">
        <v>1590</v>
      </c>
      <c r="AV113" s="3" t="s">
        <v>1591</v>
      </c>
      <c r="AW113" s="3" t="s">
        <v>1592</v>
      </c>
      <c r="AX113" s="3" t="s">
        <v>1592</v>
      </c>
      <c r="AY113" s="3" t="s">
        <v>1593</v>
      </c>
      <c r="AZ113" s="3" t="s">
        <v>73</v>
      </c>
      <c r="BC113" s="3" t="s">
        <v>1594</v>
      </c>
      <c r="BD113" s="3" t="s">
        <v>1595</v>
      </c>
    </row>
    <row r="114" spans="1:56" ht="47.25" customHeight="1" x14ac:dyDescent="0.25">
      <c r="A114" s="7" t="s">
        <v>58</v>
      </c>
      <c r="B114" s="2" t="s">
        <v>1596</v>
      </c>
      <c r="C114" s="2" t="s">
        <v>1597</v>
      </c>
      <c r="D114" s="2" t="s">
        <v>1598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K114" s="2" t="s">
        <v>1599</v>
      </c>
      <c r="L114" s="2" t="s">
        <v>1600</v>
      </c>
      <c r="M114" s="3" t="s">
        <v>1601</v>
      </c>
      <c r="O114" s="3" t="s">
        <v>63</v>
      </c>
      <c r="P114" s="3" t="s">
        <v>83</v>
      </c>
      <c r="Q114" s="2" t="s">
        <v>1602</v>
      </c>
      <c r="R114" s="3" t="s">
        <v>855</v>
      </c>
      <c r="S114" s="4">
        <v>14</v>
      </c>
      <c r="T114" s="4">
        <v>14</v>
      </c>
      <c r="U114" s="5" t="s">
        <v>1559</v>
      </c>
      <c r="V114" s="5" t="s">
        <v>1559</v>
      </c>
      <c r="W114" s="5" t="s">
        <v>1603</v>
      </c>
      <c r="X114" s="5" t="s">
        <v>1603</v>
      </c>
      <c r="Y114" s="4">
        <v>175</v>
      </c>
      <c r="Z114" s="4">
        <v>143</v>
      </c>
      <c r="AA114" s="4">
        <v>164</v>
      </c>
      <c r="AB114" s="4">
        <v>2</v>
      </c>
      <c r="AC114" s="4">
        <v>2</v>
      </c>
      <c r="AD114" s="4">
        <v>9</v>
      </c>
      <c r="AE114" s="4">
        <v>9</v>
      </c>
      <c r="AF114" s="4">
        <v>3</v>
      </c>
      <c r="AG114" s="4">
        <v>3</v>
      </c>
      <c r="AH114" s="4">
        <v>3</v>
      </c>
      <c r="AI114" s="4">
        <v>3</v>
      </c>
      <c r="AJ114" s="4">
        <v>7</v>
      </c>
      <c r="AK114" s="4">
        <v>7</v>
      </c>
      <c r="AL114" s="4">
        <v>1</v>
      </c>
      <c r="AM114" s="4">
        <v>1</v>
      </c>
      <c r="AN114" s="4">
        <v>0</v>
      </c>
      <c r="AO114" s="4">
        <v>0</v>
      </c>
      <c r="AP114" s="3" t="s">
        <v>58</v>
      </c>
      <c r="AQ114" s="3" t="s">
        <v>58</v>
      </c>
      <c r="AS114" s="6" t="str">
        <f>HYPERLINK("https://creighton-primo.hosted.exlibrisgroup.com/primo-explore/search?tab=default_tab&amp;search_scope=EVERYTHING&amp;vid=01CRU&amp;lang=en_US&amp;offset=0&amp;query=any,contains,991004393449702656","Catalog Record")</f>
        <v>Catalog Record</v>
      </c>
      <c r="AT114" s="6" t="str">
        <f>HYPERLINK("http://www.worldcat.org/oclc/46822305","WorldCat Record")</f>
        <v>WorldCat Record</v>
      </c>
      <c r="AU114" s="3" t="s">
        <v>1604</v>
      </c>
      <c r="AV114" s="3" t="s">
        <v>1605</v>
      </c>
      <c r="AW114" s="3" t="s">
        <v>1606</v>
      </c>
      <c r="AX114" s="3" t="s">
        <v>1606</v>
      </c>
      <c r="AY114" s="3" t="s">
        <v>1607</v>
      </c>
      <c r="AZ114" s="3" t="s">
        <v>73</v>
      </c>
      <c r="BB114" s="3" t="s">
        <v>1608</v>
      </c>
      <c r="BC114" s="3" t="s">
        <v>1609</v>
      </c>
      <c r="BD114" s="3" t="s">
        <v>1610</v>
      </c>
    </row>
    <row r="115" spans="1:56" ht="47.25" customHeight="1" x14ac:dyDescent="0.25">
      <c r="A115" s="7" t="s">
        <v>58</v>
      </c>
      <c r="B115" s="2" t="s">
        <v>1611</v>
      </c>
      <c r="C115" s="2" t="s">
        <v>1612</v>
      </c>
      <c r="D115" s="2" t="s">
        <v>1613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K115" s="2" t="s">
        <v>1614</v>
      </c>
      <c r="L115" s="2" t="s">
        <v>1615</v>
      </c>
      <c r="M115" s="3" t="s">
        <v>338</v>
      </c>
      <c r="O115" s="3" t="s">
        <v>63</v>
      </c>
      <c r="P115" s="3" t="s">
        <v>83</v>
      </c>
      <c r="Q115" s="2" t="s">
        <v>1616</v>
      </c>
      <c r="R115" s="3" t="s">
        <v>855</v>
      </c>
      <c r="S115" s="4">
        <v>1</v>
      </c>
      <c r="T115" s="4">
        <v>1</v>
      </c>
      <c r="U115" s="5" t="s">
        <v>571</v>
      </c>
      <c r="V115" s="5" t="s">
        <v>571</v>
      </c>
      <c r="W115" s="5" t="s">
        <v>571</v>
      </c>
      <c r="X115" s="5" t="s">
        <v>571</v>
      </c>
      <c r="Y115" s="4">
        <v>223</v>
      </c>
      <c r="Z115" s="4">
        <v>178</v>
      </c>
      <c r="AA115" s="4">
        <v>181</v>
      </c>
      <c r="AB115" s="4">
        <v>1</v>
      </c>
      <c r="AC115" s="4">
        <v>1</v>
      </c>
      <c r="AD115" s="4">
        <v>10</v>
      </c>
      <c r="AE115" s="4">
        <v>10</v>
      </c>
      <c r="AF115" s="4">
        <v>2</v>
      </c>
      <c r="AG115" s="4">
        <v>2</v>
      </c>
      <c r="AH115" s="4">
        <v>3</v>
      </c>
      <c r="AI115" s="4">
        <v>3</v>
      </c>
      <c r="AJ115" s="4">
        <v>7</v>
      </c>
      <c r="AK115" s="4">
        <v>7</v>
      </c>
      <c r="AL115" s="4">
        <v>0</v>
      </c>
      <c r="AM115" s="4">
        <v>0</v>
      </c>
      <c r="AN115" s="4">
        <v>0</v>
      </c>
      <c r="AO115" s="4">
        <v>0</v>
      </c>
      <c r="AP115" s="3" t="s">
        <v>58</v>
      </c>
      <c r="AQ115" s="3" t="s">
        <v>58</v>
      </c>
      <c r="AS115" s="6" t="str">
        <f>HYPERLINK("https://creighton-primo.hosted.exlibrisgroup.com/primo-explore/search?tab=default_tab&amp;search_scope=EVERYTHING&amp;vid=01CRU&amp;lang=en_US&amp;offset=0&amp;query=any,contains,991005296089702656","Catalog Record")</f>
        <v>Catalog Record</v>
      </c>
      <c r="AT115" s="6" t="str">
        <f>HYPERLINK("http://www.worldcat.org/oclc/14904132","WorldCat Record")</f>
        <v>WorldCat Record</v>
      </c>
      <c r="AU115" s="3" t="s">
        <v>1617</v>
      </c>
      <c r="AV115" s="3" t="s">
        <v>1618</v>
      </c>
      <c r="AW115" s="3" t="s">
        <v>1619</v>
      </c>
      <c r="AX115" s="3" t="s">
        <v>1619</v>
      </c>
      <c r="AY115" s="3" t="s">
        <v>1620</v>
      </c>
      <c r="AZ115" s="3" t="s">
        <v>73</v>
      </c>
      <c r="BB115" s="3" t="s">
        <v>1621</v>
      </c>
      <c r="BC115" s="3" t="s">
        <v>1622</v>
      </c>
      <c r="BD115" s="3" t="s">
        <v>1623</v>
      </c>
    </row>
    <row r="116" spans="1:56" ht="47.25" customHeight="1" x14ac:dyDescent="0.25">
      <c r="A116" s="7" t="s">
        <v>58</v>
      </c>
      <c r="B116" s="2" t="s">
        <v>1624</v>
      </c>
      <c r="C116" s="2" t="s">
        <v>1625</v>
      </c>
      <c r="D116" s="2" t="s">
        <v>1626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K116" s="2" t="s">
        <v>1627</v>
      </c>
      <c r="L116" s="2" t="s">
        <v>1628</v>
      </c>
      <c r="M116" s="3" t="s">
        <v>598</v>
      </c>
      <c r="O116" s="3" t="s">
        <v>1033</v>
      </c>
      <c r="P116" s="3" t="s">
        <v>1034</v>
      </c>
      <c r="Q116" s="2" t="s">
        <v>1629</v>
      </c>
      <c r="R116" s="3" t="s">
        <v>855</v>
      </c>
      <c r="S116" s="4">
        <v>1</v>
      </c>
      <c r="T116" s="4">
        <v>1</v>
      </c>
      <c r="U116" s="5" t="s">
        <v>1630</v>
      </c>
      <c r="V116" s="5" t="s">
        <v>1630</v>
      </c>
      <c r="W116" s="5" t="s">
        <v>1630</v>
      </c>
      <c r="X116" s="5" t="s">
        <v>1630</v>
      </c>
      <c r="Y116" s="4">
        <v>70</v>
      </c>
      <c r="Z116" s="4">
        <v>45</v>
      </c>
      <c r="AA116" s="4">
        <v>50</v>
      </c>
      <c r="AB116" s="4">
        <v>1</v>
      </c>
      <c r="AC116" s="4">
        <v>1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3" t="s">
        <v>58</v>
      </c>
      <c r="AQ116" s="3" t="s">
        <v>58</v>
      </c>
      <c r="AS116" s="6" t="str">
        <f>HYPERLINK("https://creighton-primo.hosted.exlibrisgroup.com/primo-explore/search?tab=default_tab&amp;search_scope=EVERYTHING&amp;vid=01CRU&amp;lang=en_US&amp;offset=0&amp;query=any,contains,991005192309702656","Catalog Record")</f>
        <v>Catalog Record</v>
      </c>
      <c r="AT116" s="6" t="str">
        <f>HYPERLINK("http://www.worldcat.org/oclc/21454345","WorldCat Record")</f>
        <v>WorldCat Record</v>
      </c>
      <c r="AU116" s="3" t="s">
        <v>1631</v>
      </c>
      <c r="AV116" s="3" t="s">
        <v>1632</v>
      </c>
      <c r="AW116" s="3" t="s">
        <v>1633</v>
      </c>
      <c r="AX116" s="3" t="s">
        <v>1633</v>
      </c>
      <c r="AY116" s="3" t="s">
        <v>1634</v>
      </c>
      <c r="AZ116" s="3" t="s">
        <v>73</v>
      </c>
      <c r="BB116" s="3" t="s">
        <v>1635</v>
      </c>
      <c r="BC116" s="3" t="s">
        <v>1636</v>
      </c>
      <c r="BD116" s="3" t="s">
        <v>1637</v>
      </c>
    </row>
    <row r="117" spans="1:56" ht="47.25" customHeight="1" x14ac:dyDescent="0.25">
      <c r="A117" s="7" t="s">
        <v>58</v>
      </c>
      <c r="B117" s="2" t="s">
        <v>1638</v>
      </c>
      <c r="C117" s="2" t="s">
        <v>1639</v>
      </c>
      <c r="D117" s="2" t="s">
        <v>1640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60</v>
      </c>
      <c r="L117" s="2" t="s">
        <v>1641</v>
      </c>
      <c r="M117" s="3" t="s">
        <v>368</v>
      </c>
      <c r="N117" s="2" t="s">
        <v>1642</v>
      </c>
      <c r="O117" s="3" t="s">
        <v>63</v>
      </c>
      <c r="P117" s="3" t="s">
        <v>83</v>
      </c>
      <c r="Q117" s="2" t="s">
        <v>1643</v>
      </c>
      <c r="R117" s="3" t="s">
        <v>855</v>
      </c>
      <c r="S117" s="4">
        <v>7</v>
      </c>
      <c r="T117" s="4">
        <v>7</v>
      </c>
      <c r="U117" s="5" t="s">
        <v>1644</v>
      </c>
      <c r="V117" s="5" t="s">
        <v>1644</v>
      </c>
      <c r="W117" s="5" t="s">
        <v>772</v>
      </c>
      <c r="X117" s="5" t="s">
        <v>772</v>
      </c>
      <c r="Y117" s="4">
        <v>82</v>
      </c>
      <c r="Z117" s="4">
        <v>57</v>
      </c>
      <c r="AA117" s="4">
        <v>502</v>
      </c>
      <c r="AB117" s="4">
        <v>1</v>
      </c>
      <c r="AC117" s="4">
        <v>2</v>
      </c>
      <c r="AD117" s="4">
        <v>1</v>
      </c>
      <c r="AE117" s="4">
        <v>29</v>
      </c>
      <c r="AF117" s="4">
        <v>1</v>
      </c>
      <c r="AG117" s="4">
        <v>15</v>
      </c>
      <c r="AH117" s="4">
        <v>0</v>
      </c>
      <c r="AI117" s="4">
        <v>7</v>
      </c>
      <c r="AJ117" s="4">
        <v>1</v>
      </c>
      <c r="AK117" s="4">
        <v>17</v>
      </c>
      <c r="AL117" s="4">
        <v>0</v>
      </c>
      <c r="AM117" s="4">
        <v>1</v>
      </c>
      <c r="AN117" s="4">
        <v>0</v>
      </c>
      <c r="AO117" s="4">
        <v>0</v>
      </c>
      <c r="AP117" s="3" t="s">
        <v>58</v>
      </c>
      <c r="AQ117" s="3" t="s">
        <v>58</v>
      </c>
      <c r="AS117" s="6" t="str">
        <f>HYPERLINK("https://creighton-primo.hosted.exlibrisgroup.com/primo-explore/search?tab=default_tab&amp;search_scope=EVERYTHING&amp;vid=01CRU&amp;lang=en_US&amp;offset=0&amp;query=any,contains,991004153349702656","Catalog Record")</f>
        <v>Catalog Record</v>
      </c>
      <c r="AT117" s="6" t="str">
        <f>HYPERLINK("http://www.worldcat.org/oclc/47132786","WorldCat Record")</f>
        <v>WorldCat Record</v>
      </c>
      <c r="AU117" s="3" t="s">
        <v>1645</v>
      </c>
      <c r="AV117" s="3" t="s">
        <v>1646</v>
      </c>
      <c r="AW117" s="3" t="s">
        <v>1647</v>
      </c>
      <c r="AX117" s="3" t="s">
        <v>1647</v>
      </c>
      <c r="AY117" s="3" t="s">
        <v>1648</v>
      </c>
      <c r="AZ117" s="3" t="s">
        <v>73</v>
      </c>
      <c r="BB117" s="3" t="s">
        <v>1649</v>
      </c>
      <c r="BC117" s="3" t="s">
        <v>1650</v>
      </c>
      <c r="BD117" s="3" t="s">
        <v>1651</v>
      </c>
    </row>
    <row r="118" spans="1:56" ht="47.25" customHeight="1" x14ac:dyDescent="0.25">
      <c r="A118" s="7" t="s">
        <v>58</v>
      </c>
      <c r="B118" s="2" t="s">
        <v>1652</v>
      </c>
      <c r="C118" s="2" t="s">
        <v>1653</v>
      </c>
      <c r="D118" s="2" t="s">
        <v>1654</v>
      </c>
      <c r="F118" s="3" t="s">
        <v>58</v>
      </c>
      <c r="G118" s="3" t="s">
        <v>59</v>
      </c>
      <c r="H118" s="3" t="s">
        <v>58</v>
      </c>
      <c r="I118" s="3" t="s">
        <v>58</v>
      </c>
      <c r="J118" s="3" t="s">
        <v>60</v>
      </c>
      <c r="K118" s="2" t="s">
        <v>1476</v>
      </c>
      <c r="L118" s="2" t="s">
        <v>1655</v>
      </c>
      <c r="M118" s="3" t="s">
        <v>522</v>
      </c>
      <c r="O118" s="3" t="s">
        <v>1033</v>
      </c>
      <c r="P118" s="3" t="s">
        <v>1034</v>
      </c>
      <c r="Q118" s="2" t="s">
        <v>1656</v>
      </c>
      <c r="R118" s="3" t="s">
        <v>855</v>
      </c>
      <c r="S118" s="4">
        <v>1</v>
      </c>
      <c r="T118" s="4">
        <v>1</v>
      </c>
      <c r="U118" s="5" t="s">
        <v>1657</v>
      </c>
      <c r="V118" s="5" t="s">
        <v>1657</v>
      </c>
      <c r="W118" s="5" t="s">
        <v>1658</v>
      </c>
      <c r="X118" s="5" t="s">
        <v>1658</v>
      </c>
      <c r="Y118" s="4">
        <v>112</v>
      </c>
      <c r="Z118" s="4">
        <v>65</v>
      </c>
      <c r="AA118" s="4">
        <v>69</v>
      </c>
      <c r="AB118" s="4">
        <v>1</v>
      </c>
      <c r="AC118" s="4">
        <v>1</v>
      </c>
      <c r="AD118" s="4">
        <v>2</v>
      </c>
      <c r="AE118" s="4">
        <v>2</v>
      </c>
      <c r="AF118" s="4">
        <v>1</v>
      </c>
      <c r="AG118" s="4">
        <v>1</v>
      </c>
      <c r="AH118" s="4">
        <v>1</v>
      </c>
      <c r="AI118" s="4">
        <v>1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3" t="s">
        <v>58</v>
      </c>
      <c r="AQ118" s="3" t="s">
        <v>58</v>
      </c>
      <c r="AS118" s="6" t="str">
        <f>HYPERLINK("https://creighton-primo.hosted.exlibrisgroup.com/primo-explore/search?tab=default_tab&amp;search_scope=EVERYTHING&amp;vid=01CRU&amp;lang=en_US&amp;offset=0&amp;query=any,contains,991004392839702656","Catalog Record")</f>
        <v>Catalog Record</v>
      </c>
      <c r="AT118" s="6" t="str">
        <f>HYPERLINK("http://www.worldcat.org/oclc/3273398","WorldCat Record")</f>
        <v>WorldCat Record</v>
      </c>
      <c r="AU118" s="3" t="s">
        <v>1659</v>
      </c>
      <c r="AV118" s="3" t="s">
        <v>1660</v>
      </c>
      <c r="AW118" s="3" t="s">
        <v>1661</v>
      </c>
      <c r="AX118" s="3" t="s">
        <v>1661</v>
      </c>
      <c r="AY118" s="3" t="s">
        <v>1662</v>
      </c>
      <c r="AZ118" s="3" t="s">
        <v>73</v>
      </c>
      <c r="BC118" s="3" t="s">
        <v>1663</v>
      </c>
      <c r="BD118" s="3" t="s">
        <v>1664</v>
      </c>
    </row>
    <row r="119" spans="1:56" ht="47.25" customHeight="1" x14ac:dyDescent="0.25">
      <c r="A119" s="7" t="s">
        <v>58</v>
      </c>
      <c r="B119" s="2" t="s">
        <v>1665</v>
      </c>
      <c r="C119" s="2" t="s">
        <v>1666</v>
      </c>
      <c r="D119" s="2" t="s">
        <v>1667</v>
      </c>
      <c r="F119" s="3" t="s">
        <v>58</v>
      </c>
      <c r="G119" s="3" t="s">
        <v>59</v>
      </c>
      <c r="H119" s="3" t="s">
        <v>58</v>
      </c>
      <c r="I119" s="3" t="s">
        <v>58</v>
      </c>
      <c r="J119" s="3" t="s">
        <v>60</v>
      </c>
      <c r="K119" s="2" t="s">
        <v>1668</v>
      </c>
      <c r="L119" s="2" t="s">
        <v>1669</v>
      </c>
      <c r="M119" s="3" t="s">
        <v>1670</v>
      </c>
      <c r="O119" s="3" t="s">
        <v>63</v>
      </c>
      <c r="P119" s="3" t="s">
        <v>839</v>
      </c>
      <c r="R119" s="3" t="s">
        <v>855</v>
      </c>
      <c r="S119" s="4">
        <v>4</v>
      </c>
      <c r="T119" s="4">
        <v>4</v>
      </c>
      <c r="U119" s="5" t="s">
        <v>1671</v>
      </c>
      <c r="V119" s="5" t="s">
        <v>1671</v>
      </c>
      <c r="W119" s="5" t="s">
        <v>1672</v>
      </c>
      <c r="X119" s="5" t="s">
        <v>1672</v>
      </c>
      <c r="Y119" s="4">
        <v>211</v>
      </c>
      <c r="Z119" s="4">
        <v>109</v>
      </c>
      <c r="AA119" s="4">
        <v>111</v>
      </c>
      <c r="AB119" s="4">
        <v>1</v>
      </c>
      <c r="AC119" s="4">
        <v>1</v>
      </c>
      <c r="AD119" s="4">
        <v>1</v>
      </c>
      <c r="AE119" s="4">
        <v>1</v>
      </c>
      <c r="AF119" s="4">
        <v>0</v>
      </c>
      <c r="AG119" s="4">
        <v>0</v>
      </c>
      <c r="AH119" s="4">
        <v>1</v>
      </c>
      <c r="AI119" s="4">
        <v>1</v>
      </c>
      <c r="AJ119" s="4">
        <v>1</v>
      </c>
      <c r="AK119" s="4">
        <v>1</v>
      </c>
      <c r="AL119" s="4">
        <v>0</v>
      </c>
      <c r="AM119" s="4">
        <v>0</v>
      </c>
      <c r="AN119" s="4">
        <v>0</v>
      </c>
      <c r="AO119" s="4">
        <v>0</v>
      </c>
      <c r="AP119" s="3" t="s">
        <v>58</v>
      </c>
      <c r="AQ119" s="3" t="s">
        <v>87</v>
      </c>
      <c r="AR119" s="6" t="str">
        <f>HYPERLINK("http://catalog.hathitrust.org/Record/000653276","HathiTrust Record")</f>
        <v>HathiTrust Record</v>
      </c>
      <c r="AS119" s="6" t="str">
        <f>HYPERLINK("https://creighton-primo.hosted.exlibrisgroup.com/primo-explore/search?tab=default_tab&amp;search_scope=EVERYTHING&amp;vid=01CRU&amp;lang=en_US&amp;offset=0&amp;query=any,contains,991000680189702656","Catalog Record")</f>
        <v>Catalog Record</v>
      </c>
      <c r="AT119" s="6" t="str">
        <f>HYPERLINK("http://www.worldcat.org/oclc/12379344","WorldCat Record")</f>
        <v>WorldCat Record</v>
      </c>
      <c r="AU119" s="3" t="s">
        <v>1673</v>
      </c>
      <c r="AV119" s="3" t="s">
        <v>1674</v>
      </c>
      <c r="AW119" s="3" t="s">
        <v>1675</v>
      </c>
      <c r="AX119" s="3" t="s">
        <v>1675</v>
      </c>
      <c r="AY119" s="3" t="s">
        <v>1676</v>
      </c>
      <c r="AZ119" s="3" t="s">
        <v>73</v>
      </c>
      <c r="BB119" s="3" t="s">
        <v>1677</v>
      </c>
      <c r="BC119" s="3" t="s">
        <v>1678</v>
      </c>
      <c r="BD119" s="3" t="s">
        <v>1679</v>
      </c>
    </row>
    <row r="120" spans="1:56" ht="47.25" customHeight="1" x14ac:dyDescent="0.25">
      <c r="A120" s="7" t="s">
        <v>58</v>
      </c>
      <c r="B120" s="2" t="s">
        <v>1680</v>
      </c>
      <c r="C120" s="2" t="s">
        <v>1681</v>
      </c>
      <c r="D120" s="2" t="s">
        <v>1682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K120" s="2" t="s">
        <v>1683</v>
      </c>
      <c r="L120" s="2" t="s">
        <v>1684</v>
      </c>
      <c r="M120" s="3" t="s">
        <v>1196</v>
      </c>
      <c r="O120" s="3" t="s">
        <v>1033</v>
      </c>
      <c r="P120" s="3" t="s">
        <v>1685</v>
      </c>
      <c r="R120" s="3" t="s">
        <v>855</v>
      </c>
      <c r="S120" s="4">
        <v>1</v>
      </c>
      <c r="T120" s="4">
        <v>1</v>
      </c>
      <c r="U120" s="5" t="s">
        <v>1686</v>
      </c>
      <c r="V120" s="5" t="s">
        <v>1686</v>
      </c>
      <c r="W120" s="5" t="s">
        <v>1687</v>
      </c>
      <c r="X120" s="5" t="s">
        <v>1687</v>
      </c>
      <c r="Y120" s="4">
        <v>128</v>
      </c>
      <c r="Z120" s="4">
        <v>68</v>
      </c>
      <c r="AA120" s="4">
        <v>73</v>
      </c>
      <c r="AB120" s="4">
        <v>1</v>
      </c>
      <c r="AC120" s="4">
        <v>1</v>
      </c>
      <c r="AD120" s="4">
        <v>4</v>
      </c>
      <c r="AE120" s="4">
        <v>4</v>
      </c>
      <c r="AF120" s="4">
        <v>1</v>
      </c>
      <c r="AG120" s="4">
        <v>1</v>
      </c>
      <c r="AH120" s="4">
        <v>2</v>
      </c>
      <c r="AI120" s="4">
        <v>2</v>
      </c>
      <c r="AJ120" s="4">
        <v>4</v>
      </c>
      <c r="AK120" s="4">
        <v>4</v>
      </c>
      <c r="AL120" s="4">
        <v>0</v>
      </c>
      <c r="AM120" s="4">
        <v>0</v>
      </c>
      <c r="AN120" s="4">
        <v>0</v>
      </c>
      <c r="AO120" s="4">
        <v>0</v>
      </c>
      <c r="AP120" s="3" t="s">
        <v>58</v>
      </c>
      <c r="AQ120" s="3" t="s">
        <v>58</v>
      </c>
      <c r="AS120" s="6" t="str">
        <f>HYPERLINK("https://creighton-primo.hosted.exlibrisgroup.com/primo-explore/search?tab=default_tab&amp;search_scope=EVERYTHING&amp;vid=01CRU&amp;lang=en_US&amp;offset=0&amp;query=any,contains,991000256259702656","Catalog Record")</f>
        <v>Catalog Record</v>
      </c>
      <c r="AT120" s="6" t="str">
        <f>HYPERLINK("http://www.worldcat.org/oclc/9772983","WorldCat Record")</f>
        <v>WorldCat Record</v>
      </c>
      <c r="AU120" s="3" t="s">
        <v>1688</v>
      </c>
      <c r="AV120" s="3" t="s">
        <v>1689</v>
      </c>
      <c r="AW120" s="3" t="s">
        <v>1690</v>
      </c>
      <c r="AX120" s="3" t="s">
        <v>1690</v>
      </c>
      <c r="AY120" s="3" t="s">
        <v>1691</v>
      </c>
      <c r="AZ120" s="3" t="s">
        <v>73</v>
      </c>
      <c r="BB120" s="3" t="s">
        <v>1692</v>
      </c>
      <c r="BC120" s="3" t="s">
        <v>1693</v>
      </c>
      <c r="BD120" s="3" t="s">
        <v>1694</v>
      </c>
    </row>
    <row r="121" spans="1:56" ht="47.25" customHeight="1" x14ac:dyDescent="0.25">
      <c r="A121" s="7" t="s">
        <v>58</v>
      </c>
      <c r="B121" s="2" t="s">
        <v>1695</v>
      </c>
      <c r="C121" s="2" t="s">
        <v>1696</v>
      </c>
      <c r="D121" s="2" t="s">
        <v>1697</v>
      </c>
      <c r="F121" s="3" t="s">
        <v>58</v>
      </c>
      <c r="G121" s="3" t="s">
        <v>59</v>
      </c>
      <c r="H121" s="3" t="s">
        <v>58</v>
      </c>
      <c r="I121" s="3" t="s">
        <v>58</v>
      </c>
      <c r="J121" s="3" t="s">
        <v>60</v>
      </c>
      <c r="K121" s="2" t="s">
        <v>1698</v>
      </c>
      <c r="L121" s="2" t="s">
        <v>1699</v>
      </c>
      <c r="M121" s="3" t="s">
        <v>1601</v>
      </c>
      <c r="O121" s="3" t="s">
        <v>1033</v>
      </c>
      <c r="P121" s="3" t="s">
        <v>1034</v>
      </c>
      <c r="Q121" s="2" t="s">
        <v>1700</v>
      </c>
      <c r="R121" s="3" t="s">
        <v>855</v>
      </c>
      <c r="S121" s="4">
        <v>1</v>
      </c>
      <c r="T121" s="4">
        <v>1</v>
      </c>
      <c r="U121" s="5" t="s">
        <v>1701</v>
      </c>
      <c r="V121" s="5" t="s">
        <v>1701</v>
      </c>
      <c r="W121" s="5" t="s">
        <v>1702</v>
      </c>
      <c r="X121" s="5" t="s">
        <v>1702</v>
      </c>
      <c r="Y121" s="4">
        <v>33</v>
      </c>
      <c r="Z121" s="4">
        <v>21</v>
      </c>
      <c r="AA121" s="4">
        <v>31</v>
      </c>
      <c r="AB121" s="4">
        <v>1</v>
      </c>
      <c r="AC121" s="4">
        <v>1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3" t="s">
        <v>58</v>
      </c>
      <c r="AQ121" s="3" t="s">
        <v>87</v>
      </c>
      <c r="AR121" s="6" t="str">
        <f>HYPERLINK("http://catalog.hathitrust.org/Record/004202922","HathiTrust Record")</f>
        <v>HathiTrust Record</v>
      </c>
      <c r="AS121" s="6" t="str">
        <f>HYPERLINK("https://creighton-primo.hosted.exlibrisgroup.com/primo-explore/search?tab=default_tab&amp;search_scope=EVERYTHING&amp;vid=01CRU&amp;lang=en_US&amp;offset=0&amp;query=any,contains,991003923999702656","Catalog Record")</f>
        <v>Catalog Record</v>
      </c>
      <c r="AT121" s="6" t="str">
        <f>HYPERLINK("http://www.worldcat.org/oclc/47927267","WorldCat Record")</f>
        <v>WorldCat Record</v>
      </c>
      <c r="AU121" s="3" t="s">
        <v>1703</v>
      </c>
      <c r="AV121" s="3" t="s">
        <v>1704</v>
      </c>
      <c r="AW121" s="3" t="s">
        <v>1705</v>
      </c>
      <c r="AX121" s="3" t="s">
        <v>1705</v>
      </c>
      <c r="AY121" s="3" t="s">
        <v>1706</v>
      </c>
      <c r="AZ121" s="3" t="s">
        <v>73</v>
      </c>
      <c r="BB121" s="3" t="s">
        <v>1707</v>
      </c>
      <c r="BC121" s="3" t="s">
        <v>1708</v>
      </c>
      <c r="BD121" s="3" t="s">
        <v>1709</v>
      </c>
    </row>
    <row r="122" spans="1:56" ht="47.25" customHeight="1" x14ac:dyDescent="0.25">
      <c r="A122" s="7" t="s">
        <v>58</v>
      </c>
      <c r="B122" s="2" t="s">
        <v>1710</v>
      </c>
      <c r="C122" s="2" t="s">
        <v>1711</v>
      </c>
      <c r="D122" s="2" t="s">
        <v>1712</v>
      </c>
      <c r="F122" s="3" t="s">
        <v>58</v>
      </c>
      <c r="G122" s="3" t="s">
        <v>59</v>
      </c>
      <c r="H122" s="3" t="s">
        <v>58</v>
      </c>
      <c r="I122" s="3" t="s">
        <v>58</v>
      </c>
      <c r="J122" s="3" t="s">
        <v>60</v>
      </c>
      <c r="K122" s="2" t="s">
        <v>1713</v>
      </c>
      <c r="L122" s="2" t="s">
        <v>1714</v>
      </c>
      <c r="M122" s="3" t="s">
        <v>785</v>
      </c>
      <c r="O122" s="3" t="s">
        <v>1033</v>
      </c>
      <c r="P122" s="3" t="s">
        <v>1034</v>
      </c>
      <c r="Q122" s="2" t="s">
        <v>1715</v>
      </c>
      <c r="R122" s="3" t="s">
        <v>855</v>
      </c>
      <c r="S122" s="4">
        <v>1</v>
      </c>
      <c r="T122" s="4">
        <v>1</v>
      </c>
      <c r="U122" s="5" t="s">
        <v>1716</v>
      </c>
      <c r="V122" s="5" t="s">
        <v>1716</v>
      </c>
      <c r="W122" s="5" t="s">
        <v>1717</v>
      </c>
      <c r="X122" s="5" t="s">
        <v>1717</v>
      </c>
      <c r="Y122" s="4">
        <v>55</v>
      </c>
      <c r="Z122" s="4">
        <v>27</v>
      </c>
      <c r="AA122" s="4">
        <v>27</v>
      </c>
      <c r="AB122" s="4">
        <v>1</v>
      </c>
      <c r="AC122" s="4">
        <v>1</v>
      </c>
      <c r="AD122" s="4">
        <v>1</v>
      </c>
      <c r="AE122" s="4">
        <v>1</v>
      </c>
      <c r="AF122" s="4">
        <v>1</v>
      </c>
      <c r="AG122" s="4">
        <v>1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3" t="s">
        <v>58</v>
      </c>
      <c r="AQ122" s="3" t="s">
        <v>58</v>
      </c>
      <c r="AS122" s="6" t="str">
        <f>HYPERLINK("https://creighton-primo.hosted.exlibrisgroup.com/primo-explore/search?tab=default_tab&amp;search_scope=EVERYTHING&amp;vid=01CRU&amp;lang=en_US&amp;offset=0&amp;query=any,contains,991002319899702656","Catalog Record")</f>
        <v>Catalog Record</v>
      </c>
      <c r="AT122" s="6" t="str">
        <f>HYPERLINK("http://www.worldcat.org/oclc/30087008","WorldCat Record")</f>
        <v>WorldCat Record</v>
      </c>
      <c r="AU122" s="3" t="s">
        <v>1718</v>
      </c>
      <c r="AV122" s="3" t="s">
        <v>1719</v>
      </c>
      <c r="AW122" s="3" t="s">
        <v>1720</v>
      </c>
      <c r="AX122" s="3" t="s">
        <v>1720</v>
      </c>
      <c r="AY122" s="3" t="s">
        <v>1721</v>
      </c>
      <c r="AZ122" s="3" t="s">
        <v>73</v>
      </c>
      <c r="BB122" s="3" t="s">
        <v>1722</v>
      </c>
      <c r="BC122" s="3" t="s">
        <v>1723</v>
      </c>
      <c r="BD122" s="3" t="s">
        <v>1724</v>
      </c>
    </row>
    <row r="123" spans="1:56" ht="47.25" customHeight="1" x14ac:dyDescent="0.25">
      <c r="A123" s="7" t="s">
        <v>58</v>
      </c>
      <c r="B123" s="2" t="s">
        <v>1725</v>
      </c>
      <c r="C123" s="2" t="s">
        <v>1726</v>
      </c>
      <c r="D123" s="2" t="s">
        <v>1727</v>
      </c>
      <c r="F123" s="3" t="s">
        <v>58</v>
      </c>
      <c r="G123" s="3" t="s">
        <v>59</v>
      </c>
      <c r="H123" s="3" t="s">
        <v>58</v>
      </c>
      <c r="I123" s="3" t="s">
        <v>58</v>
      </c>
      <c r="J123" s="3" t="s">
        <v>60</v>
      </c>
      <c r="L123" s="2" t="s">
        <v>1728</v>
      </c>
      <c r="M123" s="3" t="s">
        <v>494</v>
      </c>
      <c r="O123" s="3" t="s">
        <v>63</v>
      </c>
      <c r="P123" s="3" t="s">
        <v>310</v>
      </c>
      <c r="R123" s="3" t="s">
        <v>855</v>
      </c>
      <c r="S123" s="4">
        <v>6</v>
      </c>
      <c r="T123" s="4">
        <v>6</v>
      </c>
      <c r="U123" s="5" t="s">
        <v>1729</v>
      </c>
      <c r="V123" s="5" t="s">
        <v>1729</v>
      </c>
      <c r="W123" s="5" t="s">
        <v>1730</v>
      </c>
      <c r="X123" s="5" t="s">
        <v>1730</v>
      </c>
      <c r="Y123" s="4">
        <v>255</v>
      </c>
      <c r="Z123" s="4">
        <v>201</v>
      </c>
      <c r="AA123" s="4">
        <v>201</v>
      </c>
      <c r="AB123" s="4">
        <v>2</v>
      </c>
      <c r="AC123" s="4">
        <v>2</v>
      </c>
      <c r="AD123" s="4">
        <v>4</v>
      </c>
      <c r="AE123" s="4">
        <v>4</v>
      </c>
      <c r="AF123" s="4">
        <v>2</v>
      </c>
      <c r="AG123" s="4">
        <v>2</v>
      </c>
      <c r="AH123" s="4">
        <v>1</v>
      </c>
      <c r="AI123" s="4">
        <v>1</v>
      </c>
      <c r="AJ123" s="4">
        <v>0</v>
      </c>
      <c r="AK123" s="4">
        <v>0</v>
      </c>
      <c r="AL123" s="4">
        <v>1</v>
      </c>
      <c r="AM123" s="4">
        <v>1</v>
      </c>
      <c r="AN123" s="4">
        <v>0</v>
      </c>
      <c r="AO123" s="4">
        <v>0</v>
      </c>
      <c r="AP123" s="3" t="s">
        <v>58</v>
      </c>
      <c r="AQ123" s="3" t="s">
        <v>58</v>
      </c>
      <c r="AS123" s="6" t="str">
        <f>HYPERLINK("https://creighton-primo.hosted.exlibrisgroup.com/primo-explore/search?tab=default_tab&amp;search_scope=EVERYTHING&amp;vid=01CRU&amp;lang=en_US&amp;offset=0&amp;query=any,contains,991005087439702656","Catalog Record")</f>
        <v>Catalog Record</v>
      </c>
      <c r="AT123" s="6" t="str">
        <f>HYPERLINK("http://www.worldcat.org/oclc/48177297","WorldCat Record")</f>
        <v>WorldCat Record</v>
      </c>
      <c r="AU123" s="3" t="s">
        <v>1731</v>
      </c>
      <c r="AV123" s="3" t="s">
        <v>1732</v>
      </c>
      <c r="AW123" s="3" t="s">
        <v>1733</v>
      </c>
      <c r="AX123" s="3" t="s">
        <v>1733</v>
      </c>
      <c r="AY123" s="3" t="s">
        <v>1734</v>
      </c>
      <c r="AZ123" s="3" t="s">
        <v>73</v>
      </c>
      <c r="BB123" s="3" t="s">
        <v>1735</v>
      </c>
      <c r="BC123" s="3" t="s">
        <v>1736</v>
      </c>
      <c r="BD123" s="3" t="s">
        <v>1737</v>
      </c>
    </row>
    <row r="124" spans="1:56" ht="47.25" customHeight="1" x14ac:dyDescent="0.25">
      <c r="A124" s="7" t="s">
        <v>58</v>
      </c>
      <c r="B124" s="2" t="s">
        <v>1738</v>
      </c>
      <c r="C124" s="2" t="s">
        <v>1739</v>
      </c>
      <c r="D124" s="2" t="s">
        <v>1740</v>
      </c>
      <c r="F124" s="3" t="s">
        <v>58</v>
      </c>
      <c r="G124" s="3" t="s">
        <v>59</v>
      </c>
      <c r="H124" s="3" t="s">
        <v>58</v>
      </c>
      <c r="I124" s="3" t="s">
        <v>58</v>
      </c>
      <c r="J124" s="3" t="s">
        <v>60</v>
      </c>
      <c r="K124" s="2" t="s">
        <v>1741</v>
      </c>
      <c r="L124" s="2" t="s">
        <v>1742</v>
      </c>
      <c r="M124" s="3" t="s">
        <v>1313</v>
      </c>
      <c r="O124" s="3" t="s">
        <v>63</v>
      </c>
      <c r="P124" s="3" t="s">
        <v>310</v>
      </c>
      <c r="Q124" s="2" t="s">
        <v>1743</v>
      </c>
      <c r="R124" s="3" t="s">
        <v>855</v>
      </c>
      <c r="S124" s="4">
        <v>3</v>
      </c>
      <c r="T124" s="4">
        <v>3</v>
      </c>
      <c r="U124" s="5" t="s">
        <v>1744</v>
      </c>
      <c r="V124" s="5" t="s">
        <v>1744</v>
      </c>
      <c r="W124" s="5" t="s">
        <v>1745</v>
      </c>
      <c r="X124" s="5" t="s">
        <v>1745</v>
      </c>
      <c r="Y124" s="4">
        <v>101</v>
      </c>
      <c r="Z124" s="4">
        <v>91</v>
      </c>
      <c r="AA124" s="4">
        <v>184</v>
      </c>
      <c r="AB124" s="4">
        <v>1</v>
      </c>
      <c r="AC124" s="4">
        <v>2</v>
      </c>
      <c r="AD124" s="4">
        <v>1</v>
      </c>
      <c r="AE124" s="4">
        <v>4</v>
      </c>
      <c r="AF124" s="4">
        <v>0</v>
      </c>
      <c r="AG124" s="4">
        <v>0</v>
      </c>
      <c r="AH124" s="4">
        <v>1</v>
      </c>
      <c r="AI124" s="4">
        <v>2</v>
      </c>
      <c r="AJ124" s="4">
        <v>1</v>
      </c>
      <c r="AK124" s="4">
        <v>3</v>
      </c>
      <c r="AL124" s="4">
        <v>0</v>
      </c>
      <c r="AM124" s="4">
        <v>1</v>
      </c>
      <c r="AN124" s="4">
        <v>0</v>
      </c>
      <c r="AO124" s="4">
        <v>0</v>
      </c>
      <c r="AP124" s="3" t="s">
        <v>58</v>
      </c>
      <c r="AQ124" s="3" t="s">
        <v>87</v>
      </c>
      <c r="AR124" s="6" t="str">
        <f>HYPERLINK("http://catalog.hathitrust.org/Record/006954738","HathiTrust Record")</f>
        <v>HathiTrust Record</v>
      </c>
      <c r="AS124" s="6" t="str">
        <f>HYPERLINK("https://creighton-primo.hosted.exlibrisgroup.com/primo-explore/search?tab=default_tab&amp;search_scope=EVERYTHING&amp;vid=01CRU&amp;lang=en_US&amp;offset=0&amp;query=any,contains,991002178959702656","Catalog Record")</f>
        <v>Catalog Record</v>
      </c>
      <c r="AT124" s="6" t="str">
        <f>HYPERLINK("http://www.worldcat.org/oclc/28055295","WorldCat Record")</f>
        <v>WorldCat Record</v>
      </c>
      <c r="AU124" s="3" t="s">
        <v>1746</v>
      </c>
      <c r="AV124" s="3" t="s">
        <v>1747</v>
      </c>
      <c r="AW124" s="3" t="s">
        <v>1748</v>
      </c>
      <c r="AX124" s="3" t="s">
        <v>1748</v>
      </c>
      <c r="AY124" s="3" t="s">
        <v>1749</v>
      </c>
      <c r="AZ124" s="3" t="s">
        <v>73</v>
      </c>
      <c r="BB124" s="3" t="s">
        <v>1750</v>
      </c>
      <c r="BC124" s="3" t="s">
        <v>1751</v>
      </c>
      <c r="BD124" s="3" t="s">
        <v>1752</v>
      </c>
    </row>
    <row r="125" spans="1:56" ht="47.25" customHeight="1" x14ac:dyDescent="0.25">
      <c r="A125" s="7" t="s">
        <v>58</v>
      </c>
      <c r="B125" s="2" t="s">
        <v>1753</v>
      </c>
      <c r="C125" s="2" t="s">
        <v>1754</v>
      </c>
      <c r="D125" s="2" t="s">
        <v>1755</v>
      </c>
      <c r="F125" s="3" t="s">
        <v>58</v>
      </c>
      <c r="G125" s="3" t="s">
        <v>59</v>
      </c>
      <c r="H125" s="3" t="s">
        <v>58</v>
      </c>
      <c r="I125" s="3" t="s">
        <v>58</v>
      </c>
      <c r="J125" s="3" t="s">
        <v>60</v>
      </c>
      <c r="L125" s="2" t="s">
        <v>1756</v>
      </c>
      <c r="M125" s="3" t="s">
        <v>1313</v>
      </c>
      <c r="O125" s="3" t="s">
        <v>63</v>
      </c>
      <c r="P125" s="3" t="s">
        <v>267</v>
      </c>
      <c r="R125" s="3" t="s">
        <v>855</v>
      </c>
      <c r="S125" s="4">
        <v>1</v>
      </c>
      <c r="T125" s="4">
        <v>1</v>
      </c>
      <c r="U125" s="5" t="s">
        <v>1757</v>
      </c>
      <c r="V125" s="5" t="s">
        <v>1757</v>
      </c>
      <c r="W125" s="5" t="s">
        <v>1758</v>
      </c>
      <c r="X125" s="5" t="s">
        <v>1758</v>
      </c>
      <c r="Y125" s="4">
        <v>206</v>
      </c>
      <c r="Z125" s="4">
        <v>173</v>
      </c>
      <c r="AA125" s="4">
        <v>175</v>
      </c>
      <c r="AB125" s="4">
        <v>3</v>
      </c>
      <c r="AC125" s="4">
        <v>3</v>
      </c>
      <c r="AD125" s="4">
        <v>11</v>
      </c>
      <c r="AE125" s="4">
        <v>11</v>
      </c>
      <c r="AF125" s="4">
        <v>3</v>
      </c>
      <c r="AG125" s="4">
        <v>3</v>
      </c>
      <c r="AH125" s="4">
        <v>3</v>
      </c>
      <c r="AI125" s="4">
        <v>3</v>
      </c>
      <c r="AJ125" s="4">
        <v>7</v>
      </c>
      <c r="AK125" s="4">
        <v>7</v>
      </c>
      <c r="AL125" s="4">
        <v>2</v>
      </c>
      <c r="AM125" s="4">
        <v>2</v>
      </c>
      <c r="AN125" s="4">
        <v>0</v>
      </c>
      <c r="AO125" s="4">
        <v>0</v>
      </c>
      <c r="AP125" s="3" t="s">
        <v>58</v>
      </c>
      <c r="AQ125" s="3" t="s">
        <v>87</v>
      </c>
      <c r="AR125" s="6" t="str">
        <f>HYPERLINK("http://catalog.hathitrust.org/Record/002905374","HathiTrust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HYPERLINK("https://creighton-primo.hosted.exlibrisgroup.com/primo-explore/search?tab=default_tab&amp;search_scope=EVERYTHING&amp;vid=01CRU&amp;lang=en_US&amp;offset=0&amp;query=any,contains,991004762639702656","Catalog Record")</f>
        <v>Catalog Record</v>
      </c>
      <c r="AT125" s="6" t="str">
        <f>HYPERLINK("http://www.worldcat.org/oclc/29428852","WorldCat Record")</f>
        <v>WorldCat Record</v>
      </c>
      <c r="AU125" s="3" t="s">
        <v>1759</v>
      </c>
      <c r="AV125" s="3" t="s">
        <v>1760</v>
      </c>
      <c r="AW125" s="3" t="s">
        <v>1761</v>
      </c>
      <c r="AX125" s="3" t="s">
        <v>1761</v>
      </c>
      <c r="AY125" s="3" t="s">
        <v>1762</v>
      </c>
      <c r="AZ125" s="3" t="s">
        <v>73</v>
      </c>
      <c r="BB125" s="3" t="s">
        <v>1763</v>
      </c>
      <c r="BC125" s="3" t="s">
        <v>1764</v>
      </c>
      <c r="BD125" s="3" t="s">
        <v>1765</v>
      </c>
    </row>
    <row r="126" spans="1:56" ht="47.25" customHeight="1" x14ac:dyDescent="0.25">
      <c r="A126" s="7" t="s">
        <v>58</v>
      </c>
      <c r="B126" s="2" t="s">
        <v>1766</v>
      </c>
      <c r="C126" s="2" t="s">
        <v>1767</v>
      </c>
      <c r="D126" s="2" t="s">
        <v>1768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60</v>
      </c>
      <c r="K126" s="2" t="s">
        <v>1769</v>
      </c>
      <c r="L126" s="2" t="s">
        <v>1770</v>
      </c>
      <c r="M126" s="3" t="s">
        <v>1771</v>
      </c>
      <c r="O126" s="3" t="s">
        <v>63</v>
      </c>
      <c r="P126" s="3" t="s">
        <v>1772</v>
      </c>
      <c r="Q126" s="2" t="s">
        <v>1773</v>
      </c>
      <c r="R126" s="3" t="s">
        <v>855</v>
      </c>
      <c r="S126" s="4">
        <v>1</v>
      </c>
      <c r="T126" s="4">
        <v>1</v>
      </c>
      <c r="U126" s="5" t="s">
        <v>1774</v>
      </c>
      <c r="V126" s="5" t="s">
        <v>1774</v>
      </c>
      <c r="W126" s="5" t="s">
        <v>1774</v>
      </c>
      <c r="X126" s="5" t="s">
        <v>1774</v>
      </c>
      <c r="Y126" s="4">
        <v>187</v>
      </c>
      <c r="Z126" s="4">
        <v>170</v>
      </c>
      <c r="AA126" s="4">
        <v>176</v>
      </c>
      <c r="AB126" s="4">
        <v>2</v>
      </c>
      <c r="AC126" s="4">
        <v>2</v>
      </c>
      <c r="AD126" s="4">
        <v>12</v>
      </c>
      <c r="AE126" s="4">
        <v>13</v>
      </c>
      <c r="AF126" s="4">
        <v>4</v>
      </c>
      <c r="AG126" s="4">
        <v>4</v>
      </c>
      <c r="AH126" s="4">
        <v>3</v>
      </c>
      <c r="AI126" s="4">
        <v>4</v>
      </c>
      <c r="AJ126" s="4">
        <v>8</v>
      </c>
      <c r="AK126" s="4">
        <v>9</v>
      </c>
      <c r="AL126" s="4">
        <v>1</v>
      </c>
      <c r="AM126" s="4">
        <v>1</v>
      </c>
      <c r="AN126" s="4">
        <v>0</v>
      </c>
      <c r="AO126" s="4">
        <v>0</v>
      </c>
      <c r="AP126" s="3" t="s">
        <v>58</v>
      </c>
      <c r="AQ126" s="3" t="s">
        <v>87</v>
      </c>
      <c r="AR126" s="6" t="str">
        <f>HYPERLINK("http://catalog.hathitrust.org/Record/004977489","HathiTrust Record")</f>
        <v>HathiTrust Record</v>
      </c>
      <c r="AS126" s="6" t="str">
        <f>HYPERLINK("https://creighton-primo.hosted.exlibrisgroup.com/primo-explore/search?tab=default_tab&amp;search_scope=EVERYTHING&amp;vid=01CRU&amp;lang=en_US&amp;offset=0&amp;query=any,contains,991004381469702656","Catalog Record")</f>
        <v>Catalog Record</v>
      </c>
      <c r="AT126" s="6" t="str">
        <f>HYPERLINK("http://www.worldcat.org/oclc/55603072","WorldCat Record")</f>
        <v>WorldCat Record</v>
      </c>
      <c r="AU126" s="3" t="s">
        <v>1775</v>
      </c>
      <c r="AV126" s="3" t="s">
        <v>1776</v>
      </c>
      <c r="AW126" s="3" t="s">
        <v>1777</v>
      </c>
      <c r="AX126" s="3" t="s">
        <v>1777</v>
      </c>
      <c r="AY126" s="3" t="s">
        <v>1778</v>
      </c>
      <c r="AZ126" s="3" t="s">
        <v>73</v>
      </c>
      <c r="BB126" s="3" t="s">
        <v>1779</v>
      </c>
      <c r="BC126" s="3" t="s">
        <v>1780</v>
      </c>
      <c r="BD126" s="3" t="s">
        <v>1781</v>
      </c>
    </row>
    <row r="127" spans="1:56" ht="47.25" customHeight="1" x14ac:dyDescent="0.25">
      <c r="A127" s="7" t="s">
        <v>58</v>
      </c>
      <c r="B127" s="2" t="s">
        <v>1782</v>
      </c>
      <c r="C127" s="2" t="s">
        <v>1783</v>
      </c>
      <c r="D127" s="2" t="s">
        <v>1784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60</v>
      </c>
      <c r="K127" s="2" t="s">
        <v>1785</v>
      </c>
      <c r="L127" s="2" t="s">
        <v>1786</v>
      </c>
      <c r="M127" s="3" t="s">
        <v>1670</v>
      </c>
      <c r="N127" s="2" t="s">
        <v>1787</v>
      </c>
      <c r="O127" s="3" t="s">
        <v>1327</v>
      </c>
      <c r="P127" s="3" t="s">
        <v>1328</v>
      </c>
      <c r="Q127" s="2" t="s">
        <v>1788</v>
      </c>
      <c r="R127" s="3" t="s">
        <v>855</v>
      </c>
      <c r="S127" s="4">
        <v>1</v>
      </c>
      <c r="T127" s="4">
        <v>1</v>
      </c>
      <c r="U127" s="5" t="s">
        <v>1789</v>
      </c>
      <c r="V127" s="5" t="s">
        <v>1789</v>
      </c>
      <c r="W127" s="5" t="s">
        <v>1790</v>
      </c>
      <c r="X127" s="5" t="s">
        <v>1790</v>
      </c>
      <c r="Y127" s="4">
        <v>69</v>
      </c>
      <c r="Z127" s="4">
        <v>61</v>
      </c>
      <c r="AA127" s="4">
        <v>91</v>
      </c>
      <c r="AB127" s="4">
        <v>1</v>
      </c>
      <c r="AC127" s="4">
        <v>1</v>
      </c>
      <c r="AD127" s="4">
        <v>1</v>
      </c>
      <c r="AE127" s="4">
        <v>2</v>
      </c>
      <c r="AF127" s="4">
        <v>0</v>
      </c>
      <c r="AG127" s="4">
        <v>0</v>
      </c>
      <c r="AH127" s="4">
        <v>1</v>
      </c>
      <c r="AI127" s="4">
        <v>2</v>
      </c>
      <c r="AJ127" s="4">
        <v>0</v>
      </c>
      <c r="AK127" s="4">
        <v>1</v>
      </c>
      <c r="AL127" s="4">
        <v>0</v>
      </c>
      <c r="AM127" s="4">
        <v>0</v>
      </c>
      <c r="AN127" s="4">
        <v>0</v>
      </c>
      <c r="AO127" s="4">
        <v>0</v>
      </c>
      <c r="AP127" s="3" t="s">
        <v>58</v>
      </c>
      <c r="AQ127" s="3" t="s">
        <v>87</v>
      </c>
      <c r="AR127" s="6" t="str">
        <f>HYPERLINK("http://catalog.hathitrust.org/Record/000479011","HathiTrust Record")</f>
        <v>HathiTrust Record</v>
      </c>
      <c r="AS127" s="6" t="str">
        <f>HYPERLINK("https://creighton-primo.hosted.exlibrisgroup.com/primo-explore/search?tab=default_tab&amp;search_scope=EVERYTHING&amp;vid=01CRU&amp;lang=en_US&amp;offset=0&amp;query=any,contains,991000587739702656","Catalog Record")</f>
        <v>Catalog Record</v>
      </c>
      <c r="AT127" s="6" t="str">
        <f>HYPERLINK("http://www.worldcat.org/oclc/11777953","WorldCat Record")</f>
        <v>WorldCat Record</v>
      </c>
      <c r="AU127" s="3" t="s">
        <v>1791</v>
      </c>
      <c r="AV127" s="3" t="s">
        <v>1792</v>
      </c>
      <c r="AW127" s="3" t="s">
        <v>1793</v>
      </c>
      <c r="AX127" s="3" t="s">
        <v>1793</v>
      </c>
      <c r="AY127" s="3" t="s">
        <v>1794</v>
      </c>
      <c r="AZ127" s="3" t="s">
        <v>73</v>
      </c>
      <c r="BB127" s="3" t="s">
        <v>1795</v>
      </c>
      <c r="BC127" s="3" t="s">
        <v>1796</v>
      </c>
      <c r="BD127" s="3" t="s">
        <v>1797</v>
      </c>
    </row>
    <row r="128" spans="1:56" ht="47.25" customHeight="1" x14ac:dyDescent="0.25">
      <c r="A128" s="7" t="s">
        <v>58</v>
      </c>
      <c r="B128" s="2" t="s">
        <v>1798</v>
      </c>
      <c r="C128" s="2" t="s">
        <v>1799</v>
      </c>
      <c r="D128" s="2" t="s">
        <v>1800</v>
      </c>
      <c r="F128" s="3" t="s">
        <v>58</v>
      </c>
      <c r="G128" s="3" t="s">
        <v>59</v>
      </c>
      <c r="H128" s="3" t="s">
        <v>58</v>
      </c>
      <c r="I128" s="3" t="s">
        <v>58</v>
      </c>
      <c r="J128" s="3" t="s">
        <v>60</v>
      </c>
      <c r="K128" s="2" t="s">
        <v>1801</v>
      </c>
      <c r="L128" s="2" t="s">
        <v>1802</v>
      </c>
      <c r="M128" s="3" t="s">
        <v>382</v>
      </c>
      <c r="N128" s="2" t="s">
        <v>1803</v>
      </c>
      <c r="O128" s="3" t="s">
        <v>1327</v>
      </c>
      <c r="P128" s="3" t="s">
        <v>1328</v>
      </c>
      <c r="Q128" s="2" t="s">
        <v>1804</v>
      </c>
      <c r="R128" s="3" t="s">
        <v>855</v>
      </c>
      <c r="S128" s="4">
        <v>2</v>
      </c>
      <c r="T128" s="4">
        <v>2</v>
      </c>
      <c r="U128" s="5" t="s">
        <v>1805</v>
      </c>
      <c r="V128" s="5" t="s">
        <v>1805</v>
      </c>
      <c r="W128" s="5" t="s">
        <v>1806</v>
      </c>
      <c r="X128" s="5" t="s">
        <v>1806</v>
      </c>
      <c r="Y128" s="4">
        <v>122</v>
      </c>
      <c r="Z128" s="4">
        <v>98</v>
      </c>
      <c r="AA128" s="4">
        <v>167</v>
      </c>
      <c r="AB128" s="4">
        <v>2</v>
      </c>
      <c r="AC128" s="4">
        <v>2</v>
      </c>
      <c r="AD128" s="4">
        <v>3</v>
      </c>
      <c r="AE128" s="4">
        <v>7</v>
      </c>
      <c r="AF128" s="4">
        <v>0</v>
      </c>
      <c r="AG128" s="4">
        <v>1</v>
      </c>
      <c r="AH128" s="4">
        <v>1</v>
      </c>
      <c r="AI128" s="4">
        <v>4</v>
      </c>
      <c r="AJ128" s="4">
        <v>1</v>
      </c>
      <c r="AK128" s="4">
        <v>3</v>
      </c>
      <c r="AL128" s="4">
        <v>1</v>
      </c>
      <c r="AM128" s="4">
        <v>1</v>
      </c>
      <c r="AN128" s="4">
        <v>0</v>
      </c>
      <c r="AO128" s="4">
        <v>0</v>
      </c>
      <c r="AP128" s="3" t="s">
        <v>58</v>
      </c>
      <c r="AQ128" s="3" t="s">
        <v>87</v>
      </c>
      <c r="AR128" s="6" t="str">
        <f>HYPERLINK("http://catalog.hathitrust.org/Record/000595948","HathiTrust Record")</f>
        <v>HathiTrust Record</v>
      </c>
      <c r="AS128" s="6" t="str">
        <f>HYPERLINK("https://creighton-primo.hosted.exlibrisgroup.com/primo-explore/search?tab=default_tab&amp;search_scope=EVERYTHING&amp;vid=01CRU&amp;lang=en_US&amp;offset=0&amp;query=any,contains,991001006019702656","Catalog Record")</f>
        <v>Catalog Record</v>
      </c>
      <c r="AT128" s="6" t="str">
        <f>HYPERLINK("http://www.worldcat.org/oclc/15243108","WorldCat Record")</f>
        <v>WorldCat Record</v>
      </c>
      <c r="AU128" s="3" t="s">
        <v>1807</v>
      </c>
      <c r="AV128" s="3" t="s">
        <v>1808</v>
      </c>
      <c r="AW128" s="3" t="s">
        <v>1809</v>
      </c>
      <c r="AX128" s="3" t="s">
        <v>1809</v>
      </c>
      <c r="AY128" s="3" t="s">
        <v>1810</v>
      </c>
      <c r="AZ128" s="3" t="s">
        <v>73</v>
      </c>
      <c r="BB128" s="3" t="s">
        <v>1811</v>
      </c>
      <c r="BC128" s="3" t="s">
        <v>1812</v>
      </c>
      <c r="BD128" s="3" t="s">
        <v>1813</v>
      </c>
    </row>
    <row r="129" spans="1:56" ht="47.25" customHeight="1" x14ac:dyDescent="0.25">
      <c r="A129" s="7" t="s">
        <v>58</v>
      </c>
      <c r="B129" s="2" t="s">
        <v>1814</v>
      </c>
      <c r="C129" s="2" t="s">
        <v>1815</v>
      </c>
      <c r="D129" s="2" t="s">
        <v>1816</v>
      </c>
      <c r="F129" s="3" t="s">
        <v>58</v>
      </c>
      <c r="G129" s="3" t="s">
        <v>59</v>
      </c>
      <c r="H129" s="3" t="s">
        <v>58</v>
      </c>
      <c r="I129" s="3" t="s">
        <v>58</v>
      </c>
      <c r="J129" s="3" t="s">
        <v>60</v>
      </c>
      <c r="L129" s="2" t="s">
        <v>1817</v>
      </c>
      <c r="M129" s="3" t="s">
        <v>382</v>
      </c>
      <c r="O129" s="3" t="s">
        <v>63</v>
      </c>
      <c r="P129" s="3" t="s">
        <v>1818</v>
      </c>
      <c r="R129" s="3" t="s">
        <v>855</v>
      </c>
      <c r="S129" s="4">
        <v>3</v>
      </c>
      <c r="T129" s="4">
        <v>3</v>
      </c>
      <c r="U129" s="5" t="s">
        <v>1819</v>
      </c>
      <c r="V129" s="5" t="s">
        <v>1819</v>
      </c>
      <c r="W129" s="5" t="s">
        <v>1820</v>
      </c>
      <c r="X129" s="5" t="s">
        <v>1820</v>
      </c>
      <c r="Y129" s="4">
        <v>86</v>
      </c>
      <c r="Z129" s="4">
        <v>61</v>
      </c>
      <c r="AA129" s="4">
        <v>63</v>
      </c>
      <c r="AB129" s="4">
        <v>1</v>
      </c>
      <c r="AC129" s="4">
        <v>1</v>
      </c>
      <c r="AD129" s="4">
        <v>3</v>
      </c>
      <c r="AE129" s="4">
        <v>3</v>
      </c>
      <c r="AF129" s="4">
        <v>0</v>
      </c>
      <c r="AG129" s="4">
        <v>0</v>
      </c>
      <c r="AH129" s="4">
        <v>2</v>
      </c>
      <c r="AI129" s="4">
        <v>2</v>
      </c>
      <c r="AJ129" s="4">
        <v>2</v>
      </c>
      <c r="AK129" s="4">
        <v>2</v>
      </c>
      <c r="AL129" s="4">
        <v>0</v>
      </c>
      <c r="AM129" s="4">
        <v>0</v>
      </c>
      <c r="AN129" s="4">
        <v>0</v>
      </c>
      <c r="AO129" s="4">
        <v>0</v>
      </c>
      <c r="AP129" s="3" t="s">
        <v>58</v>
      </c>
      <c r="AQ129" s="3" t="s">
        <v>87</v>
      </c>
      <c r="AR129" s="6" t="str">
        <f>HYPERLINK("http://catalog.hathitrust.org/Record/002885863","HathiTrust Record")</f>
        <v>HathiTrust Record</v>
      </c>
      <c r="AS129" s="6" t="str">
        <f>HYPERLINK("https://creighton-primo.hosted.exlibrisgroup.com/primo-explore/search?tab=default_tab&amp;search_scope=EVERYTHING&amp;vid=01CRU&amp;lang=en_US&amp;offset=0&amp;query=any,contains,991004489599702656","Catalog Record")</f>
        <v>Catalog Record</v>
      </c>
      <c r="AT129" s="6" t="str">
        <f>HYPERLINK("http://www.worldcat.org/oclc/25022813","WorldCat Record")</f>
        <v>WorldCat Record</v>
      </c>
      <c r="AU129" s="3" t="s">
        <v>1821</v>
      </c>
      <c r="AV129" s="3" t="s">
        <v>1822</v>
      </c>
      <c r="AW129" s="3" t="s">
        <v>1823</v>
      </c>
      <c r="AX129" s="3" t="s">
        <v>1823</v>
      </c>
      <c r="AY129" s="3" t="s">
        <v>1824</v>
      </c>
      <c r="AZ129" s="3" t="s">
        <v>73</v>
      </c>
      <c r="BB129" s="3" t="s">
        <v>1825</v>
      </c>
      <c r="BC129" s="3" t="s">
        <v>1826</v>
      </c>
      <c r="BD129" s="3" t="s">
        <v>1827</v>
      </c>
    </row>
    <row r="130" spans="1:56" ht="47.25" customHeight="1" x14ac:dyDescent="0.25">
      <c r="A130" s="7" t="s">
        <v>58</v>
      </c>
      <c r="B130" s="2" t="s">
        <v>1828</v>
      </c>
      <c r="C130" s="2" t="s">
        <v>1829</v>
      </c>
      <c r="D130" s="2" t="s">
        <v>1830</v>
      </c>
      <c r="F130" s="3" t="s">
        <v>58</v>
      </c>
      <c r="G130" s="3" t="s">
        <v>59</v>
      </c>
      <c r="H130" s="3" t="s">
        <v>58</v>
      </c>
      <c r="I130" s="3" t="s">
        <v>58</v>
      </c>
      <c r="J130" s="3" t="s">
        <v>60</v>
      </c>
      <c r="K130" s="2" t="s">
        <v>1831</v>
      </c>
      <c r="L130" s="2" t="s">
        <v>1832</v>
      </c>
      <c r="M130" s="3" t="s">
        <v>208</v>
      </c>
      <c r="O130" s="3" t="s">
        <v>1327</v>
      </c>
      <c r="P130" s="3" t="s">
        <v>1833</v>
      </c>
      <c r="Q130" s="2" t="s">
        <v>1834</v>
      </c>
      <c r="R130" s="3" t="s">
        <v>855</v>
      </c>
      <c r="S130" s="4">
        <v>1</v>
      </c>
      <c r="T130" s="4">
        <v>1</v>
      </c>
      <c r="U130" s="5" t="s">
        <v>1835</v>
      </c>
      <c r="V130" s="5" t="s">
        <v>1835</v>
      </c>
      <c r="W130" s="5" t="s">
        <v>1836</v>
      </c>
      <c r="X130" s="5" t="s">
        <v>1836</v>
      </c>
      <c r="Y130" s="4">
        <v>35</v>
      </c>
      <c r="Z130" s="4">
        <v>28</v>
      </c>
      <c r="AA130" s="4">
        <v>35</v>
      </c>
      <c r="AB130" s="4">
        <v>1</v>
      </c>
      <c r="AC130" s="4">
        <v>1</v>
      </c>
      <c r="AD130" s="4">
        <v>1</v>
      </c>
      <c r="AE130" s="4">
        <v>1</v>
      </c>
      <c r="AF130" s="4">
        <v>0</v>
      </c>
      <c r="AG130" s="4">
        <v>0</v>
      </c>
      <c r="AH130" s="4">
        <v>0</v>
      </c>
      <c r="AI130" s="4">
        <v>0</v>
      </c>
      <c r="AJ130" s="4">
        <v>1</v>
      </c>
      <c r="AK130" s="4">
        <v>1</v>
      </c>
      <c r="AL130" s="4">
        <v>0</v>
      </c>
      <c r="AM130" s="4">
        <v>0</v>
      </c>
      <c r="AN130" s="4">
        <v>0</v>
      </c>
      <c r="AO130" s="4">
        <v>0</v>
      </c>
      <c r="AP130" s="3" t="s">
        <v>58</v>
      </c>
      <c r="AQ130" s="3" t="s">
        <v>87</v>
      </c>
      <c r="AR130" s="6" t="str">
        <f>HYPERLINK("http://catalog.hathitrust.org/Record/101004529","HathiTrust Record")</f>
        <v>HathiTrust Record</v>
      </c>
      <c r="AS130" s="6" t="str">
        <f>HYPERLINK("https://creighton-primo.hosted.exlibrisgroup.com/primo-explore/search?tab=default_tab&amp;search_scope=EVERYTHING&amp;vid=01CRU&amp;lang=en_US&amp;offset=0&amp;query=any,contains,991003810819702656","Catalog Record")</f>
        <v>Catalog Record</v>
      </c>
      <c r="AT130" s="6" t="str">
        <f>HYPERLINK("http://www.worldcat.org/oclc/16648551","WorldCat Record")</f>
        <v>WorldCat Record</v>
      </c>
      <c r="AU130" s="3" t="s">
        <v>1837</v>
      </c>
      <c r="AV130" s="3" t="s">
        <v>1838</v>
      </c>
      <c r="AW130" s="3" t="s">
        <v>1839</v>
      </c>
      <c r="AX130" s="3" t="s">
        <v>1839</v>
      </c>
      <c r="AY130" s="3" t="s">
        <v>1840</v>
      </c>
      <c r="AZ130" s="3" t="s">
        <v>73</v>
      </c>
      <c r="BB130" s="3" t="s">
        <v>1841</v>
      </c>
      <c r="BC130" s="3" t="s">
        <v>1842</v>
      </c>
      <c r="BD130" s="3" t="s">
        <v>1843</v>
      </c>
    </row>
    <row r="131" spans="1:56" ht="47.25" customHeight="1" x14ac:dyDescent="0.25">
      <c r="A131" s="7" t="s">
        <v>58</v>
      </c>
      <c r="B131" s="2" t="s">
        <v>1844</v>
      </c>
      <c r="C131" s="2" t="s">
        <v>1845</v>
      </c>
      <c r="D131" s="2" t="s">
        <v>1846</v>
      </c>
      <c r="F131" s="3" t="s">
        <v>58</v>
      </c>
      <c r="G131" s="3" t="s">
        <v>59</v>
      </c>
      <c r="H131" s="3" t="s">
        <v>58</v>
      </c>
      <c r="I131" s="3" t="s">
        <v>58</v>
      </c>
      <c r="J131" s="3" t="s">
        <v>60</v>
      </c>
      <c r="K131" s="2" t="s">
        <v>1847</v>
      </c>
      <c r="M131" s="3" t="s">
        <v>253</v>
      </c>
      <c r="O131" s="3" t="s">
        <v>63</v>
      </c>
      <c r="P131" s="3" t="s">
        <v>148</v>
      </c>
      <c r="Q131" s="2" t="s">
        <v>1848</v>
      </c>
      <c r="R131" s="3" t="s">
        <v>855</v>
      </c>
      <c r="S131" s="4">
        <v>4</v>
      </c>
      <c r="T131" s="4">
        <v>4</v>
      </c>
      <c r="U131" s="5" t="s">
        <v>1849</v>
      </c>
      <c r="V131" s="5" t="s">
        <v>1849</v>
      </c>
      <c r="W131" s="5" t="s">
        <v>1850</v>
      </c>
      <c r="X131" s="5" t="s">
        <v>1850</v>
      </c>
      <c r="Y131" s="4">
        <v>17</v>
      </c>
      <c r="Z131" s="4">
        <v>17</v>
      </c>
      <c r="AA131" s="4">
        <v>26</v>
      </c>
      <c r="AB131" s="4">
        <v>1</v>
      </c>
      <c r="AC131" s="4">
        <v>1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3" t="s">
        <v>58</v>
      </c>
      <c r="AQ131" s="3" t="s">
        <v>58</v>
      </c>
      <c r="AS131" s="6" t="str">
        <f>HYPERLINK("https://creighton-primo.hosted.exlibrisgroup.com/primo-explore/search?tab=default_tab&amp;search_scope=EVERYTHING&amp;vid=01CRU&amp;lang=en_US&amp;offset=0&amp;query=any,contains,991003660989702656","Catalog Record")</f>
        <v>Catalog Record</v>
      </c>
      <c r="AT131" s="6" t="str">
        <f>HYPERLINK("http://www.worldcat.org/oclc/1269301","WorldCat Record")</f>
        <v>WorldCat Record</v>
      </c>
      <c r="AU131" s="3" t="s">
        <v>1851</v>
      </c>
      <c r="AV131" s="3" t="s">
        <v>1852</v>
      </c>
      <c r="AW131" s="3" t="s">
        <v>1853</v>
      </c>
      <c r="AX131" s="3" t="s">
        <v>1853</v>
      </c>
      <c r="AY131" s="3" t="s">
        <v>1854</v>
      </c>
      <c r="AZ131" s="3" t="s">
        <v>73</v>
      </c>
      <c r="BC131" s="3" t="s">
        <v>1855</v>
      </c>
      <c r="BD131" s="3" t="s">
        <v>1856</v>
      </c>
    </row>
    <row r="132" spans="1:56" ht="47.25" customHeight="1" x14ac:dyDescent="0.25">
      <c r="A132" s="7" t="s">
        <v>58</v>
      </c>
      <c r="B132" s="2" t="s">
        <v>1857</v>
      </c>
      <c r="C132" s="2" t="s">
        <v>1858</v>
      </c>
      <c r="D132" s="2" t="s">
        <v>1859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K132" s="2" t="s">
        <v>1860</v>
      </c>
      <c r="L132" s="2" t="s">
        <v>1861</v>
      </c>
      <c r="M132" s="3" t="s">
        <v>1504</v>
      </c>
      <c r="O132" s="3" t="s">
        <v>63</v>
      </c>
      <c r="P132" s="3" t="s">
        <v>83</v>
      </c>
      <c r="R132" s="3" t="s">
        <v>855</v>
      </c>
      <c r="S132" s="4">
        <v>3</v>
      </c>
      <c r="T132" s="4">
        <v>3</v>
      </c>
      <c r="U132" s="5" t="s">
        <v>1862</v>
      </c>
      <c r="V132" s="5" t="s">
        <v>1862</v>
      </c>
      <c r="W132" s="5" t="s">
        <v>1863</v>
      </c>
      <c r="X132" s="5" t="s">
        <v>1863</v>
      </c>
      <c r="Y132" s="4">
        <v>447</v>
      </c>
      <c r="Z132" s="4">
        <v>401</v>
      </c>
      <c r="AA132" s="4">
        <v>446</v>
      </c>
      <c r="AB132" s="4">
        <v>5</v>
      </c>
      <c r="AC132" s="4">
        <v>5</v>
      </c>
      <c r="AD132" s="4">
        <v>19</v>
      </c>
      <c r="AE132" s="4">
        <v>22</v>
      </c>
      <c r="AF132" s="4">
        <v>6</v>
      </c>
      <c r="AG132" s="4">
        <v>7</v>
      </c>
      <c r="AH132" s="4">
        <v>5</v>
      </c>
      <c r="AI132" s="4">
        <v>6</v>
      </c>
      <c r="AJ132" s="4">
        <v>11</v>
      </c>
      <c r="AK132" s="4">
        <v>13</v>
      </c>
      <c r="AL132" s="4">
        <v>4</v>
      </c>
      <c r="AM132" s="4">
        <v>4</v>
      </c>
      <c r="AN132" s="4">
        <v>0</v>
      </c>
      <c r="AO132" s="4">
        <v>0</v>
      </c>
      <c r="AP132" s="3" t="s">
        <v>58</v>
      </c>
      <c r="AQ132" s="3" t="s">
        <v>87</v>
      </c>
      <c r="AR132" s="6" t="str">
        <f>HYPERLINK("http://catalog.hathitrust.org/Record/001056056","HathiTrust Record")</f>
        <v>HathiTrust Record</v>
      </c>
      <c r="AS132" s="6" t="str">
        <f>HYPERLINK("https://creighton-primo.hosted.exlibrisgroup.com/primo-explore/search?tab=default_tab&amp;search_scope=EVERYTHING&amp;vid=01CRU&amp;lang=en_US&amp;offset=0&amp;query=any,contains,991001039909702656","Catalog Record")</f>
        <v>Catalog Record</v>
      </c>
      <c r="AT132" s="6" t="str">
        <f>HYPERLINK("http://www.worldcat.org/oclc/175711","WorldCat Record")</f>
        <v>WorldCat Record</v>
      </c>
      <c r="AU132" s="3" t="s">
        <v>1864</v>
      </c>
      <c r="AV132" s="3" t="s">
        <v>1865</v>
      </c>
      <c r="AW132" s="3" t="s">
        <v>1866</v>
      </c>
      <c r="AX132" s="3" t="s">
        <v>1866</v>
      </c>
      <c r="AY132" s="3" t="s">
        <v>1867</v>
      </c>
      <c r="AZ132" s="3" t="s">
        <v>73</v>
      </c>
      <c r="BC132" s="3" t="s">
        <v>1868</v>
      </c>
      <c r="BD132" s="3" t="s">
        <v>1869</v>
      </c>
    </row>
    <row r="133" spans="1:56" ht="47.25" customHeight="1" x14ac:dyDescent="0.25">
      <c r="A133" s="7" t="s">
        <v>58</v>
      </c>
      <c r="B133" s="2" t="s">
        <v>1870</v>
      </c>
      <c r="C133" s="2" t="s">
        <v>1871</v>
      </c>
      <c r="D133" s="2" t="s">
        <v>1872</v>
      </c>
      <c r="F133" s="3" t="s">
        <v>58</v>
      </c>
      <c r="G133" s="3" t="s">
        <v>59</v>
      </c>
      <c r="H133" s="3" t="s">
        <v>87</v>
      </c>
      <c r="I133" s="3" t="s">
        <v>58</v>
      </c>
      <c r="J133" s="3" t="s">
        <v>60</v>
      </c>
      <c r="K133" s="2" t="s">
        <v>1128</v>
      </c>
      <c r="L133" s="2" t="s">
        <v>1873</v>
      </c>
      <c r="M133" s="3" t="s">
        <v>1504</v>
      </c>
      <c r="N133" s="2" t="s">
        <v>1874</v>
      </c>
      <c r="O133" s="3" t="s">
        <v>63</v>
      </c>
      <c r="P133" s="3" t="s">
        <v>83</v>
      </c>
      <c r="Q133" s="2" t="s">
        <v>1875</v>
      </c>
      <c r="R133" s="3" t="s">
        <v>855</v>
      </c>
      <c r="S133" s="4">
        <v>1</v>
      </c>
      <c r="T133" s="4">
        <v>9</v>
      </c>
      <c r="V133" s="5" t="s">
        <v>1876</v>
      </c>
      <c r="W133" s="5" t="s">
        <v>1863</v>
      </c>
      <c r="X133" s="5" t="s">
        <v>1863</v>
      </c>
      <c r="Y133" s="4">
        <v>321</v>
      </c>
      <c r="Z133" s="4">
        <v>291</v>
      </c>
      <c r="AA133" s="4">
        <v>553</v>
      </c>
      <c r="AB133" s="4">
        <v>3</v>
      </c>
      <c r="AC133" s="4">
        <v>5</v>
      </c>
      <c r="AD133" s="4">
        <v>13</v>
      </c>
      <c r="AE133" s="4">
        <v>28</v>
      </c>
      <c r="AF133" s="4">
        <v>4</v>
      </c>
      <c r="AG133" s="4">
        <v>10</v>
      </c>
      <c r="AH133" s="4">
        <v>4</v>
      </c>
      <c r="AI133" s="4">
        <v>8</v>
      </c>
      <c r="AJ133" s="4">
        <v>6</v>
      </c>
      <c r="AK133" s="4">
        <v>15</v>
      </c>
      <c r="AL133" s="4">
        <v>2</v>
      </c>
      <c r="AM133" s="4">
        <v>4</v>
      </c>
      <c r="AN133" s="4">
        <v>0</v>
      </c>
      <c r="AO133" s="4">
        <v>0</v>
      </c>
      <c r="AP133" s="3" t="s">
        <v>58</v>
      </c>
      <c r="AQ133" s="3" t="s">
        <v>87</v>
      </c>
      <c r="AR133" s="6" t="str">
        <f>HYPERLINK("http://catalog.hathitrust.org/Record/007127647","HathiTrust Record")</f>
        <v>HathiTrust Record</v>
      </c>
      <c r="AS133" s="6" t="str">
        <f>HYPERLINK("https://creighton-primo.hosted.exlibrisgroup.com/primo-explore/search?tab=default_tab&amp;search_scope=EVERYTHING&amp;vid=01CRU&amp;lang=en_US&amp;offset=0&amp;query=any,contains,991001924839702656","Catalog Record")</f>
        <v>Catalog Record</v>
      </c>
      <c r="AT133" s="6" t="str">
        <f>HYPERLINK("http://www.worldcat.org/oclc/246082","WorldCat Record")</f>
        <v>WorldCat Record</v>
      </c>
      <c r="AU133" s="3" t="s">
        <v>1877</v>
      </c>
      <c r="AV133" s="3" t="s">
        <v>1878</v>
      </c>
      <c r="AW133" s="3" t="s">
        <v>1879</v>
      </c>
      <c r="AX133" s="3" t="s">
        <v>1879</v>
      </c>
      <c r="AY133" s="3" t="s">
        <v>1880</v>
      </c>
      <c r="AZ133" s="3" t="s">
        <v>73</v>
      </c>
      <c r="BC133" s="3" t="s">
        <v>1881</v>
      </c>
      <c r="BD133" s="3" t="s">
        <v>1882</v>
      </c>
    </row>
    <row r="134" spans="1:56" ht="47.25" customHeight="1" x14ac:dyDescent="0.25">
      <c r="A134" s="7" t="s">
        <v>58</v>
      </c>
      <c r="B134" s="2" t="s">
        <v>1870</v>
      </c>
      <c r="C134" s="2" t="s">
        <v>1871</v>
      </c>
      <c r="D134" s="2" t="s">
        <v>1872</v>
      </c>
      <c r="F134" s="3" t="s">
        <v>58</v>
      </c>
      <c r="G134" s="3" t="s">
        <v>59</v>
      </c>
      <c r="H134" s="3" t="s">
        <v>87</v>
      </c>
      <c r="I134" s="3" t="s">
        <v>58</v>
      </c>
      <c r="J134" s="3" t="s">
        <v>60</v>
      </c>
      <c r="K134" s="2" t="s">
        <v>1128</v>
      </c>
      <c r="L134" s="2" t="s">
        <v>1873</v>
      </c>
      <c r="M134" s="3" t="s">
        <v>1504</v>
      </c>
      <c r="N134" s="2" t="s">
        <v>1874</v>
      </c>
      <c r="O134" s="3" t="s">
        <v>63</v>
      </c>
      <c r="P134" s="3" t="s">
        <v>83</v>
      </c>
      <c r="Q134" s="2" t="s">
        <v>1875</v>
      </c>
      <c r="R134" s="3" t="s">
        <v>855</v>
      </c>
      <c r="S134" s="4">
        <v>8</v>
      </c>
      <c r="T134" s="4">
        <v>9</v>
      </c>
      <c r="U134" s="5" t="s">
        <v>1876</v>
      </c>
      <c r="V134" s="5" t="s">
        <v>1876</v>
      </c>
      <c r="W134" s="5" t="s">
        <v>1883</v>
      </c>
      <c r="X134" s="5" t="s">
        <v>1863</v>
      </c>
      <c r="Y134" s="4">
        <v>321</v>
      </c>
      <c r="Z134" s="4">
        <v>291</v>
      </c>
      <c r="AA134" s="4">
        <v>553</v>
      </c>
      <c r="AB134" s="4">
        <v>3</v>
      </c>
      <c r="AC134" s="4">
        <v>5</v>
      </c>
      <c r="AD134" s="4">
        <v>13</v>
      </c>
      <c r="AE134" s="4">
        <v>28</v>
      </c>
      <c r="AF134" s="4">
        <v>4</v>
      </c>
      <c r="AG134" s="4">
        <v>10</v>
      </c>
      <c r="AH134" s="4">
        <v>4</v>
      </c>
      <c r="AI134" s="4">
        <v>8</v>
      </c>
      <c r="AJ134" s="4">
        <v>6</v>
      </c>
      <c r="AK134" s="4">
        <v>15</v>
      </c>
      <c r="AL134" s="4">
        <v>2</v>
      </c>
      <c r="AM134" s="4">
        <v>4</v>
      </c>
      <c r="AN134" s="4">
        <v>0</v>
      </c>
      <c r="AO134" s="4">
        <v>0</v>
      </c>
      <c r="AP134" s="3" t="s">
        <v>58</v>
      </c>
      <c r="AQ134" s="3" t="s">
        <v>87</v>
      </c>
      <c r="AR134" s="6" t="str">
        <f>HYPERLINK("http://catalog.hathitrust.org/Record/007127647","HathiTrust Record")</f>
        <v>HathiTrust Record</v>
      </c>
      <c r="AS134" s="6" t="str">
        <f>HYPERLINK("https://creighton-primo.hosted.exlibrisgroup.com/primo-explore/search?tab=default_tab&amp;search_scope=EVERYTHING&amp;vid=01CRU&amp;lang=en_US&amp;offset=0&amp;query=any,contains,991001924839702656","Catalog Record")</f>
        <v>Catalog Record</v>
      </c>
      <c r="AT134" s="6" t="str">
        <f>HYPERLINK("http://www.worldcat.org/oclc/246082","WorldCat Record")</f>
        <v>WorldCat Record</v>
      </c>
      <c r="AU134" s="3" t="s">
        <v>1877</v>
      </c>
      <c r="AV134" s="3" t="s">
        <v>1878</v>
      </c>
      <c r="AW134" s="3" t="s">
        <v>1879</v>
      </c>
      <c r="AX134" s="3" t="s">
        <v>1879</v>
      </c>
      <c r="AY134" s="3" t="s">
        <v>1880</v>
      </c>
      <c r="AZ134" s="3" t="s">
        <v>73</v>
      </c>
      <c r="BC134" s="3" t="s">
        <v>1884</v>
      </c>
      <c r="BD134" s="3" t="s">
        <v>1885</v>
      </c>
    </row>
    <row r="135" spans="1:56" ht="47.25" customHeight="1" x14ac:dyDescent="0.25">
      <c r="A135" s="7" t="s">
        <v>58</v>
      </c>
      <c r="B135" s="2" t="s">
        <v>1886</v>
      </c>
      <c r="C135" s="2" t="s">
        <v>1887</v>
      </c>
      <c r="D135" s="2" t="s">
        <v>1888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L135" s="2" t="s">
        <v>1889</v>
      </c>
      <c r="M135" s="3" t="s">
        <v>1890</v>
      </c>
      <c r="O135" s="3" t="s">
        <v>63</v>
      </c>
      <c r="P135" s="3" t="s">
        <v>83</v>
      </c>
      <c r="R135" s="3" t="s">
        <v>855</v>
      </c>
      <c r="S135" s="4">
        <v>4</v>
      </c>
      <c r="T135" s="4">
        <v>4</v>
      </c>
      <c r="U135" s="5" t="s">
        <v>1891</v>
      </c>
      <c r="V135" s="5" t="s">
        <v>1891</v>
      </c>
      <c r="W135" s="5" t="s">
        <v>1892</v>
      </c>
      <c r="X135" s="5" t="s">
        <v>1892</v>
      </c>
      <c r="Y135" s="4">
        <v>334</v>
      </c>
      <c r="Z135" s="4">
        <v>320</v>
      </c>
      <c r="AA135" s="4">
        <v>322</v>
      </c>
      <c r="AB135" s="4">
        <v>3</v>
      </c>
      <c r="AC135" s="4">
        <v>3</v>
      </c>
      <c r="AD135" s="4">
        <v>14</v>
      </c>
      <c r="AE135" s="4">
        <v>14</v>
      </c>
      <c r="AF135" s="4">
        <v>3</v>
      </c>
      <c r="AG135" s="4">
        <v>3</v>
      </c>
      <c r="AH135" s="4">
        <v>5</v>
      </c>
      <c r="AI135" s="4">
        <v>5</v>
      </c>
      <c r="AJ135" s="4">
        <v>9</v>
      </c>
      <c r="AK135" s="4">
        <v>9</v>
      </c>
      <c r="AL135" s="4">
        <v>2</v>
      </c>
      <c r="AM135" s="4">
        <v>2</v>
      </c>
      <c r="AN135" s="4">
        <v>0</v>
      </c>
      <c r="AO135" s="4">
        <v>0</v>
      </c>
      <c r="AP135" s="3" t="s">
        <v>58</v>
      </c>
      <c r="AQ135" s="3" t="s">
        <v>58</v>
      </c>
      <c r="AS135" s="6" t="str">
        <f>HYPERLINK("https://creighton-primo.hosted.exlibrisgroup.com/primo-explore/search?tab=default_tab&amp;search_scope=EVERYTHING&amp;vid=01CRU&amp;lang=en_US&amp;offset=0&amp;query=any,contains,991005017209702656","Catalog Record")</f>
        <v>Catalog Record</v>
      </c>
      <c r="AT135" s="6" t="str">
        <f>HYPERLINK("http://www.worldcat.org/oclc/6627301","WorldCat Record")</f>
        <v>WorldCat Record</v>
      </c>
      <c r="AU135" s="3" t="s">
        <v>1893</v>
      </c>
      <c r="AV135" s="3" t="s">
        <v>1894</v>
      </c>
      <c r="AW135" s="3" t="s">
        <v>1895</v>
      </c>
      <c r="AX135" s="3" t="s">
        <v>1895</v>
      </c>
      <c r="AY135" s="3" t="s">
        <v>1896</v>
      </c>
      <c r="AZ135" s="3" t="s">
        <v>73</v>
      </c>
      <c r="BB135" s="3" t="s">
        <v>1897</v>
      </c>
      <c r="BC135" s="3" t="s">
        <v>1898</v>
      </c>
      <c r="BD135" s="3" t="s">
        <v>1899</v>
      </c>
    </row>
    <row r="136" spans="1:56" ht="47.25" customHeight="1" x14ac:dyDescent="0.25">
      <c r="A136" s="7" t="s">
        <v>58</v>
      </c>
      <c r="B136" s="2" t="s">
        <v>1900</v>
      </c>
      <c r="C136" s="2" t="s">
        <v>1901</v>
      </c>
      <c r="D136" s="2" t="s">
        <v>1902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K136" s="2" t="s">
        <v>1903</v>
      </c>
      <c r="L136" s="2" t="s">
        <v>1904</v>
      </c>
      <c r="M136" s="3" t="s">
        <v>1210</v>
      </c>
      <c r="N136" s="2" t="s">
        <v>838</v>
      </c>
      <c r="O136" s="3" t="s">
        <v>63</v>
      </c>
      <c r="P136" s="3" t="s">
        <v>740</v>
      </c>
      <c r="R136" s="3" t="s">
        <v>855</v>
      </c>
      <c r="S136" s="4">
        <v>1</v>
      </c>
      <c r="T136" s="4">
        <v>1</v>
      </c>
      <c r="U136" s="5" t="s">
        <v>1905</v>
      </c>
      <c r="V136" s="5" t="s">
        <v>1905</v>
      </c>
      <c r="W136" s="5" t="s">
        <v>1506</v>
      </c>
      <c r="X136" s="5" t="s">
        <v>1506</v>
      </c>
      <c r="Y136" s="4">
        <v>311</v>
      </c>
      <c r="Z136" s="4">
        <v>256</v>
      </c>
      <c r="AA136" s="4">
        <v>261</v>
      </c>
      <c r="AB136" s="4">
        <v>3</v>
      </c>
      <c r="AC136" s="4">
        <v>3</v>
      </c>
      <c r="AD136" s="4">
        <v>11</v>
      </c>
      <c r="AE136" s="4">
        <v>11</v>
      </c>
      <c r="AF136" s="4">
        <v>2</v>
      </c>
      <c r="AG136" s="4">
        <v>2</v>
      </c>
      <c r="AH136" s="4">
        <v>4</v>
      </c>
      <c r="AI136" s="4">
        <v>4</v>
      </c>
      <c r="AJ136" s="4">
        <v>6</v>
      </c>
      <c r="AK136" s="4">
        <v>6</v>
      </c>
      <c r="AL136" s="4">
        <v>2</v>
      </c>
      <c r="AM136" s="4">
        <v>2</v>
      </c>
      <c r="AN136" s="4">
        <v>0</v>
      </c>
      <c r="AO136" s="4">
        <v>0</v>
      </c>
      <c r="AP136" s="3" t="s">
        <v>58</v>
      </c>
      <c r="AQ136" s="3" t="s">
        <v>58</v>
      </c>
      <c r="AS136" s="6" t="str">
        <f>HYPERLINK("https://creighton-primo.hosted.exlibrisgroup.com/primo-explore/search?tab=default_tab&amp;search_scope=EVERYTHING&amp;vid=01CRU&amp;lang=en_US&amp;offset=0&amp;query=any,contains,991002440099702656","Catalog Record")</f>
        <v>Catalog Record</v>
      </c>
      <c r="AT136" s="6" t="str">
        <f>HYPERLINK("http://www.worldcat.org/oclc/31814748","WorldCat Record")</f>
        <v>WorldCat Record</v>
      </c>
      <c r="AU136" s="3" t="s">
        <v>1906</v>
      </c>
      <c r="AV136" s="3" t="s">
        <v>1907</v>
      </c>
      <c r="AW136" s="3" t="s">
        <v>1908</v>
      </c>
      <c r="AX136" s="3" t="s">
        <v>1908</v>
      </c>
      <c r="AY136" s="3" t="s">
        <v>1909</v>
      </c>
      <c r="AZ136" s="3" t="s">
        <v>73</v>
      </c>
      <c r="BB136" s="3" t="s">
        <v>1910</v>
      </c>
      <c r="BC136" s="3" t="s">
        <v>1911</v>
      </c>
      <c r="BD136" s="3" t="s">
        <v>1912</v>
      </c>
    </row>
    <row r="137" spans="1:56" ht="47.25" customHeight="1" x14ac:dyDescent="0.25">
      <c r="A137" s="7" t="s">
        <v>58</v>
      </c>
      <c r="B137" s="2" t="s">
        <v>1913</v>
      </c>
      <c r="C137" s="2" t="s">
        <v>1914</v>
      </c>
      <c r="D137" s="2" t="s">
        <v>1915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K137" s="2" t="s">
        <v>1916</v>
      </c>
      <c r="L137" s="2" t="s">
        <v>1917</v>
      </c>
      <c r="M137" s="3" t="s">
        <v>368</v>
      </c>
      <c r="N137" s="2" t="s">
        <v>1918</v>
      </c>
      <c r="O137" s="3" t="s">
        <v>1327</v>
      </c>
      <c r="P137" s="3" t="s">
        <v>1919</v>
      </c>
      <c r="Q137" s="2" t="s">
        <v>1920</v>
      </c>
      <c r="R137" s="3" t="s">
        <v>855</v>
      </c>
      <c r="S137" s="4">
        <v>1</v>
      </c>
      <c r="T137" s="4">
        <v>1</v>
      </c>
      <c r="U137" s="5" t="s">
        <v>1921</v>
      </c>
      <c r="V137" s="5" t="s">
        <v>1921</v>
      </c>
      <c r="W137" s="5" t="s">
        <v>1922</v>
      </c>
      <c r="X137" s="5" t="s">
        <v>1922</v>
      </c>
      <c r="Y137" s="4">
        <v>2</v>
      </c>
      <c r="Z137" s="4">
        <v>2</v>
      </c>
      <c r="AA137" s="4">
        <v>3</v>
      </c>
      <c r="AB137" s="4">
        <v>1</v>
      </c>
      <c r="AC137" s="4">
        <v>1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3" t="s">
        <v>58</v>
      </c>
      <c r="AQ137" s="3" t="s">
        <v>58</v>
      </c>
      <c r="AS137" s="6" t="str">
        <f>HYPERLINK("https://creighton-primo.hosted.exlibrisgroup.com/primo-explore/search?tab=default_tab&amp;search_scope=EVERYTHING&amp;vid=01CRU&amp;lang=en_US&amp;offset=0&amp;query=any,contains,991004720629702656","Catalog Record")</f>
        <v>Catalog Record</v>
      </c>
      <c r="AT137" s="6" t="str">
        <f>HYPERLINK("http://www.worldcat.org/oclc/62751826","WorldCat Record")</f>
        <v>WorldCat Record</v>
      </c>
      <c r="AU137" s="3" t="s">
        <v>1923</v>
      </c>
      <c r="AV137" s="3" t="s">
        <v>1924</v>
      </c>
      <c r="AW137" s="3" t="s">
        <v>1925</v>
      </c>
      <c r="AX137" s="3" t="s">
        <v>1925</v>
      </c>
      <c r="AY137" s="3" t="s">
        <v>1926</v>
      </c>
      <c r="AZ137" s="3" t="s">
        <v>73</v>
      </c>
      <c r="BB137" s="3" t="s">
        <v>1927</v>
      </c>
      <c r="BC137" s="3" t="s">
        <v>1928</v>
      </c>
      <c r="BD137" s="3" t="s">
        <v>1929</v>
      </c>
    </row>
    <row r="138" spans="1:56" ht="47.25" customHeight="1" x14ac:dyDescent="0.25">
      <c r="A138" s="7" t="s">
        <v>58</v>
      </c>
      <c r="B138" s="2" t="s">
        <v>1930</v>
      </c>
      <c r="C138" s="2" t="s">
        <v>1931</v>
      </c>
      <c r="D138" s="2" t="s">
        <v>1932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K138" s="2" t="s">
        <v>1933</v>
      </c>
      <c r="L138" s="2" t="s">
        <v>1934</v>
      </c>
      <c r="M138" s="3" t="s">
        <v>382</v>
      </c>
      <c r="O138" s="3" t="s">
        <v>1327</v>
      </c>
      <c r="P138" s="3" t="s">
        <v>1328</v>
      </c>
      <c r="Q138" s="2" t="s">
        <v>1935</v>
      </c>
      <c r="R138" s="3" t="s">
        <v>855</v>
      </c>
      <c r="S138" s="4">
        <v>1</v>
      </c>
      <c r="T138" s="4">
        <v>1</v>
      </c>
      <c r="U138" s="5" t="s">
        <v>1936</v>
      </c>
      <c r="V138" s="5" t="s">
        <v>1936</v>
      </c>
      <c r="W138" s="5" t="s">
        <v>1937</v>
      </c>
      <c r="X138" s="5" t="s">
        <v>1937</v>
      </c>
      <c r="Y138" s="4">
        <v>91</v>
      </c>
      <c r="Z138" s="4">
        <v>51</v>
      </c>
      <c r="AA138" s="4">
        <v>58</v>
      </c>
      <c r="AB138" s="4">
        <v>2</v>
      </c>
      <c r="AC138" s="4">
        <v>2</v>
      </c>
      <c r="AD138" s="4">
        <v>3</v>
      </c>
      <c r="AE138" s="4">
        <v>3</v>
      </c>
      <c r="AF138" s="4">
        <v>1</v>
      </c>
      <c r="AG138" s="4">
        <v>1</v>
      </c>
      <c r="AH138" s="4">
        <v>2</v>
      </c>
      <c r="AI138" s="4">
        <v>2</v>
      </c>
      <c r="AJ138" s="4">
        <v>1</v>
      </c>
      <c r="AK138" s="4">
        <v>1</v>
      </c>
      <c r="AL138" s="4">
        <v>1</v>
      </c>
      <c r="AM138" s="4">
        <v>1</v>
      </c>
      <c r="AN138" s="4">
        <v>0</v>
      </c>
      <c r="AO138" s="4">
        <v>0</v>
      </c>
      <c r="AP138" s="3" t="s">
        <v>58</v>
      </c>
      <c r="AQ138" s="3" t="s">
        <v>58</v>
      </c>
      <c r="AS138" s="6" t="str">
        <f>HYPERLINK("https://creighton-primo.hosted.exlibrisgroup.com/primo-explore/search?tab=default_tab&amp;search_scope=EVERYTHING&amp;vid=01CRU&amp;lang=en_US&amp;offset=0&amp;query=any,contains,991003765099702656","Catalog Record")</f>
        <v>Catalog Record</v>
      </c>
      <c r="AT138" s="6" t="str">
        <f>HYPERLINK("http://www.worldcat.org/oclc/26333684","WorldCat Record")</f>
        <v>WorldCat Record</v>
      </c>
      <c r="AU138" s="3" t="s">
        <v>1938</v>
      </c>
      <c r="AV138" s="3" t="s">
        <v>1939</v>
      </c>
      <c r="AW138" s="3" t="s">
        <v>1940</v>
      </c>
      <c r="AX138" s="3" t="s">
        <v>1940</v>
      </c>
      <c r="AY138" s="3" t="s">
        <v>1941</v>
      </c>
      <c r="AZ138" s="3" t="s">
        <v>73</v>
      </c>
      <c r="BB138" s="3" t="s">
        <v>1942</v>
      </c>
      <c r="BC138" s="3" t="s">
        <v>1943</v>
      </c>
      <c r="BD138" s="3" t="s">
        <v>1944</v>
      </c>
    </row>
    <row r="139" spans="1:56" ht="47.25" customHeight="1" x14ac:dyDescent="0.25">
      <c r="A139" s="7" t="s">
        <v>58</v>
      </c>
      <c r="B139" s="2" t="s">
        <v>1945</v>
      </c>
      <c r="C139" s="2" t="s">
        <v>1946</v>
      </c>
      <c r="D139" s="2" t="s">
        <v>1947</v>
      </c>
      <c r="E139" s="3" t="s">
        <v>186</v>
      </c>
      <c r="F139" s="3" t="s">
        <v>87</v>
      </c>
      <c r="G139" s="3" t="s">
        <v>59</v>
      </c>
      <c r="H139" s="3" t="s">
        <v>58</v>
      </c>
      <c r="I139" s="3" t="s">
        <v>58</v>
      </c>
      <c r="J139" s="3" t="s">
        <v>60</v>
      </c>
      <c r="L139" s="2" t="s">
        <v>1948</v>
      </c>
      <c r="M139" s="3" t="s">
        <v>1890</v>
      </c>
      <c r="O139" s="3" t="s">
        <v>1327</v>
      </c>
      <c r="P139" s="3" t="s">
        <v>1328</v>
      </c>
      <c r="R139" s="3" t="s">
        <v>855</v>
      </c>
      <c r="S139" s="4">
        <v>0</v>
      </c>
      <c r="T139" s="4">
        <v>1</v>
      </c>
      <c r="U139" s="5" t="s">
        <v>1949</v>
      </c>
      <c r="V139" s="5" t="s">
        <v>1949</v>
      </c>
      <c r="W139" s="5" t="s">
        <v>1892</v>
      </c>
      <c r="X139" s="5" t="s">
        <v>1892</v>
      </c>
      <c r="Y139" s="4">
        <v>47</v>
      </c>
      <c r="Z139" s="4">
        <v>29</v>
      </c>
      <c r="AA139" s="4">
        <v>36</v>
      </c>
      <c r="AB139" s="4">
        <v>1</v>
      </c>
      <c r="AC139" s="4">
        <v>1</v>
      </c>
      <c r="AD139" s="4">
        <v>3</v>
      </c>
      <c r="AE139" s="4">
        <v>3</v>
      </c>
      <c r="AF139" s="4">
        <v>0</v>
      </c>
      <c r="AG139" s="4">
        <v>0</v>
      </c>
      <c r="AH139" s="4">
        <v>1</v>
      </c>
      <c r="AI139" s="4">
        <v>1</v>
      </c>
      <c r="AJ139" s="4">
        <v>3</v>
      </c>
      <c r="AK139" s="4">
        <v>3</v>
      </c>
      <c r="AL139" s="4">
        <v>0</v>
      </c>
      <c r="AM139" s="4">
        <v>0</v>
      </c>
      <c r="AN139" s="4">
        <v>0</v>
      </c>
      <c r="AO139" s="4">
        <v>0</v>
      </c>
      <c r="AP139" s="3" t="s">
        <v>87</v>
      </c>
      <c r="AQ139" s="3" t="s">
        <v>87</v>
      </c>
      <c r="AR139" s="6" t="str">
        <f>HYPERLINK("http://catalog.hathitrust.org/Record/000100841","HathiTrust Record")</f>
        <v>HathiTrust Record</v>
      </c>
      <c r="AS139" s="6" t="str">
        <f>HYPERLINK("https://creighton-primo.hosted.exlibrisgroup.com/primo-explore/search?tab=default_tab&amp;search_scope=EVERYTHING&amp;vid=01CRU&amp;lang=en_US&amp;offset=0&amp;query=any,contains,991005206919702656","Catalog Record")</f>
        <v>Catalog Record</v>
      </c>
      <c r="AT139" s="6" t="str">
        <f>HYPERLINK("http://www.worldcat.org/oclc/8124135","WorldCat Record")</f>
        <v>WorldCat Record</v>
      </c>
      <c r="AU139" s="3" t="s">
        <v>1950</v>
      </c>
      <c r="AV139" s="3" t="s">
        <v>1951</v>
      </c>
      <c r="AW139" s="3" t="s">
        <v>1952</v>
      </c>
      <c r="AX139" s="3" t="s">
        <v>1952</v>
      </c>
      <c r="AY139" s="3" t="s">
        <v>1953</v>
      </c>
      <c r="AZ139" s="3" t="s">
        <v>73</v>
      </c>
      <c r="BB139" s="3" t="s">
        <v>1954</v>
      </c>
      <c r="BC139" s="3" t="s">
        <v>1955</v>
      </c>
      <c r="BD139" s="3" t="s">
        <v>1956</v>
      </c>
    </row>
    <row r="140" spans="1:56" ht="47.25" customHeight="1" x14ac:dyDescent="0.25">
      <c r="A140" s="7" t="s">
        <v>58</v>
      </c>
      <c r="B140" s="2" t="s">
        <v>1945</v>
      </c>
      <c r="C140" s="2" t="s">
        <v>1946</v>
      </c>
      <c r="D140" s="2" t="s">
        <v>1947</v>
      </c>
      <c r="E140" s="3" t="s">
        <v>174</v>
      </c>
      <c r="F140" s="3" t="s">
        <v>87</v>
      </c>
      <c r="G140" s="3" t="s">
        <v>59</v>
      </c>
      <c r="H140" s="3" t="s">
        <v>58</v>
      </c>
      <c r="I140" s="3" t="s">
        <v>58</v>
      </c>
      <c r="J140" s="3" t="s">
        <v>60</v>
      </c>
      <c r="L140" s="2" t="s">
        <v>1948</v>
      </c>
      <c r="M140" s="3" t="s">
        <v>1890</v>
      </c>
      <c r="O140" s="3" t="s">
        <v>1327</v>
      </c>
      <c r="P140" s="3" t="s">
        <v>1328</v>
      </c>
      <c r="R140" s="3" t="s">
        <v>855</v>
      </c>
      <c r="S140" s="4">
        <v>1</v>
      </c>
      <c r="T140" s="4">
        <v>1</v>
      </c>
      <c r="U140" s="5" t="s">
        <v>1949</v>
      </c>
      <c r="V140" s="5" t="s">
        <v>1949</v>
      </c>
      <c r="W140" s="5" t="s">
        <v>1892</v>
      </c>
      <c r="X140" s="5" t="s">
        <v>1892</v>
      </c>
      <c r="Y140" s="4">
        <v>47</v>
      </c>
      <c r="Z140" s="4">
        <v>29</v>
      </c>
      <c r="AA140" s="4">
        <v>36</v>
      </c>
      <c r="AB140" s="4">
        <v>1</v>
      </c>
      <c r="AC140" s="4">
        <v>1</v>
      </c>
      <c r="AD140" s="4">
        <v>3</v>
      </c>
      <c r="AE140" s="4">
        <v>3</v>
      </c>
      <c r="AF140" s="4">
        <v>0</v>
      </c>
      <c r="AG140" s="4">
        <v>0</v>
      </c>
      <c r="AH140" s="4">
        <v>1</v>
      </c>
      <c r="AI140" s="4">
        <v>1</v>
      </c>
      <c r="AJ140" s="4">
        <v>3</v>
      </c>
      <c r="AK140" s="4">
        <v>3</v>
      </c>
      <c r="AL140" s="4">
        <v>0</v>
      </c>
      <c r="AM140" s="4">
        <v>0</v>
      </c>
      <c r="AN140" s="4">
        <v>0</v>
      </c>
      <c r="AO140" s="4">
        <v>0</v>
      </c>
      <c r="AP140" s="3" t="s">
        <v>87</v>
      </c>
      <c r="AQ140" s="3" t="s">
        <v>87</v>
      </c>
      <c r="AR140" s="6" t="str">
        <f>HYPERLINK("http://catalog.hathitrust.org/Record/000100841","HathiTrust Record")</f>
        <v>HathiTrust Record</v>
      </c>
      <c r="AS140" s="6" t="str">
        <f>HYPERLINK("https://creighton-primo.hosted.exlibrisgroup.com/primo-explore/search?tab=default_tab&amp;search_scope=EVERYTHING&amp;vid=01CRU&amp;lang=en_US&amp;offset=0&amp;query=any,contains,991005206919702656","Catalog Record")</f>
        <v>Catalog Record</v>
      </c>
      <c r="AT140" s="6" t="str">
        <f>HYPERLINK("http://www.worldcat.org/oclc/8124135","WorldCat Record")</f>
        <v>WorldCat Record</v>
      </c>
      <c r="AU140" s="3" t="s">
        <v>1950</v>
      </c>
      <c r="AV140" s="3" t="s">
        <v>1951</v>
      </c>
      <c r="AW140" s="3" t="s">
        <v>1952</v>
      </c>
      <c r="AX140" s="3" t="s">
        <v>1952</v>
      </c>
      <c r="AY140" s="3" t="s">
        <v>1953</v>
      </c>
      <c r="AZ140" s="3" t="s">
        <v>73</v>
      </c>
      <c r="BB140" s="3" t="s">
        <v>1954</v>
      </c>
      <c r="BC140" s="3" t="s">
        <v>1957</v>
      </c>
      <c r="BD140" s="3" t="s">
        <v>1958</v>
      </c>
    </row>
    <row r="141" spans="1:56" ht="47.25" customHeight="1" x14ac:dyDescent="0.25">
      <c r="A141" s="7" t="s">
        <v>58</v>
      </c>
      <c r="B141" s="2" t="s">
        <v>1959</v>
      </c>
      <c r="C141" s="2" t="s">
        <v>1960</v>
      </c>
      <c r="D141" s="2" t="s">
        <v>1961</v>
      </c>
      <c r="F141" s="3" t="s">
        <v>58</v>
      </c>
      <c r="G141" s="3" t="s">
        <v>59</v>
      </c>
      <c r="H141" s="3" t="s">
        <v>58</v>
      </c>
      <c r="I141" s="3" t="s">
        <v>58</v>
      </c>
      <c r="J141" s="3" t="s">
        <v>60</v>
      </c>
      <c r="K141" s="2" t="s">
        <v>1962</v>
      </c>
      <c r="L141" s="2" t="s">
        <v>1963</v>
      </c>
      <c r="M141" s="3" t="s">
        <v>282</v>
      </c>
      <c r="O141" s="3" t="s">
        <v>63</v>
      </c>
      <c r="P141" s="3" t="s">
        <v>651</v>
      </c>
      <c r="R141" s="3" t="s">
        <v>855</v>
      </c>
      <c r="S141" s="4">
        <v>2</v>
      </c>
      <c r="T141" s="4">
        <v>2</v>
      </c>
      <c r="U141" s="5" t="s">
        <v>1819</v>
      </c>
      <c r="V141" s="5" t="s">
        <v>1819</v>
      </c>
      <c r="W141" s="5" t="s">
        <v>1964</v>
      </c>
      <c r="X141" s="5" t="s">
        <v>1964</v>
      </c>
      <c r="Y141" s="4">
        <v>65</v>
      </c>
      <c r="Z141" s="4">
        <v>52</v>
      </c>
      <c r="AA141" s="4">
        <v>760</v>
      </c>
      <c r="AB141" s="4">
        <v>2</v>
      </c>
      <c r="AC141" s="4">
        <v>9</v>
      </c>
      <c r="AD141" s="4">
        <v>3</v>
      </c>
      <c r="AE141" s="4">
        <v>38</v>
      </c>
      <c r="AF141" s="4">
        <v>1</v>
      </c>
      <c r="AG141" s="4">
        <v>14</v>
      </c>
      <c r="AH141" s="4">
        <v>1</v>
      </c>
      <c r="AI141" s="4">
        <v>8</v>
      </c>
      <c r="AJ141" s="4">
        <v>2</v>
      </c>
      <c r="AK141" s="4">
        <v>18</v>
      </c>
      <c r="AL141" s="4">
        <v>1</v>
      </c>
      <c r="AM141" s="4">
        <v>8</v>
      </c>
      <c r="AN141" s="4">
        <v>0</v>
      </c>
      <c r="AO141" s="4">
        <v>0</v>
      </c>
      <c r="AP141" s="3" t="s">
        <v>58</v>
      </c>
      <c r="AQ141" s="3" t="s">
        <v>58</v>
      </c>
      <c r="AS141" s="6" t="str">
        <f>HYPERLINK("https://creighton-primo.hosted.exlibrisgroup.com/primo-explore/search?tab=default_tab&amp;search_scope=EVERYTHING&amp;vid=01CRU&amp;lang=en_US&amp;offset=0&amp;query=any,contains,991000402649702656","Catalog Record")</f>
        <v>Catalog Record</v>
      </c>
      <c r="AT141" s="6" t="str">
        <f>HYPERLINK("http://www.worldcat.org/oclc/10631668","WorldCat Record")</f>
        <v>WorldCat Record</v>
      </c>
      <c r="AU141" s="3" t="s">
        <v>1965</v>
      </c>
      <c r="AV141" s="3" t="s">
        <v>1966</v>
      </c>
      <c r="AW141" s="3" t="s">
        <v>1967</v>
      </c>
      <c r="AX141" s="3" t="s">
        <v>1967</v>
      </c>
      <c r="AY141" s="3" t="s">
        <v>1968</v>
      </c>
      <c r="AZ141" s="3" t="s">
        <v>73</v>
      </c>
      <c r="BC141" s="3" t="s">
        <v>1969</v>
      </c>
      <c r="BD141" s="3" t="s">
        <v>1970</v>
      </c>
    </row>
    <row r="142" spans="1:56" ht="47.25" customHeight="1" x14ac:dyDescent="0.25">
      <c r="A142" s="7" t="s">
        <v>58</v>
      </c>
      <c r="B142" s="2" t="s">
        <v>1971</v>
      </c>
      <c r="C142" s="2" t="s">
        <v>1972</v>
      </c>
      <c r="D142" s="2" t="s">
        <v>1973</v>
      </c>
      <c r="F142" s="3" t="s">
        <v>58</v>
      </c>
      <c r="G142" s="3" t="s">
        <v>59</v>
      </c>
      <c r="H142" s="3" t="s">
        <v>58</v>
      </c>
      <c r="I142" s="3" t="s">
        <v>58</v>
      </c>
      <c r="J142" s="3" t="s">
        <v>60</v>
      </c>
      <c r="K142" s="2" t="s">
        <v>1974</v>
      </c>
      <c r="L142" s="2" t="s">
        <v>1975</v>
      </c>
      <c r="M142" s="3" t="s">
        <v>82</v>
      </c>
      <c r="O142" s="3" t="s">
        <v>63</v>
      </c>
      <c r="P142" s="3" t="s">
        <v>1328</v>
      </c>
      <c r="R142" s="3" t="s">
        <v>855</v>
      </c>
      <c r="S142" s="4">
        <v>3</v>
      </c>
      <c r="T142" s="4">
        <v>3</v>
      </c>
      <c r="U142" s="5" t="s">
        <v>1976</v>
      </c>
      <c r="V142" s="5" t="s">
        <v>1976</v>
      </c>
      <c r="W142" s="5" t="s">
        <v>1977</v>
      </c>
      <c r="X142" s="5" t="s">
        <v>1977</v>
      </c>
      <c r="Y142" s="4">
        <v>19</v>
      </c>
      <c r="Z142" s="4">
        <v>19</v>
      </c>
      <c r="AA142" s="4">
        <v>19</v>
      </c>
      <c r="AB142" s="4">
        <v>1</v>
      </c>
      <c r="AC142" s="4">
        <v>1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3" t="s">
        <v>58</v>
      </c>
      <c r="AQ142" s="3" t="s">
        <v>58</v>
      </c>
      <c r="AS142" s="6" t="str">
        <f>HYPERLINK("https://creighton-primo.hosted.exlibrisgroup.com/primo-explore/search?tab=default_tab&amp;search_scope=EVERYTHING&amp;vid=01CRU&amp;lang=en_US&amp;offset=0&amp;query=any,contains,991003694609702656","Catalog Record")</f>
        <v>Catalog Record</v>
      </c>
      <c r="AT142" s="6" t="str">
        <f>HYPERLINK("http://www.worldcat.org/oclc/581468","WorldCat Record")</f>
        <v>WorldCat Record</v>
      </c>
      <c r="AU142" s="3" t="s">
        <v>1978</v>
      </c>
      <c r="AV142" s="3" t="s">
        <v>1979</v>
      </c>
      <c r="AW142" s="3" t="s">
        <v>1980</v>
      </c>
      <c r="AX142" s="3" t="s">
        <v>1980</v>
      </c>
      <c r="AY142" s="3" t="s">
        <v>1981</v>
      </c>
      <c r="AZ142" s="3" t="s">
        <v>73</v>
      </c>
      <c r="BC142" s="3" t="s">
        <v>1982</v>
      </c>
      <c r="BD142" s="3" t="s">
        <v>1983</v>
      </c>
    </row>
    <row r="143" spans="1:56" ht="47.25" customHeight="1" x14ac:dyDescent="0.25">
      <c r="A143" s="7" t="s">
        <v>58</v>
      </c>
      <c r="B143" s="2" t="s">
        <v>1984</v>
      </c>
      <c r="C143" s="2" t="s">
        <v>1985</v>
      </c>
      <c r="D143" s="2" t="s">
        <v>1986</v>
      </c>
      <c r="F143" s="3" t="s">
        <v>58</v>
      </c>
      <c r="G143" s="3" t="s">
        <v>59</v>
      </c>
      <c r="H143" s="3" t="s">
        <v>58</v>
      </c>
      <c r="I143" s="3" t="s">
        <v>87</v>
      </c>
      <c r="J143" s="3" t="s">
        <v>60</v>
      </c>
      <c r="K143" s="2" t="s">
        <v>1987</v>
      </c>
      <c r="L143" s="2" t="s">
        <v>1988</v>
      </c>
      <c r="M143" s="3" t="s">
        <v>1072</v>
      </c>
      <c r="O143" s="3" t="s">
        <v>1327</v>
      </c>
      <c r="P143" s="3" t="s">
        <v>1328</v>
      </c>
      <c r="R143" s="3" t="s">
        <v>855</v>
      </c>
      <c r="S143" s="4">
        <v>2</v>
      </c>
      <c r="T143" s="4">
        <v>2</v>
      </c>
      <c r="U143" s="5" t="s">
        <v>1989</v>
      </c>
      <c r="V143" s="5" t="s">
        <v>1989</v>
      </c>
      <c r="W143" s="5" t="s">
        <v>1989</v>
      </c>
      <c r="X143" s="5" t="s">
        <v>1989</v>
      </c>
      <c r="Y143" s="4">
        <v>395</v>
      </c>
      <c r="Z143" s="4">
        <v>298</v>
      </c>
      <c r="AA143" s="4">
        <v>431</v>
      </c>
      <c r="AB143" s="4">
        <v>2</v>
      </c>
      <c r="AC143" s="4">
        <v>2</v>
      </c>
      <c r="AD143" s="4">
        <v>15</v>
      </c>
      <c r="AE143" s="4">
        <v>19</v>
      </c>
      <c r="AF143" s="4">
        <v>2</v>
      </c>
      <c r="AG143" s="4">
        <v>3</v>
      </c>
      <c r="AH143" s="4">
        <v>5</v>
      </c>
      <c r="AI143" s="4">
        <v>7</v>
      </c>
      <c r="AJ143" s="4">
        <v>10</v>
      </c>
      <c r="AK143" s="4">
        <v>11</v>
      </c>
      <c r="AL143" s="4">
        <v>1</v>
      </c>
      <c r="AM143" s="4">
        <v>1</v>
      </c>
      <c r="AN143" s="4">
        <v>0</v>
      </c>
      <c r="AO143" s="4">
        <v>0</v>
      </c>
      <c r="AP143" s="3" t="s">
        <v>58</v>
      </c>
      <c r="AQ143" s="3" t="s">
        <v>87</v>
      </c>
      <c r="AR143" s="6" t="str">
        <f>HYPERLINK("http://catalog.hathitrust.org/Record/000010813","HathiTrust Record")</f>
        <v>HathiTrust Record</v>
      </c>
      <c r="AS143" s="6" t="str">
        <f>HYPERLINK("https://creighton-primo.hosted.exlibrisgroup.com/primo-explore/search?tab=default_tab&amp;search_scope=EVERYTHING&amp;vid=01CRU&amp;lang=en_US&amp;offset=0&amp;query=any,contains,991003974969702656","Catalog Record")</f>
        <v>Catalog Record</v>
      </c>
      <c r="AT143" s="6" t="str">
        <f>HYPERLINK("http://www.worldcat.org/oclc/742617","WorldCat Record")</f>
        <v>WorldCat Record</v>
      </c>
      <c r="AU143" s="3" t="s">
        <v>1990</v>
      </c>
      <c r="AV143" s="3" t="s">
        <v>1991</v>
      </c>
      <c r="AW143" s="3" t="s">
        <v>1992</v>
      </c>
      <c r="AX143" s="3" t="s">
        <v>1992</v>
      </c>
      <c r="AY143" s="3" t="s">
        <v>1993</v>
      </c>
      <c r="AZ143" s="3" t="s">
        <v>73</v>
      </c>
      <c r="BB143" s="3" t="s">
        <v>1994</v>
      </c>
      <c r="BC143" s="3" t="s">
        <v>1995</v>
      </c>
      <c r="BD143" s="3" t="s">
        <v>1996</v>
      </c>
    </row>
    <row r="144" spans="1:56" ht="47.25" customHeight="1" x14ac:dyDescent="0.25">
      <c r="A144" s="7" t="s">
        <v>58</v>
      </c>
      <c r="B144" s="2" t="s">
        <v>1997</v>
      </c>
      <c r="C144" s="2" t="s">
        <v>1998</v>
      </c>
      <c r="D144" s="2" t="s">
        <v>1999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60</v>
      </c>
      <c r="K144" s="2" t="s">
        <v>2000</v>
      </c>
      <c r="L144" s="2" t="s">
        <v>2001</v>
      </c>
      <c r="M144" s="3" t="s">
        <v>570</v>
      </c>
      <c r="O144" s="3" t="s">
        <v>1327</v>
      </c>
      <c r="P144" s="3" t="s">
        <v>1328</v>
      </c>
      <c r="Q144" s="2" t="s">
        <v>2002</v>
      </c>
      <c r="R144" s="3" t="s">
        <v>855</v>
      </c>
      <c r="S144" s="4">
        <v>2</v>
      </c>
      <c r="T144" s="4">
        <v>2</v>
      </c>
      <c r="U144" s="5" t="s">
        <v>2003</v>
      </c>
      <c r="V144" s="5" t="s">
        <v>2003</v>
      </c>
      <c r="W144" s="5" t="s">
        <v>2003</v>
      </c>
      <c r="X144" s="5" t="s">
        <v>2003</v>
      </c>
      <c r="Y144" s="4">
        <v>56</v>
      </c>
      <c r="Z144" s="4">
        <v>39</v>
      </c>
      <c r="AA144" s="4">
        <v>264</v>
      </c>
      <c r="AB144" s="4">
        <v>1</v>
      </c>
      <c r="AC144" s="4">
        <v>1</v>
      </c>
      <c r="AD144" s="4">
        <v>0</v>
      </c>
      <c r="AE144" s="4">
        <v>10</v>
      </c>
      <c r="AF144" s="4">
        <v>0</v>
      </c>
      <c r="AG144" s="4">
        <v>0</v>
      </c>
      <c r="AH144" s="4">
        <v>0</v>
      </c>
      <c r="AI144" s="4">
        <v>5</v>
      </c>
      <c r="AJ144" s="4">
        <v>0</v>
      </c>
      <c r="AK144" s="4">
        <v>7</v>
      </c>
      <c r="AL144" s="4">
        <v>0</v>
      </c>
      <c r="AM144" s="4">
        <v>0</v>
      </c>
      <c r="AN144" s="4">
        <v>0</v>
      </c>
      <c r="AO144" s="4">
        <v>0</v>
      </c>
      <c r="AP144" s="3" t="s">
        <v>58</v>
      </c>
      <c r="AQ144" s="3" t="s">
        <v>58</v>
      </c>
      <c r="AS144" s="6" t="str">
        <f>HYPERLINK("https://creighton-primo.hosted.exlibrisgroup.com/primo-explore/search?tab=default_tab&amp;search_scope=EVERYTHING&amp;vid=01CRU&amp;lang=en_US&amp;offset=0&amp;query=any,contains,991004044569702656","Catalog Record")</f>
        <v>Catalog Record</v>
      </c>
      <c r="AT144" s="6" t="str">
        <f>HYPERLINK("http://www.worldcat.org/oclc/864075","WorldCat Record")</f>
        <v>WorldCat Record</v>
      </c>
      <c r="AU144" s="3" t="s">
        <v>2004</v>
      </c>
      <c r="AV144" s="3" t="s">
        <v>2005</v>
      </c>
      <c r="AW144" s="3" t="s">
        <v>2006</v>
      </c>
      <c r="AX144" s="3" t="s">
        <v>2006</v>
      </c>
      <c r="AY144" s="3" t="s">
        <v>2007</v>
      </c>
      <c r="AZ144" s="3" t="s">
        <v>73</v>
      </c>
      <c r="BC144" s="3" t="s">
        <v>2008</v>
      </c>
      <c r="BD144" s="3" t="s">
        <v>2009</v>
      </c>
    </row>
    <row r="145" spans="1:56" ht="47.25" customHeight="1" x14ac:dyDescent="0.25">
      <c r="A145" s="7" t="s">
        <v>58</v>
      </c>
      <c r="B145" s="2" t="s">
        <v>2010</v>
      </c>
      <c r="C145" s="2" t="s">
        <v>2011</v>
      </c>
      <c r="D145" s="2" t="s">
        <v>2012</v>
      </c>
      <c r="F145" s="3" t="s">
        <v>58</v>
      </c>
      <c r="G145" s="3" t="s">
        <v>59</v>
      </c>
      <c r="H145" s="3" t="s">
        <v>58</v>
      </c>
      <c r="I145" s="3" t="s">
        <v>58</v>
      </c>
      <c r="J145" s="3" t="s">
        <v>60</v>
      </c>
      <c r="K145" s="2" t="s">
        <v>2000</v>
      </c>
      <c r="L145" s="2" t="s">
        <v>2013</v>
      </c>
      <c r="M145" s="3" t="s">
        <v>650</v>
      </c>
      <c r="N145" s="2" t="s">
        <v>2014</v>
      </c>
      <c r="O145" s="3" t="s">
        <v>1327</v>
      </c>
      <c r="P145" s="3" t="s">
        <v>1328</v>
      </c>
      <c r="Q145" s="2" t="s">
        <v>2015</v>
      </c>
      <c r="R145" s="3" t="s">
        <v>855</v>
      </c>
      <c r="S145" s="4">
        <v>1</v>
      </c>
      <c r="T145" s="4">
        <v>1</v>
      </c>
      <c r="U145" s="5" t="s">
        <v>1835</v>
      </c>
      <c r="V145" s="5" t="s">
        <v>1835</v>
      </c>
      <c r="W145" s="5" t="s">
        <v>2016</v>
      </c>
      <c r="X145" s="5" t="s">
        <v>2016</v>
      </c>
      <c r="Y145" s="4">
        <v>106</v>
      </c>
      <c r="Z145" s="4">
        <v>59</v>
      </c>
      <c r="AA145" s="4">
        <v>240</v>
      </c>
      <c r="AB145" s="4">
        <v>1</v>
      </c>
      <c r="AC145" s="4">
        <v>1</v>
      </c>
      <c r="AD145" s="4">
        <v>1</v>
      </c>
      <c r="AE145" s="4">
        <v>7</v>
      </c>
      <c r="AF145" s="4">
        <v>1</v>
      </c>
      <c r="AG145" s="4">
        <v>3</v>
      </c>
      <c r="AH145" s="4">
        <v>0</v>
      </c>
      <c r="AI145" s="4">
        <v>2</v>
      </c>
      <c r="AJ145" s="4">
        <v>0</v>
      </c>
      <c r="AK145" s="4">
        <v>4</v>
      </c>
      <c r="AL145" s="4">
        <v>0</v>
      </c>
      <c r="AM145" s="4">
        <v>0</v>
      </c>
      <c r="AN145" s="4">
        <v>0</v>
      </c>
      <c r="AO145" s="4">
        <v>0</v>
      </c>
      <c r="AP145" s="3" t="s">
        <v>58</v>
      </c>
      <c r="AQ145" s="3" t="s">
        <v>58</v>
      </c>
      <c r="AS145" s="6" t="str">
        <f>HYPERLINK("https://creighton-primo.hosted.exlibrisgroup.com/primo-explore/search?tab=default_tab&amp;search_scope=EVERYTHING&amp;vid=01CRU&amp;lang=en_US&amp;offset=0&amp;query=any,contains,991005173729702656","Catalog Record")</f>
        <v>Catalog Record</v>
      </c>
      <c r="AT145" s="6" t="str">
        <f>HYPERLINK("http://www.worldcat.org/oclc/41234809","WorldCat Record")</f>
        <v>WorldCat Record</v>
      </c>
      <c r="AU145" s="3" t="s">
        <v>2017</v>
      </c>
      <c r="AV145" s="3" t="s">
        <v>2018</v>
      </c>
      <c r="AW145" s="3" t="s">
        <v>2019</v>
      </c>
      <c r="AX145" s="3" t="s">
        <v>2019</v>
      </c>
      <c r="AY145" s="3" t="s">
        <v>2020</v>
      </c>
      <c r="AZ145" s="3" t="s">
        <v>73</v>
      </c>
      <c r="BB145" s="3" t="s">
        <v>2021</v>
      </c>
      <c r="BC145" s="3" t="s">
        <v>2022</v>
      </c>
      <c r="BD145" s="3" t="s">
        <v>2023</v>
      </c>
    </row>
    <row r="146" spans="1:56" ht="47.25" customHeight="1" x14ac:dyDescent="0.25">
      <c r="A146" s="7" t="s">
        <v>58</v>
      </c>
      <c r="B146" s="2" t="s">
        <v>2024</v>
      </c>
      <c r="C146" s="2" t="s">
        <v>2025</v>
      </c>
      <c r="D146" s="2" t="s">
        <v>2026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60</v>
      </c>
      <c r="K146" s="2" t="s">
        <v>2027</v>
      </c>
      <c r="L146" s="2" t="s">
        <v>2028</v>
      </c>
      <c r="M146" s="3" t="s">
        <v>638</v>
      </c>
      <c r="O146" s="3" t="s">
        <v>63</v>
      </c>
      <c r="P146" s="3" t="s">
        <v>83</v>
      </c>
      <c r="R146" s="3" t="s">
        <v>855</v>
      </c>
      <c r="S146" s="4">
        <v>0</v>
      </c>
      <c r="T146" s="4">
        <v>0</v>
      </c>
      <c r="U146" s="5" t="s">
        <v>2029</v>
      </c>
      <c r="V146" s="5" t="s">
        <v>2029</v>
      </c>
      <c r="W146" s="5" t="s">
        <v>1492</v>
      </c>
      <c r="X146" s="5" t="s">
        <v>1492</v>
      </c>
      <c r="Y146" s="4">
        <v>4</v>
      </c>
      <c r="Z146" s="4">
        <v>4</v>
      </c>
      <c r="AA146" s="4">
        <v>10</v>
      </c>
      <c r="AB146" s="4">
        <v>1</v>
      </c>
      <c r="AC146" s="4">
        <v>1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3" t="s">
        <v>87</v>
      </c>
      <c r="AQ146" s="3" t="s">
        <v>58</v>
      </c>
      <c r="AR146" s="6" t="str">
        <f>HYPERLINK("http://catalog.hathitrust.org/Record/008434653","HathiTrust Record")</f>
        <v>HathiTrust Record</v>
      </c>
      <c r="AS146" s="6" t="str">
        <f>HYPERLINK("https://creighton-primo.hosted.exlibrisgroup.com/primo-explore/search?tab=default_tab&amp;search_scope=EVERYTHING&amp;vid=01CRU&amp;lang=en_US&amp;offset=0&amp;query=any,contains,991000541309702656","Catalog Record")</f>
        <v>Catalog Record</v>
      </c>
      <c r="AT146" s="6" t="str">
        <f>HYPERLINK("http://www.worldcat.org/oclc/11491619","WorldCat Record")</f>
        <v>WorldCat Record</v>
      </c>
      <c r="AU146" s="3" t="s">
        <v>2030</v>
      </c>
      <c r="AV146" s="3" t="s">
        <v>2031</v>
      </c>
      <c r="AW146" s="3" t="s">
        <v>2032</v>
      </c>
      <c r="AX146" s="3" t="s">
        <v>2032</v>
      </c>
      <c r="AY146" s="3" t="s">
        <v>2033</v>
      </c>
      <c r="AZ146" s="3" t="s">
        <v>73</v>
      </c>
      <c r="BC146" s="3" t="s">
        <v>2034</v>
      </c>
      <c r="BD146" s="3" t="s">
        <v>2035</v>
      </c>
    </row>
    <row r="147" spans="1:56" ht="47.25" customHeight="1" x14ac:dyDescent="0.25">
      <c r="A147" s="7" t="s">
        <v>58</v>
      </c>
      <c r="B147" s="2" t="s">
        <v>2036</v>
      </c>
      <c r="C147" s="2" t="s">
        <v>2037</v>
      </c>
      <c r="D147" s="2" t="s">
        <v>2038</v>
      </c>
      <c r="E147" s="3" t="s">
        <v>1377</v>
      </c>
      <c r="F147" s="3" t="s">
        <v>87</v>
      </c>
      <c r="G147" s="3" t="s">
        <v>59</v>
      </c>
      <c r="H147" s="3" t="s">
        <v>58</v>
      </c>
      <c r="I147" s="3" t="s">
        <v>58</v>
      </c>
      <c r="J147" s="3" t="s">
        <v>60</v>
      </c>
      <c r="K147" s="2" t="s">
        <v>2039</v>
      </c>
      <c r="L147" s="2" t="s">
        <v>2040</v>
      </c>
      <c r="M147" s="3" t="s">
        <v>895</v>
      </c>
      <c r="O147" s="3" t="s">
        <v>1327</v>
      </c>
      <c r="P147" s="3" t="s">
        <v>310</v>
      </c>
      <c r="R147" s="3" t="s">
        <v>855</v>
      </c>
      <c r="S147" s="4">
        <v>5</v>
      </c>
      <c r="T147" s="4">
        <v>8</v>
      </c>
      <c r="U147" s="5" t="s">
        <v>1533</v>
      </c>
      <c r="V147" s="5" t="s">
        <v>1533</v>
      </c>
      <c r="W147" s="5" t="s">
        <v>1850</v>
      </c>
      <c r="X147" s="5" t="s">
        <v>2041</v>
      </c>
      <c r="Y147" s="4">
        <v>63</v>
      </c>
      <c r="Z147" s="4">
        <v>61</v>
      </c>
      <c r="AA147" s="4">
        <v>61</v>
      </c>
      <c r="AB147" s="4">
        <v>2</v>
      </c>
      <c r="AC147" s="4">
        <v>2</v>
      </c>
      <c r="AD147" s="4">
        <v>3</v>
      </c>
      <c r="AE147" s="4">
        <v>3</v>
      </c>
      <c r="AF147" s="4">
        <v>0</v>
      </c>
      <c r="AG147" s="4">
        <v>0</v>
      </c>
      <c r="AH147" s="4">
        <v>0</v>
      </c>
      <c r="AI147" s="4">
        <v>0</v>
      </c>
      <c r="AJ147" s="4">
        <v>2</v>
      </c>
      <c r="AK147" s="4">
        <v>2</v>
      </c>
      <c r="AL147" s="4">
        <v>1</v>
      </c>
      <c r="AM147" s="4">
        <v>1</v>
      </c>
      <c r="AN147" s="4">
        <v>0</v>
      </c>
      <c r="AO147" s="4">
        <v>0</v>
      </c>
      <c r="AP147" s="3" t="s">
        <v>58</v>
      </c>
      <c r="AQ147" s="3" t="s">
        <v>58</v>
      </c>
      <c r="AS147" s="6" t="str">
        <f>HYPERLINK("https://creighton-primo.hosted.exlibrisgroup.com/primo-explore/search?tab=default_tab&amp;search_scope=EVERYTHING&amp;vid=01CRU&amp;lang=en_US&amp;offset=0&amp;query=any,contains,991003516149702656","Catalog Record")</f>
        <v>Catalog Record</v>
      </c>
      <c r="AT147" s="6" t="str">
        <f>HYPERLINK("http://www.worldcat.org/oclc/1073868","WorldCat Record")</f>
        <v>WorldCat Record</v>
      </c>
      <c r="AU147" s="3" t="s">
        <v>2042</v>
      </c>
      <c r="AV147" s="3" t="s">
        <v>2043</v>
      </c>
      <c r="AW147" s="3" t="s">
        <v>2044</v>
      </c>
      <c r="AX147" s="3" t="s">
        <v>2044</v>
      </c>
      <c r="AY147" s="3" t="s">
        <v>2045</v>
      </c>
      <c r="AZ147" s="3" t="s">
        <v>73</v>
      </c>
      <c r="BC147" s="3" t="s">
        <v>2046</v>
      </c>
      <c r="BD147" s="3" t="s">
        <v>2047</v>
      </c>
    </row>
    <row r="148" spans="1:56" ht="47.25" customHeight="1" x14ac:dyDescent="0.25">
      <c r="A148" s="7" t="s">
        <v>58</v>
      </c>
      <c r="B148" s="2" t="s">
        <v>2036</v>
      </c>
      <c r="C148" s="2" t="s">
        <v>2037</v>
      </c>
      <c r="D148" s="2" t="s">
        <v>2038</v>
      </c>
      <c r="E148" s="3" t="s">
        <v>2048</v>
      </c>
      <c r="F148" s="3" t="s">
        <v>87</v>
      </c>
      <c r="G148" s="3" t="s">
        <v>59</v>
      </c>
      <c r="H148" s="3" t="s">
        <v>58</v>
      </c>
      <c r="I148" s="3" t="s">
        <v>58</v>
      </c>
      <c r="J148" s="3" t="s">
        <v>60</v>
      </c>
      <c r="K148" s="2" t="s">
        <v>2039</v>
      </c>
      <c r="L148" s="2" t="s">
        <v>2040</v>
      </c>
      <c r="M148" s="3" t="s">
        <v>895</v>
      </c>
      <c r="O148" s="3" t="s">
        <v>1327</v>
      </c>
      <c r="P148" s="3" t="s">
        <v>310</v>
      </c>
      <c r="R148" s="3" t="s">
        <v>855</v>
      </c>
      <c r="S148" s="4">
        <v>0</v>
      </c>
      <c r="T148" s="4">
        <v>8</v>
      </c>
      <c r="V148" s="5" t="s">
        <v>1533</v>
      </c>
      <c r="W148" s="5" t="s">
        <v>2041</v>
      </c>
      <c r="X148" s="5" t="s">
        <v>2041</v>
      </c>
      <c r="Y148" s="4">
        <v>63</v>
      </c>
      <c r="Z148" s="4">
        <v>61</v>
      </c>
      <c r="AA148" s="4">
        <v>61</v>
      </c>
      <c r="AB148" s="4">
        <v>2</v>
      </c>
      <c r="AC148" s="4">
        <v>2</v>
      </c>
      <c r="AD148" s="4">
        <v>3</v>
      </c>
      <c r="AE148" s="4">
        <v>3</v>
      </c>
      <c r="AF148" s="4">
        <v>0</v>
      </c>
      <c r="AG148" s="4">
        <v>0</v>
      </c>
      <c r="AH148" s="4">
        <v>0</v>
      </c>
      <c r="AI148" s="4">
        <v>0</v>
      </c>
      <c r="AJ148" s="4">
        <v>2</v>
      </c>
      <c r="AK148" s="4">
        <v>2</v>
      </c>
      <c r="AL148" s="4">
        <v>1</v>
      </c>
      <c r="AM148" s="4">
        <v>1</v>
      </c>
      <c r="AN148" s="4">
        <v>0</v>
      </c>
      <c r="AO148" s="4">
        <v>0</v>
      </c>
      <c r="AP148" s="3" t="s">
        <v>58</v>
      </c>
      <c r="AQ148" s="3" t="s">
        <v>58</v>
      </c>
      <c r="AS148" s="6" t="str">
        <f>HYPERLINK("https://creighton-primo.hosted.exlibrisgroup.com/primo-explore/search?tab=default_tab&amp;search_scope=EVERYTHING&amp;vid=01CRU&amp;lang=en_US&amp;offset=0&amp;query=any,contains,991003516149702656","Catalog Record")</f>
        <v>Catalog Record</v>
      </c>
      <c r="AT148" s="6" t="str">
        <f>HYPERLINK("http://www.worldcat.org/oclc/1073868","WorldCat Record")</f>
        <v>WorldCat Record</v>
      </c>
      <c r="AU148" s="3" t="s">
        <v>2042</v>
      </c>
      <c r="AV148" s="3" t="s">
        <v>2043</v>
      </c>
      <c r="AW148" s="3" t="s">
        <v>2044</v>
      </c>
      <c r="AX148" s="3" t="s">
        <v>2044</v>
      </c>
      <c r="AY148" s="3" t="s">
        <v>2045</v>
      </c>
      <c r="AZ148" s="3" t="s">
        <v>73</v>
      </c>
      <c r="BC148" s="3" t="s">
        <v>2049</v>
      </c>
      <c r="BD148" s="3" t="s">
        <v>2050</v>
      </c>
    </row>
    <row r="149" spans="1:56" ht="47.25" customHeight="1" x14ac:dyDescent="0.25">
      <c r="A149" s="7" t="s">
        <v>58</v>
      </c>
      <c r="B149" s="2" t="s">
        <v>2036</v>
      </c>
      <c r="C149" s="2" t="s">
        <v>2037</v>
      </c>
      <c r="D149" s="2" t="s">
        <v>2038</v>
      </c>
      <c r="E149" s="3" t="s">
        <v>1367</v>
      </c>
      <c r="F149" s="3" t="s">
        <v>87</v>
      </c>
      <c r="G149" s="3" t="s">
        <v>59</v>
      </c>
      <c r="H149" s="3" t="s">
        <v>58</v>
      </c>
      <c r="I149" s="3" t="s">
        <v>58</v>
      </c>
      <c r="J149" s="3" t="s">
        <v>60</v>
      </c>
      <c r="K149" s="2" t="s">
        <v>2039</v>
      </c>
      <c r="L149" s="2" t="s">
        <v>2040</v>
      </c>
      <c r="M149" s="3" t="s">
        <v>895</v>
      </c>
      <c r="O149" s="3" t="s">
        <v>1327</v>
      </c>
      <c r="P149" s="3" t="s">
        <v>310</v>
      </c>
      <c r="R149" s="3" t="s">
        <v>855</v>
      </c>
      <c r="S149" s="4">
        <v>3</v>
      </c>
      <c r="T149" s="4">
        <v>8</v>
      </c>
      <c r="U149" s="5" t="s">
        <v>1533</v>
      </c>
      <c r="V149" s="5" t="s">
        <v>1533</v>
      </c>
      <c r="W149" s="5" t="s">
        <v>2051</v>
      </c>
      <c r="X149" s="5" t="s">
        <v>2041</v>
      </c>
      <c r="Y149" s="4">
        <v>63</v>
      </c>
      <c r="Z149" s="4">
        <v>61</v>
      </c>
      <c r="AA149" s="4">
        <v>61</v>
      </c>
      <c r="AB149" s="4">
        <v>2</v>
      </c>
      <c r="AC149" s="4">
        <v>2</v>
      </c>
      <c r="AD149" s="4">
        <v>3</v>
      </c>
      <c r="AE149" s="4">
        <v>3</v>
      </c>
      <c r="AF149" s="4">
        <v>0</v>
      </c>
      <c r="AG149" s="4">
        <v>0</v>
      </c>
      <c r="AH149" s="4">
        <v>0</v>
      </c>
      <c r="AI149" s="4">
        <v>0</v>
      </c>
      <c r="AJ149" s="4">
        <v>2</v>
      </c>
      <c r="AK149" s="4">
        <v>2</v>
      </c>
      <c r="AL149" s="4">
        <v>1</v>
      </c>
      <c r="AM149" s="4">
        <v>1</v>
      </c>
      <c r="AN149" s="4">
        <v>0</v>
      </c>
      <c r="AO149" s="4">
        <v>0</v>
      </c>
      <c r="AP149" s="3" t="s">
        <v>58</v>
      </c>
      <c r="AQ149" s="3" t="s">
        <v>58</v>
      </c>
      <c r="AS149" s="6" t="str">
        <f>HYPERLINK("https://creighton-primo.hosted.exlibrisgroup.com/primo-explore/search?tab=default_tab&amp;search_scope=EVERYTHING&amp;vid=01CRU&amp;lang=en_US&amp;offset=0&amp;query=any,contains,991003516149702656","Catalog Record")</f>
        <v>Catalog Record</v>
      </c>
      <c r="AT149" s="6" t="str">
        <f>HYPERLINK("http://www.worldcat.org/oclc/1073868","WorldCat Record")</f>
        <v>WorldCat Record</v>
      </c>
      <c r="AU149" s="3" t="s">
        <v>2042</v>
      </c>
      <c r="AV149" s="3" t="s">
        <v>2043</v>
      </c>
      <c r="AW149" s="3" t="s">
        <v>2044</v>
      </c>
      <c r="AX149" s="3" t="s">
        <v>2044</v>
      </c>
      <c r="AY149" s="3" t="s">
        <v>2045</v>
      </c>
      <c r="AZ149" s="3" t="s">
        <v>73</v>
      </c>
      <c r="BC149" s="3" t="s">
        <v>2052</v>
      </c>
      <c r="BD149" s="3" t="s">
        <v>2053</v>
      </c>
    </row>
    <row r="150" spans="1:56" ht="47.25" customHeight="1" x14ac:dyDescent="0.25">
      <c r="A150" s="7" t="s">
        <v>58</v>
      </c>
      <c r="B150" s="2" t="s">
        <v>2036</v>
      </c>
      <c r="C150" s="2" t="s">
        <v>2037</v>
      </c>
      <c r="D150" s="2" t="s">
        <v>2038</v>
      </c>
      <c r="E150" s="3" t="s">
        <v>2054</v>
      </c>
      <c r="F150" s="3" t="s">
        <v>87</v>
      </c>
      <c r="G150" s="3" t="s">
        <v>59</v>
      </c>
      <c r="H150" s="3" t="s">
        <v>58</v>
      </c>
      <c r="I150" s="3" t="s">
        <v>58</v>
      </c>
      <c r="J150" s="3" t="s">
        <v>60</v>
      </c>
      <c r="K150" s="2" t="s">
        <v>2039</v>
      </c>
      <c r="L150" s="2" t="s">
        <v>2040</v>
      </c>
      <c r="M150" s="3" t="s">
        <v>895</v>
      </c>
      <c r="O150" s="3" t="s">
        <v>1327</v>
      </c>
      <c r="P150" s="3" t="s">
        <v>310</v>
      </c>
      <c r="R150" s="3" t="s">
        <v>855</v>
      </c>
      <c r="S150" s="4">
        <v>0</v>
      </c>
      <c r="T150" s="4">
        <v>8</v>
      </c>
      <c r="V150" s="5" t="s">
        <v>1533</v>
      </c>
      <c r="W150" s="5" t="s">
        <v>2055</v>
      </c>
      <c r="X150" s="5" t="s">
        <v>2041</v>
      </c>
      <c r="Y150" s="4">
        <v>63</v>
      </c>
      <c r="Z150" s="4">
        <v>61</v>
      </c>
      <c r="AA150" s="4">
        <v>61</v>
      </c>
      <c r="AB150" s="4">
        <v>2</v>
      </c>
      <c r="AC150" s="4">
        <v>2</v>
      </c>
      <c r="AD150" s="4">
        <v>3</v>
      </c>
      <c r="AE150" s="4">
        <v>3</v>
      </c>
      <c r="AF150" s="4">
        <v>0</v>
      </c>
      <c r="AG150" s="4">
        <v>0</v>
      </c>
      <c r="AH150" s="4">
        <v>0</v>
      </c>
      <c r="AI150" s="4">
        <v>0</v>
      </c>
      <c r="AJ150" s="4">
        <v>2</v>
      </c>
      <c r="AK150" s="4">
        <v>2</v>
      </c>
      <c r="AL150" s="4">
        <v>1</v>
      </c>
      <c r="AM150" s="4">
        <v>1</v>
      </c>
      <c r="AN150" s="4">
        <v>0</v>
      </c>
      <c r="AO150" s="4">
        <v>0</v>
      </c>
      <c r="AP150" s="3" t="s">
        <v>58</v>
      </c>
      <c r="AQ150" s="3" t="s">
        <v>58</v>
      </c>
      <c r="AS150" s="6" t="str">
        <f>HYPERLINK("https://creighton-primo.hosted.exlibrisgroup.com/primo-explore/search?tab=default_tab&amp;search_scope=EVERYTHING&amp;vid=01CRU&amp;lang=en_US&amp;offset=0&amp;query=any,contains,991003516149702656","Catalog Record")</f>
        <v>Catalog Record</v>
      </c>
      <c r="AT150" s="6" t="str">
        <f>HYPERLINK("http://www.worldcat.org/oclc/1073868","WorldCat Record")</f>
        <v>WorldCat Record</v>
      </c>
      <c r="AU150" s="3" t="s">
        <v>2042</v>
      </c>
      <c r="AV150" s="3" t="s">
        <v>2043</v>
      </c>
      <c r="AW150" s="3" t="s">
        <v>2044</v>
      </c>
      <c r="AX150" s="3" t="s">
        <v>2044</v>
      </c>
      <c r="AY150" s="3" t="s">
        <v>2045</v>
      </c>
      <c r="AZ150" s="3" t="s">
        <v>73</v>
      </c>
      <c r="BC150" s="3" t="s">
        <v>2056</v>
      </c>
      <c r="BD150" s="3" t="s">
        <v>2057</v>
      </c>
    </row>
    <row r="151" spans="1:56" ht="47.25" customHeight="1" x14ac:dyDescent="0.25">
      <c r="A151" s="7" t="s">
        <v>58</v>
      </c>
      <c r="B151" s="2" t="s">
        <v>2058</v>
      </c>
      <c r="C151" s="2" t="s">
        <v>2059</v>
      </c>
      <c r="D151" s="2" t="s">
        <v>2060</v>
      </c>
      <c r="F151" s="3" t="s">
        <v>58</v>
      </c>
      <c r="G151" s="3" t="s">
        <v>59</v>
      </c>
      <c r="H151" s="3" t="s">
        <v>58</v>
      </c>
      <c r="I151" s="3" t="s">
        <v>58</v>
      </c>
      <c r="J151" s="3" t="s">
        <v>60</v>
      </c>
      <c r="K151" s="2" t="s">
        <v>2061</v>
      </c>
      <c r="L151" s="2" t="s">
        <v>2062</v>
      </c>
      <c r="M151" s="3" t="s">
        <v>1771</v>
      </c>
      <c r="N151" s="2" t="s">
        <v>2063</v>
      </c>
      <c r="O151" s="3" t="s">
        <v>63</v>
      </c>
      <c r="P151" s="3" t="s">
        <v>83</v>
      </c>
      <c r="R151" s="3" t="s">
        <v>855</v>
      </c>
      <c r="S151" s="4">
        <v>3</v>
      </c>
      <c r="T151" s="4">
        <v>3</v>
      </c>
      <c r="U151" s="5" t="s">
        <v>2064</v>
      </c>
      <c r="V151" s="5" t="s">
        <v>2064</v>
      </c>
      <c r="W151" s="5" t="s">
        <v>2065</v>
      </c>
      <c r="X151" s="5" t="s">
        <v>2065</v>
      </c>
      <c r="Y151" s="4">
        <v>252</v>
      </c>
      <c r="Z151" s="4">
        <v>232</v>
      </c>
      <c r="AA151" s="4">
        <v>1138</v>
      </c>
      <c r="AB151" s="4">
        <v>4</v>
      </c>
      <c r="AC151" s="4">
        <v>10</v>
      </c>
      <c r="AD151" s="4">
        <v>7</v>
      </c>
      <c r="AE151" s="4">
        <v>32</v>
      </c>
      <c r="AF151" s="4">
        <v>3</v>
      </c>
      <c r="AG151" s="4">
        <v>14</v>
      </c>
      <c r="AH151" s="4">
        <v>1</v>
      </c>
      <c r="AI151" s="4">
        <v>9</v>
      </c>
      <c r="AJ151" s="4">
        <v>2</v>
      </c>
      <c r="AK151" s="4">
        <v>12</v>
      </c>
      <c r="AL151" s="4">
        <v>2</v>
      </c>
      <c r="AM151" s="4">
        <v>6</v>
      </c>
      <c r="AN151" s="4">
        <v>0</v>
      </c>
      <c r="AO151" s="4">
        <v>0</v>
      </c>
      <c r="AP151" s="3" t="s">
        <v>58</v>
      </c>
      <c r="AQ151" s="3" t="s">
        <v>87</v>
      </c>
      <c r="AR151" s="6" t="str">
        <f>HYPERLINK("http://catalog.hathitrust.org/Record/008318334","HathiTrust Record")</f>
        <v>HathiTrust Record</v>
      </c>
      <c r="AS151" s="6" t="str">
        <f>HYPERLINK("https://creighton-primo.hosted.exlibrisgroup.com/primo-explore/search?tab=default_tab&amp;search_scope=EVERYTHING&amp;vid=01CRU&amp;lang=en_US&amp;offset=0&amp;query=any,contains,991005087369702656","Catalog Record")</f>
        <v>Catalog Record</v>
      </c>
      <c r="AT151" s="6" t="str">
        <f>HYPERLINK("http://www.worldcat.org/oclc/56058008","WorldCat Record")</f>
        <v>WorldCat Record</v>
      </c>
      <c r="AU151" s="3" t="s">
        <v>2066</v>
      </c>
      <c r="AV151" s="3" t="s">
        <v>2067</v>
      </c>
      <c r="AW151" s="3" t="s">
        <v>2068</v>
      </c>
      <c r="AX151" s="3" t="s">
        <v>2068</v>
      </c>
      <c r="AY151" s="3" t="s">
        <v>2069</v>
      </c>
      <c r="AZ151" s="3" t="s">
        <v>73</v>
      </c>
      <c r="BB151" s="3" t="s">
        <v>2070</v>
      </c>
      <c r="BC151" s="3" t="s">
        <v>2071</v>
      </c>
      <c r="BD151" s="3" t="s">
        <v>2072</v>
      </c>
    </row>
    <row r="152" spans="1:56" ht="47.25" customHeight="1" x14ac:dyDescent="0.25">
      <c r="A152" s="7" t="s">
        <v>58</v>
      </c>
      <c r="B152" s="2" t="s">
        <v>2073</v>
      </c>
      <c r="C152" s="2" t="s">
        <v>2074</v>
      </c>
      <c r="D152" s="2" t="s">
        <v>2075</v>
      </c>
      <c r="F152" s="3" t="s">
        <v>58</v>
      </c>
      <c r="G152" s="3" t="s">
        <v>59</v>
      </c>
      <c r="H152" s="3" t="s">
        <v>58</v>
      </c>
      <c r="I152" s="3" t="s">
        <v>58</v>
      </c>
      <c r="J152" s="3" t="s">
        <v>60</v>
      </c>
      <c r="K152" s="2" t="s">
        <v>2076</v>
      </c>
      <c r="L152" s="2" t="s">
        <v>2077</v>
      </c>
      <c r="M152" s="3" t="s">
        <v>785</v>
      </c>
      <c r="O152" s="3" t="s">
        <v>63</v>
      </c>
      <c r="P152" s="3" t="s">
        <v>1772</v>
      </c>
      <c r="R152" s="3" t="s">
        <v>855</v>
      </c>
      <c r="S152" s="4">
        <v>6</v>
      </c>
      <c r="T152" s="4">
        <v>6</v>
      </c>
      <c r="U152" s="5" t="s">
        <v>2078</v>
      </c>
      <c r="V152" s="5" t="s">
        <v>2078</v>
      </c>
      <c r="W152" s="5" t="s">
        <v>2079</v>
      </c>
      <c r="X152" s="5" t="s">
        <v>2079</v>
      </c>
      <c r="Y152" s="4">
        <v>34</v>
      </c>
      <c r="Z152" s="4">
        <v>31</v>
      </c>
      <c r="AA152" s="4">
        <v>31</v>
      </c>
      <c r="AB152" s="4">
        <v>1</v>
      </c>
      <c r="AC152" s="4">
        <v>1</v>
      </c>
      <c r="AD152" s="4">
        <v>1</v>
      </c>
      <c r="AE152" s="4">
        <v>1</v>
      </c>
      <c r="AF152" s="4">
        <v>1</v>
      </c>
      <c r="AG152" s="4">
        <v>1</v>
      </c>
      <c r="AH152" s="4">
        <v>0</v>
      </c>
      <c r="AI152" s="4">
        <v>0</v>
      </c>
      <c r="AJ152" s="4">
        <v>1</v>
      </c>
      <c r="AK152" s="4">
        <v>1</v>
      </c>
      <c r="AL152" s="4">
        <v>0</v>
      </c>
      <c r="AM152" s="4">
        <v>0</v>
      </c>
      <c r="AN152" s="4">
        <v>0</v>
      </c>
      <c r="AO152" s="4">
        <v>0</v>
      </c>
      <c r="AP152" s="3" t="s">
        <v>58</v>
      </c>
      <c r="AQ152" s="3" t="s">
        <v>58</v>
      </c>
      <c r="AS152" s="6" t="str">
        <f>HYPERLINK("https://creighton-primo.hosted.exlibrisgroup.com/primo-explore/search?tab=default_tab&amp;search_scope=EVERYTHING&amp;vid=01CRU&amp;lang=en_US&amp;offset=0&amp;query=any,contains,991002083269702656","Catalog Record")</f>
        <v>Catalog Record</v>
      </c>
      <c r="AT152" s="6" t="str">
        <f>HYPERLINK("http://www.worldcat.org/oclc/26722759","WorldCat Record")</f>
        <v>WorldCat Record</v>
      </c>
      <c r="AU152" s="3" t="s">
        <v>2080</v>
      </c>
      <c r="AV152" s="3" t="s">
        <v>2081</v>
      </c>
      <c r="AW152" s="3" t="s">
        <v>2082</v>
      </c>
      <c r="AX152" s="3" t="s">
        <v>2082</v>
      </c>
      <c r="AY152" s="3" t="s">
        <v>2083</v>
      </c>
      <c r="AZ152" s="3" t="s">
        <v>73</v>
      </c>
      <c r="BB152" s="3" t="s">
        <v>2084</v>
      </c>
      <c r="BC152" s="3" t="s">
        <v>2085</v>
      </c>
      <c r="BD152" s="3" t="s">
        <v>2086</v>
      </c>
    </row>
    <row r="153" spans="1:56" ht="47.25" customHeight="1" x14ac:dyDescent="0.25">
      <c r="A153" s="7" t="s">
        <v>58</v>
      </c>
      <c r="B153" s="2" t="s">
        <v>2087</v>
      </c>
      <c r="C153" s="2" t="s">
        <v>2088</v>
      </c>
      <c r="D153" s="2" t="s">
        <v>2089</v>
      </c>
      <c r="F153" s="3" t="s">
        <v>58</v>
      </c>
      <c r="G153" s="3" t="s">
        <v>59</v>
      </c>
      <c r="H153" s="3" t="s">
        <v>58</v>
      </c>
      <c r="I153" s="3" t="s">
        <v>58</v>
      </c>
      <c r="J153" s="3" t="s">
        <v>60</v>
      </c>
      <c r="K153" s="2" t="s">
        <v>2090</v>
      </c>
      <c r="L153" s="2" t="s">
        <v>2091</v>
      </c>
      <c r="M153" s="3" t="s">
        <v>650</v>
      </c>
      <c r="N153" s="2" t="s">
        <v>838</v>
      </c>
      <c r="O153" s="3" t="s">
        <v>1327</v>
      </c>
      <c r="P153" s="3" t="s">
        <v>740</v>
      </c>
      <c r="R153" s="3" t="s">
        <v>855</v>
      </c>
      <c r="S153" s="4">
        <v>3</v>
      </c>
      <c r="T153" s="4">
        <v>3</v>
      </c>
      <c r="U153" s="5" t="s">
        <v>2092</v>
      </c>
      <c r="V153" s="5" t="s">
        <v>2092</v>
      </c>
      <c r="W153" s="5" t="s">
        <v>2093</v>
      </c>
      <c r="X153" s="5" t="s">
        <v>2093</v>
      </c>
      <c r="Y153" s="4">
        <v>64</v>
      </c>
      <c r="Z153" s="4">
        <v>56</v>
      </c>
      <c r="AA153" s="4">
        <v>117</v>
      </c>
      <c r="AB153" s="4">
        <v>1</v>
      </c>
      <c r="AC153" s="4">
        <v>1</v>
      </c>
      <c r="AD153" s="4">
        <v>1</v>
      </c>
      <c r="AE153" s="4">
        <v>2</v>
      </c>
      <c r="AF153" s="4">
        <v>0</v>
      </c>
      <c r="AG153" s="4">
        <v>1</v>
      </c>
      <c r="AH153" s="4">
        <v>0</v>
      </c>
      <c r="AI153" s="4">
        <v>0</v>
      </c>
      <c r="AJ153" s="4">
        <v>1</v>
      </c>
      <c r="AK153" s="4">
        <v>2</v>
      </c>
      <c r="AL153" s="4">
        <v>0</v>
      </c>
      <c r="AM153" s="4">
        <v>0</v>
      </c>
      <c r="AN153" s="4">
        <v>0</v>
      </c>
      <c r="AO153" s="4">
        <v>0</v>
      </c>
      <c r="AP153" s="3" t="s">
        <v>58</v>
      </c>
      <c r="AQ153" s="3" t="s">
        <v>87</v>
      </c>
      <c r="AR153" s="6" t="str">
        <f>HYPERLINK("http://catalog.hathitrust.org/Record/004115358","HathiTrust Record")</f>
        <v>HathiTrust Record</v>
      </c>
      <c r="AS153" s="6" t="str">
        <f>HYPERLINK("https://creighton-primo.hosted.exlibrisgroup.com/primo-explore/search?tab=default_tab&amp;search_scope=EVERYTHING&amp;vid=01CRU&amp;lang=en_US&amp;offset=0&amp;query=any,contains,991003453649702656","Catalog Record")</f>
        <v>Catalog Record</v>
      </c>
      <c r="AT153" s="6" t="str">
        <f>HYPERLINK("http://www.worldcat.org/oclc/42009406","WorldCat Record")</f>
        <v>WorldCat Record</v>
      </c>
      <c r="AU153" s="3" t="s">
        <v>2094</v>
      </c>
      <c r="AV153" s="3" t="s">
        <v>2095</v>
      </c>
      <c r="AW153" s="3" t="s">
        <v>2096</v>
      </c>
      <c r="AX153" s="3" t="s">
        <v>2096</v>
      </c>
      <c r="AY153" s="3" t="s">
        <v>2097</v>
      </c>
      <c r="AZ153" s="3" t="s">
        <v>73</v>
      </c>
      <c r="BB153" s="3" t="s">
        <v>2098</v>
      </c>
      <c r="BC153" s="3" t="s">
        <v>2099</v>
      </c>
      <c r="BD153" s="3" t="s">
        <v>2100</v>
      </c>
    </row>
    <row r="154" spans="1:56" ht="47.25" customHeight="1" x14ac:dyDescent="0.25">
      <c r="A154" s="7" t="s">
        <v>58</v>
      </c>
      <c r="B154" s="2" t="s">
        <v>2101</v>
      </c>
      <c r="C154" s="2" t="s">
        <v>2102</v>
      </c>
      <c r="D154" s="2" t="s">
        <v>2103</v>
      </c>
      <c r="F154" s="3" t="s">
        <v>58</v>
      </c>
      <c r="G154" s="3" t="s">
        <v>59</v>
      </c>
      <c r="H154" s="3" t="s">
        <v>58</v>
      </c>
      <c r="I154" s="3" t="s">
        <v>58</v>
      </c>
      <c r="J154" s="3" t="s">
        <v>60</v>
      </c>
      <c r="K154" s="2" t="s">
        <v>2104</v>
      </c>
      <c r="L154" s="2" t="s">
        <v>2105</v>
      </c>
      <c r="M154" s="3" t="s">
        <v>1210</v>
      </c>
      <c r="N154" s="2" t="s">
        <v>2106</v>
      </c>
      <c r="O154" s="3" t="s">
        <v>1327</v>
      </c>
      <c r="P154" s="3" t="s">
        <v>2107</v>
      </c>
      <c r="R154" s="3" t="s">
        <v>855</v>
      </c>
      <c r="S154" s="4">
        <v>17</v>
      </c>
      <c r="T154" s="4">
        <v>17</v>
      </c>
      <c r="U154" s="5" t="s">
        <v>2108</v>
      </c>
      <c r="V154" s="5" t="s">
        <v>2108</v>
      </c>
      <c r="W154" s="5" t="s">
        <v>2109</v>
      </c>
      <c r="X154" s="5" t="s">
        <v>2109</v>
      </c>
      <c r="Y154" s="4">
        <v>15</v>
      </c>
      <c r="Z154" s="4">
        <v>14</v>
      </c>
      <c r="AA154" s="4">
        <v>109</v>
      </c>
      <c r="AB154" s="4">
        <v>1</v>
      </c>
      <c r="AC154" s="4">
        <v>2</v>
      </c>
      <c r="AD154" s="4">
        <v>0</v>
      </c>
      <c r="AE154" s="4">
        <v>1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1</v>
      </c>
      <c r="AN154" s="4">
        <v>0</v>
      </c>
      <c r="AO154" s="4">
        <v>0</v>
      </c>
      <c r="AP154" s="3" t="s">
        <v>58</v>
      </c>
      <c r="AQ154" s="3" t="s">
        <v>58</v>
      </c>
      <c r="AS154" s="6" t="str">
        <f>HYPERLINK("https://creighton-primo.hosted.exlibrisgroup.com/primo-explore/search?tab=default_tab&amp;search_scope=EVERYTHING&amp;vid=01CRU&amp;lang=en_US&amp;offset=0&amp;query=any,contains,991002493249702656","Catalog Record")</f>
        <v>Catalog Record</v>
      </c>
      <c r="AT154" s="6" t="str">
        <f>HYPERLINK("http://www.worldcat.org/oclc/32432340","WorldCat Record")</f>
        <v>WorldCat Record</v>
      </c>
      <c r="AU154" s="3" t="s">
        <v>2110</v>
      </c>
      <c r="AV154" s="3" t="s">
        <v>2111</v>
      </c>
      <c r="AW154" s="3" t="s">
        <v>2112</v>
      </c>
      <c r="AX154" s="3" t="s">
        <v>2112</v>
      </c>
      <c r="AY154" s="3" t="s">
        <v>2113</v>
      </c>
      <c r="AZ154" s="3" t="s">
        <v>73</v>
      </c>
      <c r="BB154" s="3" t="s">
        <v>2114</v>
      </c>
      <c r="BC154" s="3" t="s">
        <v>2115</v>
      </c>
      <c r="BD154" s="3" t="s">
        <v>2116</v>
      </c>
    </row>
    <row r="155" spans="1:56" ht="47.25" customHeight="1" x14ac:dyDescent="0.25">
      <c r="A155" s="7" t="s">
        <v>58</v>
      </c>
      <c r="B155" s="2" t="s">
        <v>2117</v>
      </c>
      <c r="C155" s="2" t="s">
        <v>2118</v>
      </c>
      <c r="D155" s="2" t="s">
        <v>2119</v>
      </c>
      <c r="F155" s="3" t="s">
        <v>58</v>
      </c>
      <c r="G155" s="3" t="s">
        <v>59</v>
      </c>
      <c r="H155" s="3" t="s">
        <v>58</v>
      </c>
      <c r="I155" s="3" t="s">
        <v>58</v>
      </c>
      <c r="J155" s="3" t="s">
        <v>60</v>
      </c>
      <c r="K155" s="2" t="s">
        <v>2120</v>
      </c>
      <c r="L155" s="2" t="s">
        <v>2121</v>
      </c>
      <c r="M155" s="3" t="s">
        <v>2122</v>
      </c>
      <c r="N155" s="2" t="s">
        <v>695</v>
      </c>
      <c r="O155" s="3" t="s">
        <v>63</v>
      </c>
      <c r="P155" s="3" t="s">
        <v>310</v>
      </c>
      <c r="R155" s="3" t="s">
        <v>855</v>
      </c>
      <c r="S155" s="4">
        <v>2</v>
      </c>
      <c r="T155" s="4">
        <v>2</v>
      </c>
      <c r="U155" s="5" t="s">
        <v>928</v>
      </c>
      <c r="V155" s="5" t="s">
        <v>928</v>
      </c>
      <c r="W155" s="5" t="s">
        <v>2123</v>
      </c>
      <c r="X155" s="5" t="s">
        <v>2123</v>
      </c>
      <c r="Y155" s="4">
        <v>40</v>
      </c>
      <c r="Z155" s="4">
        <v>39</v>
      </c>
      <c r="AA155" s="4">
        <v>124</v>
      </c>
      <c r="AB155" s="4">
        <v>1</v>
      </c>
      <c r="AC155" s="4">
        <v>2</v>
      </c>
      <c r="AD155" s="4">
        <v>4</v>
      </c>
      <c r="AE155" s="4">
        <v>8</v>
      </c>
      <c r="AF155" s="4">
        <v>1</v>
      </c>
      <c r="AG155" s="4">
        <v>2</v>
      </c>
      <c r="AH155" s="4">
        <v>1</v>
      </c>
      <c r="AI155" s="4">
        <v>3</v>
      </c>
      <c r="AJ155" s="4">
        <v>2</v>
      </c>
      <c r="AK155" s="4">
        <v>6</v>
      </c>
      <c r="AL155" s="4">
        <v>0</v>
      </c>
      <c r="AM155" s="4">
        <v>0</v>
      </c>
      <c r="AN155" s="4">
        <v>0</v>
      </c>
      <c r="AO155" s="4">
        <v>0</v>
      </c>
      <c r="AP155" s="3" t="s">
        <v>58</v>
      </c>
      <c r="AQ155" s="3" t="s">
        <v>58</v>
      </c>
      <c r="AS155" s="6" t="str">
        <f>HYPERLINK("https://creighton-primo.hosted.exlibrisgroup.com/primo-explore/search?tab=default_tab&amp;search_scope=EVERYTHING&amp;vid=01CRU&amp;lang=en_US&amp;offset=0&amp;query=any,contains,991001426409702656","Catalog Record")</f>
        <v>Catalog Record</v>
      </c>
      <c r="AT155" s="6" t="str">
        <f>HYPERLINK("http://www.worldcat.org/oclc/19031368","WorldCat Record")</f>
        <v>WorldCat Record</v>
      </c>
      <c r="AU155" s="3" t="s">
        <v>2124</v>
      </c>
      <c r="AV155" s="3" t="s">
        <v>2125</v>
      </c>
      <c r="AW155" s="3" t="s">
        <v>2126</v>
      </c>
      <c r="AX155" s="3" t="s">
        <v>2126</v>
      </c>
      <c r="AY155" s="3" t="s">
        <v>2127</v>
      </c>
      <c r="AZ155" s="3" t="s">
        <v>73</v>
      </c>
      <c r="BC155" s="3" t="s">
        <v>2128</v>
      </c>
      <c r="BD155" s="3" t="s">
        <v>2129</v>
      </c>
    </row>
    <row r="156" spans="1:56" ht="47.25" customHeight="1" x14ac:dyDescent="0.25">
      <c r="A156" s="7" t="s">
        <v>58</v>
      </c>
      <c r="B156" s="2" t="s">
        <v>2130</v>
      </c>
      <c r="C156" s="2" t="s">
        <v>2131</v>
      </c>
      <c r="D156" s="2" t="s">
        <v>2132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60</v>
      </c>
      <c r="K156" s="2" t="s">
        <v>2133</v>
      </c>
      <c r="L156" s="2" t="s">
        <v>2134</v>
      </c>
      <c r="M156" s="3" t="s">
        <v>1313</v>
      </c>
      <c r="N156" s="2" t="s">
        <v>838</v>
      </c>
      <c r="O156" s="3" t="s">
        <v>63</v>
      </c>
      <c r="P156" s="3" t="s">
        <v>2107</v>
      </c>
      <c r="R156" s="3" t="s">
        <v>855</v>
      </c>
      <c r="S156" s="4">
        <v>35</v>
      </c>
      <c r="T156" s="4">
        <v>35</v>
      </c>
      <c r="U156" s="5" t="s">
        <v>2135</v>
      </c>
      <c r="V156" s="5" t="s">
        <v>2135</v>
      </c>
      <c r="W156" s="5" t="s">
        <v>2136</v>
      </c>
      <c r="X156" s="5" t="s">
        <v>2136</v>
      </c>
      <c r="Y156" s="4">
        <v>33</v>
      </c>
      <c r="Z156" s="4">
        <v>31</v>
      </c>
      <c r="AA156" s="4">
        <v>126</v>
      </c>
      <c r="AB156" s="4">
        <v>1</v>
      </c>
      <c r="AC156" s="4">
        <v>3</v>
      </c>
      <c r="AD156" s="4">
        <v>0</v>
      </c>
      <c r="AE156" s="4">
        <v>3</v>
      </c>
      <c r="AF156" s="4">
        <v>0</v>
      </c>
      <c r="AG156" s="4">
        <v>1</v>
      </c>
      <c r="AH156" s="4">
        <v>0</v>
      </c>
      <c r="AI156" s="4">
        <v>1</v>
      </c>
      <c r="AJ156" s="4">
        <v>0</v>
      </c>
      <c r="AK156" s="4">
        <v>1</v>
      </c>
      <c r="AL156" s="4">
        <v>0</v>
      </c>
      <c r="AM156" s="4">
        <v>1</v>
      </c>
      <c r="AN156" s="4">
        <v>0</v>
      </c>
      <c r="AO156" s="4">
        <v>0</v>
      </c>
      <c r="AP156" s="3" t="s">
        <v>58</v>
      </c>
      <c r="AQ156" s="3" t="s">
        <v>58</v>
      </c>
      <c r="AS156" s="6" t="str">
        <f>HYPERLINK("https://creighton-primo.hosted.exlibrisgroup.com/primo-explore/search?tab=default_tab&amp;search_scope=EVERYTHING&amp;vid=01CRU&amp;lang=en_US&amp;offset=0&amp;query=any,contains,991002439959702656","Catalog Record")</f>
        <v>Catalog Record</v>
      </c>
      <c r="AT156" s="6" t="str">
        <f>HYPERLINK("http://www.worldcat.org/oclc/31808191","WorldCat Record")</f>
        <v>WorldCat Record</v>
      </c>
      <c r="AU156" s="3" t="s">
        <v>2137</v>
      </c>
      <c r="AV156" s="3" t="s">
        <v>2138</v>
      </c>
      <c r="AW156" s="3" t="s">
        <v>2139</v>
      </c>
      <c r="AX156" s="3" t="s">
        <v>2139</v>
      </c>
      <c r="AY156" s="3" t="s">
        <v>2140</v>
      </c>
      <c r="AZ156" s="3" t="s">
        <v>73</v>
      </c>
      <c r="BB156" s="3" t="s">
        <v>2141</v>
      </c>
      <c r="BC156" s="3" t="s">
        <v>2142</v>
      </c>
      <c r="BD156" s="3" t="s">
        <v>2143</v>
      </c>
    </row>
    <row r="157" spans="1:56" ht="47.25" customHeight="1" x14ac:dyDescent="0.25">
      <c r="A157" s="7" t="s">
        <v>58</v>
      </c>
      <c r="B157" s="2" t="s">
        <v>2144</v>
      </c>
      <c r="C157" s="2" t="s">
        <v>2145</v>
      </c>
      <c r="D157" s="2" t="s">
        <v>2146</v>
      </c>
      <c r="F157" s="3" t="s">
        <v>58</v>
      </c>
      <c r="G157" s="3" t="s">
        <v>59</v>
      </c>
      <c r="H157" s="3" t="s">
        <v>58</v>
      </c>
      <c r="I157" s="3" t="s">
        <v>58</v>
      </c>
      <c r="J157" s="3" t="s">
        <v>60</v>
      </c>
      <c r="K157" s="2" t="s">
        <v>2147</v>
      </c>
      <c r="L157" s="2" t="s">
        <v>2148</v>
      </c>
      <c r="M157" s="3" t="s">
        <v>1089</v>
      </c>
      <c r="O157" s="3" t="s">
        <v>1327</v>
      </c>
      <c r="P157" s="3" t="s">
        <v>148</v>
      </c>
      <c r="Q157" s="2" t="s">
        <v>869</v>
      </c>
      <c r="R157" s="3" t="s">
        <v>855</v>
      </c>
      <c r="S157" s="4">
        <v>1</v>
      </c>
      <c r="T157" s="4">
        <v>1</v>
      </c>
      <c r="U157" s="5" t="s">
        <v>2149</v>
      </c>
      <c r="V157" s="5" t="s">
        <v>2149</v>
      </c>
      <c r="W157" s="5" t="s">
        <v>1492</v>
      </c>
      <c r="X157" s="5" t="s">
        <v>1492</v>
      </c>
      <c r="Y157" s="4">
        <v>37</v>
      </c>
      <c r="Z157" s="4">
        <v>37</v>
      </c>
      <c r="AA157" s="4">
        <v>44</v>
      </c>
      <c r="AB157" s="4">
        <v>1</v>
      </c>
      <c r="AC157" s="4">
        <v>1</v>
      </c>
      <c r="AD157" s="4">
        <v>3</v>
      </c>
      <c r="AE157" s="4">
        <v>3</v>
      </c>
      <c r="AF157" s="4">
        <v>1</v>
      </c>
      <c r="AG157" s="4">
        <v>1</v>
      </c>
      <c r="AH157" s="4">
        <v>0</v>
      </c>
      <c r="AI157" s="4">
        <v>0</v>
      </c>
      <c r="AJ157" s="4">
        <v>2</v>
      </c>
      <c r="AK157" s="4">
        <v>2</v>
      </c>
      <c r="AL157" s="4">
        <v>0</v>
      </c>
      <c r="AM157" s="4">
        <v>0</v>
      </c>
      <c r="AN157" s="4">
        <v>0</v>
      </c>
      <c r="AO157" s="4">
        <v>0</v>
      </c>
      <c r="AP157" s="3" t="s">
        <v>87</v>
      </c>
      <c r="AQ157" s="3" t="s">
        <v>58</v>
      </c>
      <c r="AR157" s="6" t="str">
        <f>HYPERLINK("http://catalog.hathitrust.org/Record/006537783","HathiTrust Record")</f>
        <v>HathiTrust Record</v>
      </c>
      <c r="AS157" s="6" t="str">
        <f>HYPERLINK("https://creighton-primo.hosted.exlibrisgroup.com/primo-explore/search?tab=default_tab&amp;search_scope=EVERYTHING&amp;vid=01CRU&amp;lang=en_US&amp;offset=0&amp;query=any,contains,991004068509702656","Catalog Record")</f>
        <v>Catalog Record</v>
      </c>
      <c r="AT157" s="6" t="str">
        <f>HYPERLINK("http://www.worldcat.org/oclc/2292054","WorldCat Record")</f>
        <v>WorldCat Record</v>
      </c>
      <c r="AU157" s="3" t="s">
        <v>2150</v>
      </c>
      <c r="AV157" s="3" t="s">
        <v>2151</v>
      </c>
      <c r="AW157" s="3" t="s">
        <v>2152</v>
      </c>
      <c r="AX157" s="3" t="s">
        <v>2152</v>
      </c>
      <c r="AY157" s="3" t="s">
        <v>2153</v>
      </c>
      <c r="AZ157" s="3" t="s">
        <v>73</v>
      </c>
      <c r="BC157" s="3" t="s">
        <v>2154</v>
      </c>
      <c r="BD157" s="3" t="s">
        <v>2155</v>
      </c>
    </row>
    <row r="158" spans="1:56" ht="47.25" customHeight="1" x14ac:dyDescent="0.25">
      <c r="A158" s="7" t="s">
        <v>58</v>
      </c>
      <c r="B158" s="2" t="s">
        <v>2156</v>
      </c>
      <c r="C158" s="2" t="s">
        <v>2157</v>
      </c>
      <c r="D158" s="2" t="s">
        <v>2158</v>
      </c>
      <c r="F158" s="3" t="s">
        <v>58</v>
      </c>
      <c r="G158" s="3" t="s">
        <v>59</v>
      </c>
      <c r="H158" s="3" t="s">
        <v>58</v>
      </c>
      <c r="I158" s="3" t="s">
        <v>58</v>
      </c>
      <c r="J158" s="3" t="s">
        <v>60</v>
      </c>
      <c r="K158" s="2" t="s">
        <v>2159</v>
      </c>
      <c r="L158" s="2" t="s">
        <v>2160</v>
      </c>
      <c r="M158" s="3" t="s">
        <v>2161</v>
      </c>
      <c r="O158" s="3" t="s">
        <v>1327</v>
      </c>
      <c r="P158" s="3" t="s">
        <v>83</v>
      </c>
      <c r="Q158" s="2" t="s">
        <v>2162</v>
      </c>
      <c r="R158" s="3" t="s">
        <v>855</v>
      </c>
      <c r="S158" s="4">
        <v>3</v>
      </c>
      <c r="T158" s="4">
        <v>3</v>
      </c>
      <c r="U158" s="5" t="s">
        <v>2163</v>
      </c>
      <c r="V158" s="5" t="s">
        <v>2163</v>
      </c>
      <c r="W158" s="5" t="s">
        <v>1492</v>
      </c>
      <c r="X158" s="5" t="s">
        <v>1492</v>
      </c>
      <c r="Y158" s="4">
        <v>125</v>
      </c>
      <c r="Z158" s="4">
        <v>122</v>
      </c>
      <c r="AA158" s="4">
        <v>260</v>
      </c>
      <c r="AB158" s="4">
        <v>5</v>
      </c>
      <c r="AC158" s="4">
        <v>6</v>
      </c>
      <c r="AD158" s="4">
        <v>10</v>
      </c>
      <c r="AE158" s="4">
        <v>15</v>
      </c>
      <c r="AF158" s="4">
        <v>2</v>
      </c>
      <c r="AG158" s="4">
        <v>5</v>
      </c>
      <c r="AH158" s="4">
        <v>2</v>
      </c>
      <c r="AI158" s="4">
        <v>2</v>
      </c>
      <c r="AJ158" s="4">
        <v>5</v>
      </c>
      <c r="AK158" s="4">
        <v>8</v>
      </c>
      <c r="AL158" s="4">
        <v>4</v>
      </c>
      <c r="AM158" s="4">
        <v>5</v>
      </c>
      <c r="AN158" s="4">
        <v>0</v>
      </c>
      <c r="AO158" s="4">
        <v>0</v>
      </c>
      <c r="AP158" s="3" t="s">
        <v>58</v>
      </c>
      <c r="AQ158" s="3" t="s">
        <v>58</v>
      </c>
      <c r="AS158" s="6" t="str">
        <f>HYPERLINK("https://creighton-primo.hosted.exlibrisgroup.com/primo-explore/search?tab=default_tab&amp;search_scope=EVERYTHING&amp;vid=01CRU&amp;lang=en_US&amp;offset=0&amp;query=any,contains,991004410509702656","Catalog Record")</f>
        <v>Catalog Record</v>
      </c>
      <c r="AT158" s="6" t="str">
        <f>HYPERLINK("http://www.worldcat.org/oclc/3338370","WorldCat Record")</f>
        <v>WorldCat Record</v>
      </c>
      <c r="AU158" s="3" t="s">
        <v>2164</v>
      </c>
      <c r="AV158" s="3" t="s">
        <v>2165</v>
      </c>
      <c r="AW158" s="3" t="s">
        <v>2166</v>
      </c>
      <c r="AX158" s="3" t="s">
        <v>2166</v>
      </c>
      <c r="AY158" s="3" t="s">
        <v>2167</v>
      </c>
      <c r="AZ158" s="3" t="s">
        <v>73</v>
      </c>
      <c r="BC158" s="3" t="s">
        <v>2168</v>
      </c>
      <c r="BD158" s="3" t="s">
        <v>2169</v>
      </c>
    </row>
    <row r="159" spans="1:56" ht="47.25" customHeight="1" x14ac:dyDescent="0.25">
      <c r="A159" s="7" t="s">
        <v>58</v>
      </c>
      <c r="B159" s="2" t="s">
        <v>2170</v>
      </c>
      <c r="C159" s="2" t="s">
        <v>2171</v>
      </c>
      <c r="D159" s="2" t="s">
        <v>2172</v>
      </c>
      <c r="F159" s="3" t="s">
        <v>58</v>
      </c>
      <c r="G159" s="3" t="s">
        <v>59</v>
      </c>
      <c r="H159" s="3" t="s">
        <v>58</v>
      </c>
      <c r="I159" s="3" t="s">
        <v>58</v>
      </c>
      <c r="J159" s="3" t="s">
        <v>60</v>
      </c>
      <c r="K159" s="2" t="s">
        <v>2173</v>
      </c>
      <c r="L159" s="2" t="s">
        <v>2174</v>
      </c>
      <c r="M159" s="3" t="s">
        <v>1047</v>
      </c>
      <c r="O159" s="3" t="s">
        <v>1327</v>
      </c>
      <c r="P159" s="3" t="s">
        <v>148</v>
      </c>
      <c r="Q159" s="2" t="s">
        <v>2175</v>
      </c>
      <c r="R159" s="3" t="s">
        <v>855</v>
      </c>
      <c r="S159" s="4">
        <v>4</v>
      </c>
      <c r="T159" s="4">
        <v>4</v>
      </c>
      <c r="U159" s="5" t="s">
        <v>2176</v>
      </c>
      <c r="V159" s="5" t="s">
        <v>2176</v>
      </c>
      <c r="W159" s="5" t="s">
        <v>1492</v>
      </c>
      <c r="X159" s="5" t="s">
        <v>1492</v>
      </c>
      <c r="Y159" s="4">
        <v>162</v>
      </c>
      <c r="Z159" s="4">
        <v>151</v>
      </c>
      <c r="AA159" s="4">
        <v>174</v>
      </c>
      <c r="AB159" s="4">
        <v>1</v>
      </c>
      <c r="AC159" s="4">
        <v>1</v>
      </c>
      <c r="AD159" s="4">
        <v>12</v>
      </c>
      <c r="AE159" s="4">
        <v>13</v>
      </c>
      <c r="AF159" s="4">
        <v>4</v>
      </c>
      <c r="AG159" s="4">
        <v>4</v>
      </c>
      <c r="AH159" s="4">
        <v>2</v>
      </c>
      <c r="AI159" s="4">
        <v>2</v>
      </c>
      <c r="AJ159" s="4">
        <v>10</v>
      </c>
      <c r="AK159" s="4">
        <v>11</v>
      </c>
      <c r="AL159" s="4">
        <v>0</v>
      </c>
      <c r="AM159" s="4">
        <v>0</v>
      </c>
      <c r="AN159" s="4">
        <v>0</v>
      </c>
      <c r="AO159" s="4">
        <v>0</v>
      </c>
      <c r="AP159" s="3" t="s">
        <v>58</v>
      </c>
      <c r="AQ159" s="3" t="s">
        <v>87</v>
      </c>
      <c r="AR159" s="6" t="str">
        <f>HYPERLINK("http://catalog.hathitrust.org/Record/006107597","HathiTrust Record")</f>
        <v>HathiTrust Record</v>
      </c>
      <c r="AS159" s="6" t="str">
        <f>HYPERLINK("https://creighton-primo.hosted.exlibrisgroup.com/primo-explore/search?tab=default_tab&amp;search_scope=EVERYTHING&amp;vid=01CRU&amp;lang=en_US&amp;offset=0&amp;query=any,contains,991003675429702656","Catalog Record")</f>
        <v>Catalog Record</v>
      </c>
      <c r="AT159" s="6" t="str">
        <f>HYPERLINK("http://www.worldcat.org/oclc/1295942","WorldCat Record")</f>
        <v>WorldCat Record</v>
      </c>
      <c r="AU159" s="3" t="s">
        <v>2177</v>
      </c>
      <c r="AV159" s="3" t="s">
        <v>2178</v>
      </c>
      <c r="AW159" s="3" t="s">
        <v>2179</v>
      </c>
      <c r="AX159" s="3" t="s">
        <v>2179</v>
      </c>
      <c r="AY159" s="3" t="s">
        <v>2180</v>
      </c>
      <c r="AZ159" s="3" t="s">
        <v>73</v>
      </c>
      <c r="BC159" s="3" t="s">
        <v>2181</v>
      </c>
      <c r="BD159" s="3" t="s">
        <v>2182</v>
      </c>
    </row>
    <row r="160" spans="1:56" ht="47.25" customHeight="1" x14ac:dyDescent="0.25">
      <c r="A160" s="7" t="s">
        <v>58</v>
      </c>
      <c r="B160" s="2" t="s">
        <v>2183</v>
      </c>
      <c r="C160" s="2" t="s">
        <v>2184</v>
      </c>
      <c r="D160" s="2" t="s">
        <v>2185</v>
      </c>
      <c r="F160" s="3" t="s">
        <v>58</v>
      </c>
      <c r="G160" s="3" t="s">
        <v>59</v>
      </c>
      <c r="H160" s="3" t="s">
        <v>58</v>
      </c>
      <c r="I160" s="3" t="s">
        <v>58</v>
      </c>
      <c r="J160" s="3" t="s">
        <v>60</v>
      </c>
      <c r="K160" s="2" t="s">
        <v>2186</v>
      </c>
      <c r="L160" s="2" t="s">
        <v>2187</v>
      </c>
      <c r="M160" s="3" t="s">
        <v>1102</v>
      </c>
      <c r="O160" s="3" t="s">
        <v>63</v>
      </c>
      <c r="P160" s="3" t="s">
        <v>101</v>
      </c>
      <c r="Q160" s="2" t="s">
        <v>2188</v>
      </c>
      <c r="R160" s="3" t="s">
        <v>855</v>
      </c>
      <c r="S160" s="4">
        <v>8</v>
      </c>
      <c r="T160" s="4">
        <v>8</v>
      </c>
      <c r="U160" s="5" t="s">
        <v>2189</v>
      </c>
      <c r="V160" s="5" t="s">
        <v>2189</v>
      </c>
      <c r="W160" s="5" t="s">
        <v>1892</v>
      </c>
      <c r="X160" s="5" t="s">
        <v>1892</v>
      </c>
      <c r="Y160" s="4">
        <v>28</v>
      </c>
      <c r="Z160" s="4">
        <v>26</v>
      </c>
      <c r="AA160" s="4">
        <v>41</v>
      </c>
      <c r="AB160" s="4">
        <v>1</v>
      </c>
      <c r="AC160" s="4">
        <v>1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3" t="s">
        <v>58</v>
      </c>
      <c r="AQ160" s="3" t="s">
        <v>58</v>
      </c>
      <c r="AS160" s="6" t="str">
        <f>HYPERLINK("https://creighton-primo.hosted.exlibrisgroup.com/primo-explore/search?tab=default_tab&amp;search_scope=EVERYTHING&amp;vid=01CRU&amp;lang=en_US&amp;offset=0&amp;query=any,contains,991004697629702656","Catalog Record")</f>
        <v>Catalog Record</v>
      </c>
      <c r="AT160" s="6" t="str">
        <f>HYPERLINK("http://www.worldcat.org/oclc/4647228","WorldCat Record")</f>
        <v>WorldCat Record</v>
      </c>
      <c r="AU160" s="3" t="s">
        <v>2190</v>
      </c>
      <c r="AV160" s="3" t="s">
        <v>2191</v>
      </c>
      <c r="AW160" s="3" t="s">
        <v>2192</v>
      </c>
      <c r="AX160" s="3" t="s">
        <v>2192</v>
      </c>
      <c r="AY160" s="3" t="s">
        <v>2193</v>
      </c>
      <c r="AZ160" s="3" t="s">
        <v>73</v>
      </c>
      <c r="BC160" s="3" t="s">
        <v>2194</v>
      </c>
      <c r="BD160" s="3" t="s">
        <v>2195</v>
      </c>
    </row>
    <row r="161" spans="1:56" ht="47.25" customHeight="1" x14ac:dyDescent="0.25">
      <c r="A161" s="7" t="s">
        <v>58</v>
      </c>
      <c r="B161" s="2" t="s">
        <v>2196</v>
      </c>
      <c r="C161" s="2" t="s">
        <v>2197</v>
      </c>
      <c r="D161" s="2" t="s">
        <v>2198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60</v>
      </c>
      <c r="K161" s="2" t="s">
        <v>2199</v>
      </c>
      <c r="L161" s="2" t="s">
        <v>2200</v>
      </c>
      <c r="M161" s="3" t="s">
        <v>2201</v>
      </c>
      <c r="O161" s="3" t="s">
        <v>63</v>
      </c>
      <c r="P161" s="3" t="s">
        <v>83</v>
      </c>
      <c r="R161" s="3" t="s">
        <v>855</v>
      </c>
      <c r="S161" s="4">
        <v>5</v>
      </c>
      <c r="T161" s="4">
        <v>5</v>
      </c>
      <c r="U161" s="5" t="s">
        <v>2202</v>
      </c>
      <c r="V161" s="5" t="s">
        <v>2202</v>
      </c>
      <c r="W161" s="5" t="s">
        <v>842</v>
      </c>
      <c r="X161" s="5" t="s">
        <v>842</v>
      </c>
      <c r="Y161" s="4">
        <v>336</v>
      </c>
      <c r="Z161" s="4">
        <v>311</v>
      </c>
      <c r="AA161" s="4">
        <v>360</v>
      </c>
      <c r="AB161" s="4">
        <v>2</v>
      </c>
      <c r="AC161" s="4">
        <v>5</v>
      </c>
      <c r="AD161" s="4">
        <v>8</v>
      </c>
      <c r="AE161" s="4">
        <v>13</v>
      </c>
      <c r="AF161" s="4">
        <v>2</v>
      </c>
      <c r="AG161" s="4">
        <v>3</v>
      </c>
      <c r="AH161" s="4">
        <v>3</v>
      </c>
      <c r="AI161" s="4">
        <v>3</v>
      </c>
      <c r="AJ161" s="4">
        <v>7</v>
      </c>
      <c r="AK161" s="4">
        <v>9</v>
      </c>
      <c r="AL161" s="4">
        <v>0</v>
      </c>
      <c r="AM161" s="4">
        <v>3</v>
      </c>
      <c r="AN161" s="4">
        <v>0</v>
      </c>
      <c r="AO161" s="4">
        <v>0</v>
      </c>
      <c r="AP161" s="3" t="s">
        <v>58</v>
      </c>
      <c r="AQ161" s="3" t="s">
        <v>87</v>
      </c>
      <c r="AR161" s="6" t="str">
        <f>HYPERLINK("http://catalog.hathitrust.org/Record/007135731","HathiTrust Record")</f>
        <v>HathiTrust Record</v>
      </c>
      <c r="AS161" s="6" t="str">
        <f>HYPERLINK("https://creighton-primo.hosted.exlibrisgroup.com/primo-explore/search?tab=default_tab&amp;search_scope=EVERYTHING&amp;vid=01CRU&amp;lang=en_US&amp;offset=0&amp;query=any,contains,991002512529702656","Catalog Record")</f>
        <v>Catalog Record</v>
      </c>
      <c r="AT161" s="6" t="str">
        <f>HYPERLINK("http://www.worldcat.org/oclc/365463","WorldCat Record")</f>
        <v>WorldCat Record</v>
      </c>
      <c r="AU161" s="3" t="s">
        <v>2203</v>
      </c>
      <c r="AV161" s="3" t="s">
        <v>2204</v>
      </c>
      <c r="AW161" s="3" t="s">
        <v>2205</v>
      </c>
      <c r="AX161" s="3" t="s">
        <v>2205</v>
      </c>
      <c r="AY161" s="3" t="s">
        <v>2206</v>
      </c>
      <c r="AZ161" s="3" t="s">
        <v>73</v>
      </c>
      <c r="BC161" s="3" t="s">
        <v>2207</v>
      </c>
      <c r="BD161" s="3" t="s">
        <v>2208</v>
      </c>
    </row>
    <row r="162" spans="1:56" ht="47.25" customHeight="1" x14ac:dyDescent="0.25">
      <c r="A162" s="7" t="s">
        <v>58</v>
      </c>
      <c r="B162" s="2" t="s">
        <v>2209</v>
      </c>
      <c r="C162" s="2" t="s">
        <v>2210</v>
      </c>
      <c r="D162" s="2" t="s">
        <v>2211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K162" s="2" t="s">
        <v>2212</v>
      </c>
      <c r="L162" s="2" t="s">
        <v>2213</v>
      </c>
      <c r="M162" s="3" t="s">
        <v>2214</v>
      </c>
      <c r="O162" s="3" t="s">
        <v>1327</v>
      </c>
      <c r="P162" s="3" t="s">
        <v>148</v>
      </c>
      <c r="R162" s="3" t="s">
        <v>855</v>
      </c>
      <c r="S162" s="4">
        <v>1</v>
      </c>
      <c r="T162" s="4">
        <v>1</v>
      </c>
      <c r="U162" s="5" t="s">
        <v>2215</v>
      </c>
      <c r="V162" s="5" t="s">
        <v>2215</v>
      </c>
      <c r="W162" s="5" t="s">
        <v>1157</v>
      </c>
      <c r="X162" s="5" t="s">
        <v>1157</v>
      </c>
      <c r="Y162" s="4">
        <v>114</v>
      </c>
      <c r="Z162" s="4">
        <v>106</v>
      </c>
      <c r="AA162" s="4">
        <v>119</v>
      </c>
      <c r="AB162" s="4">
        <v>1</v>
      </c>
      <c r="AC162" s="4">
        <v>1</v>
      </c>
      <c r="AD162" s="4">
        <v>1</v>
      </c>
      <c r="AE162" s="4">
        <v>1</v>
      </c>
      <c r="AF162" s="4">
        <v>0</v>
      </c>
      <c r="AG162" s="4">
        <v>0</v>
      </c>
      <c r="AH162" s="4">
        <v>0</v>
      </c>
      <c r="AI162" s="4">
        <v>0</v>
      </c>
      <c r="AJ162" s="4">
        <v>1</v>
      </c>
      <c r="AK162" s="4">
        <v>1</v>
      </c>
      <c r="AL162" s="4">
        <v>0</v>
      </c>
      <c r="AM162" s="4">
        <v>0</v>
      </c>
      <c r="AN162" s="4">
        <v>0</v>
      </c>
      <c r="AO162" s="4">
        <v>0</v>
      </c>
      <c r="AP162" s="3" t="s">
        <v>58</v>
      </c>
      <c r="AQ162" s="3" t="s">
        <v>87</v>
      </c>
      <c r="AR162" s="6" t="str">
        <f>HYPERLINK("http://catalog.hathitrust.org/Record/101395623","HathiTrust Record")</f>
        <v>HathiTrust Record</v>
      </c>
      <c r="AS162" s="6" t="str">
        <f>HYPERLINK("https://creighton-primo.hosted.exlibrisgroup.com/primo-explore/search?tab=default_tab&amp;search_scope=EVERYTHING&amp;vid=01CRU&amp;lang=en_US&amp;offset=0&amp;query=any,contains,991004370929702656","Catalog Record")</f>
        <v>Catalog Record</v>
      </c>
      <c r="AT162" s="6" t="str">
        <f>HYPERLINK("http://www.worldcat.org/oclc/3190100","WorldCat Record")</f>
        <v>WorldCat Record</v>
      </c>
      <c r="AU162" s="3" t="s">
        <v>2216</v>
      </c>
      <c r="AV162" s="3" t="s">
        <v>2217</v>
      </c>
      <c r="AW162" s="3" t="s">
        <v>2218</v>
      </c>
      <c r="AX162" s="3" t="s">
        <v>2218</v>
      </c>
      <c r="AY162" s="3" t="s">
        <v>2219</v>
      </c>
      <c r="AZ162" s="3" t="s">
        <v>73</v>
      </c>
      <c r="BC162" s="3" t="s">
        <v>2220</v>
      </c>
      <c r="BD162" s="3" t="s">
        <v>2221</v>
      </c>
    </row>
    <row r="163" spans="1:56" ht="47.25" customHeight="1" x14ac:dyDescent="0.25">
      <c r="A163" s="7" t="s">
        <v>58</v>
      </c>
      <c r="B163" s="2" t="s">
        <v>2222</v>
      </c>
      <c r="C163" s="2" t="s">
        <v>2223</v>
      </c>
      <c r="D163" s="2" t="s">
        <v>2224</v>
      </c>
      <c r="F163" s="3" t="s">
        <v>58</v>
      </c>
      <c r="G163" s="3" t="s">
        <v>59</v>
      </c>
      <c r="H163" s="3" t="s">
        <v>58</v>
      </c>
      <c r="I163" s="3" t="s">
        <v>58</v>
      </c>
      <c r="J163" s="3" t="s">
        <v>60</v>
      </c>
      <c r="L163" s="2" t="s">
        <v>2225</v>
      </c>
      <c r="M163" s="3" t="s">
        <v>1283</v>
      </c>
      <c r="O163" s="3" t="s">
        <v>1327</v>
      </c>
      <c r="P163" s="3" t="s">
        <v>83</v>
      </c>
      <c r="R163" s="3" t="s">
        <v>855</v>
      </c>
      <c r="S163" s="4">
        <v>1</v>
      </c>
      <c r="T163" s="4">
        <v>1</v>
      </c>
      <c r="U163" s="5" t="s">
        <v>2226</v>
      </c>
      <c r="V163" s="5" t="s">
        <v>2226</v>
      </c>
      <c r="W163" s="5" t="s">
        <v>2226</v>
      </c>
      <c r="X163" s="5" t="s">
        <v>2226</v>
      </c>
      <c r="Y163" s="4">
        <v>117</v>
      </c>
      <c r="Z163" s="4">
        <v>106</v>
      </c>
      <c r="AA163" s="4">
        <v>108</v>
      </c>
      <c r="AB163" s="4">
        <v>2</v>
      </c>
      <c r="AC163" s="4">
        <v>2</v>
      </c>
      <c r="AD163" s="4">
        <v>8</v>
      </c>
      <c r="AE163" s="4">
        <v>8</v>
      </c>
      <c r="AF163" s="4">
        <v>5</v>
      </c>
      <c r="AG163" s="4">
        <v>5</v>
      </c>
      <c r="AH163" s="4">
        <v>3</v>
      </c>
      <c r="AI163" s="4">
        <v>3</v>
      </c>
      <c r="AJ163" s="4">
        <v>3</v>
      </c>
      <c r="AK163" s="4">
        <v>3</v>
      </c>
      <c r="AL163" s="4">
        <v>1</v>
      </c>
      <c r="AM163" s="4">
        <v>1</v>
      </c>
      <c r="AN163" s="4">
        <v>0</v>
      </c>
      <c r="AO163" s="4">
        <v>0</v>
      </c>
      <c r="AP163" s="3" t="s">
        <v>58</v>
      </c>
      <c r="AQ163" s="3" t="s">
        <v>87</v>
      </c>
      <c r="AR163" s="6" t="str">
        <f>HYPERLINK("http://catalog.hathitrust.org/Record/101004944","HathiTrust Record")</f>
        <v>HathiTrust Record</v>
      </c>
      <c r="AS163" s="6" t="str">
        <f>HYPERLINK("https://creighton-primo.hosted.exlibrisgroup.com/primo-explore/search?tab=default_tab&amp;search_scope=EVERYTHING&amp;vid=01CRU&amp;lang=en_US&amp;offset=0&amp;query=any,contains,991004509569702656","Catalog Record")</f>
        <v>Catalog Record</v>
      </c>
      <c r="AT163" s="6" t="str">
        <f>HYPERLINK("http://www.worldcat.org/oclc/5105226","WorldCat Record")</f>
        <v>WorldCat Record</v>
      </c>
      <c r="AU163" s="3" t="s">
        <v>2227</v>
      </c>
      <c r="AV163" s="3" t="s">
        <v>2228</v>
      </c>
      <c r="AW163" s="3" t="s">
        <v>2229</v>
      </c>
      <c r="AX163" s="3" t="s">
        <v>2229</v>
      </c>
      <c r="AY163" s="3" t="s">
        <v>2230</v>
      </c>
      <c r="AZ163" s="3" t="s">
        <v>73</v>
      </c>
      <c r="BC163" s="3" t="s">
        <v>2231</v>
      </c>
      <c r="BD163" s="3" t="s">
        <v>2232</v>
      </c>
    </row>
    <row r="164" spans="1:56" ht="47.25" customHeight="1" x14ac:dyDescent="0.25">
      <c r="A164" s="7" t="s">
        <v>58</v>
      </c>
      <c r="B164" s="2" t="s">
        <v>2233</v>
      </c>
      <c r="C164" s="2" t="s">
        <v>2234</v>
      </c>
      <c r="D164" s="2" t="s">
        <v>2235</v>
      </c>
      <c r="F164" s="3" t="s">
        <v>58</v>
      </c>
      <c r="G164" s="3" t="s">
        <v>59</v>
      </c>
      <c r="H164" s="3" t="s">
        <v>58</v>
      </c>
      <c r="I164" s="3" t="s">
        <v>58</v>
      </c>
      <c r="J164" s="3" t="s">
        <v>60</v>
      </c>
      <c r="K164" s="2" t="s">
        <v>2236</v>
      </c>
      <c r="L164" s="2" t="s">
        <v>1410</v>
      </c>
      <c r="M164" s="3" t="s">
        <v>425</v>
      </c>
      <c r="O164" s="3" t="s">
        <v>63</v>
      </c>
      <c r="P164" s="3" t="s">
        <v>83</v>
      </c>
      <c r="R164" s="3" t="s">
        <v>855</v>
      </c>
      <c r="S164" s="4">
        <v>3</v>
      </c>
      <c r="T164" s="4">
        <v>3</v>
      </c>
      <c r="U164" s="5" t="s">
        <v>2237</v>
      </c>
      <c r="V164" s="5" t="s">
        <v>2237</v>
      </c>
      <c r="W164" s="5" t="s">
        <v>2238</v>
      </c>
      <c r="X164" s="5" t="s">
        <v>2238</v>
      </c>
      <c r="Y164" s="4">
        <v>349</v>
      </c>
      <c r="Z164" s="4">
        <v>345</v>
      </c>
      <c r="AA164" s="4">
        <v>500</v>
      </c>
      <c r="AB164" s="4">
        <v>6</v>
      </c>
      <c r="AC164" s="4">
        <v>7</v>
      </c>
      <c r="AD164" s="4">
        <v>7</v>
      </c>
      <c r="AE164" s="4">
        <v>7</v>
      </c>
      <c r="AF164" s="4">
        <v>0</v>
      </c>
      <c r="AG164" s="4">
        <v>0</v>
      </c>
      <c r="AH164" s="4">
        <v>0</v>
      </c>
      <c r="AI164" s="4">
        <v>0</v>
      </c>
      <c r="AJ164" s="4">
        <v>1</v>
      </c>
      <c r="AK164" s="4">
        <v>1</v>
      </c>
      <c r="AL164" s="4">
        <v>5</v>
      </c>
      <c r="AM164" s="4">
        <v>5</v>
      </c>
      <c r="AN164" s="4">
        <v>1</v>
      </c>
      <c r="AO164" s="4">
        <v>1</v>
      </c>
      <c r="AP164" s="3" t="s">
        <v>58</v>
      </c>
      <c r="AQ164" s="3" t="s">
        <v>58</v>
      </c>
      <c r="AS164" s="6" t="str">
        <f>HYPERLINK("https://creighton-primo.hosted.exlibrisgroup.com/primo-explore/search?tab=default_tab&amp;search_scope=EVERYTHING&amp;vid=01CRU&amp;lang=en_US&amp;offset=0&amp;query=any,contains,991002642699702656","Catalog Record")</f>
        <v>Catalog Record</v>
      </c>
      <c r="AT164" s="6" t="str">
        <f>HYPERLINK("http://www.worldcat.org/oclc/34594822","WorldCat Record")</f>
        <v>WorldCat Record</v>
      </c>
      <c r="AU164" s="3" t="s">
        <v>2239</v>
      </c>
      <c r="AV164" s="3" t="s">
        <v>2240</v>
      </c>
      <c r="AW164" s="3" t="s">
        <v>2241</v>
      </c>
      <c r="AX164" s="3" t="s">
        <v>2241</v>
      </c>
      <c r="AY164" s="3" t="s">
        <v>2242</v>
      </c>
      <c r="AZ164" s="3" t="s">
        <v>73</v>
      </c>
      <c r="BB164" s="3" t="s">
        <v>2243</v>
      </c>
      <c r="BC164" s="3" t="s">
        <v>2244</v>
      </c>
      <c r="BD164" s="3" t="s">
        <v>2245</v>
      </c>
    </row>
    <row r="165" spans="1:56" ht="47.25" customHeight="1" x14ac:dyDescent="0.25">
      <c r="A165" s="7" t="s">
        <v>58</v>
      </c>
      <c r="B165" s="2" t="s">
        <v>2246</v>
      </c>
      <c r="C165" s="2" t="s">
        <v>2247</v>
      </c>
      <c r="D165" s="2" t="s">
        <v>2248</v>
      </c>
      <c r="F165" s="3" t="s">
        <v>58</v>
      </c>
      <c r="G165" s="3" t="s">
        <v>59</v>
      </c>
      <c r="H165" s="3" t="s">
        <v>58</v>
      </c>
      <c r="I165" s="3" t="s">
        <v>58</v>
      </c>
      <c r="J165" s="3" t="s">
        <v>60</v>
      </c>
      <c r="K165" s="2" t="s">
        <v>2249</v>
      </c>
      <c r="L165" s="2" t="s">
        <v>2250</v>
      </c>
      <c r="M165" s="3" t="s">
        <v>2251</v>
      </c>
      <c r="O165" s="3" t="s">
        <v>63</v>
      </c>
      <c r="P165" s="3" t="s">
        <v>1772</v>
      </c>
      <c r="Q165" s="2" t="s">
        <v>2252</v>
      </c>
      <c r="R165" s="3" t="s">
        <v>855</v>
      </c>
      <c r="S165" s="4">
        <v>1</v>
      </c>
      <c r="T165" s="4">
        <v>1</v>
      </c>
      <c r="U165" s="5" t="s">
        <v>625</v>
      </c>
      <c r="V165" s="5" t="s">
        <v>625</v>
      </c>
      <c r="W165" s="5" t="s">
        <v>625</v>
      </c>
      <c r="X165" s="5" t="s">
        <v>625</v>
      </c>
      <c r="Y165" s="4">
        <v>151</v>
      </c>
      <c r="Z165" s="4">
        <v>135</v>
      </c>
      <c r="AA165" s="4">
        <v>198</v>
      </c>
      <c r="AB165" s="4">
        <v>3</v>
      </c>
      <c r="AC165" s="4">
        <v>3</v>
      </c>
      <c r="AD165" s="4">
        <v>4</v>
      </c>
      <c r="AE165" s="4">
        <v>4</v>
      </c>
      <c r="AF165" s="4">
        <v>1</v>
      </c>
      <c r="AG165" s="4">
        <v>1</v>
      </c>
      <c r="AH165" s="4">
        <v>1</v>
      </c>
      <c r="AI165" s="4">
        <v>1</v>
      </c>
      <c r="AJ165" s="4">
        <v>3</v>
      </c>
      <c r="AK165" s="4">
        <v>3</v>
      </c>
      <c r="AL165" s="4">
        <v>1</v>
      </c>
      <c r="AM165" s="4">
        <v>1</v>
      </c>
      <c r="AN165" s="4">
        <v>0</v>
      </c>
      <c r="AO165" s="4">
        <v>0</v>
      </c>
      <c r="AP165" s="3" t="s">
        <v>58</v>
      </c>
      <c r="AQ165" s="3" t="s">
        <v>58</v>
      </c>
      <c r="AS165" s="6" t="str">
        <f>HYPERLINK("https://creighton-primo.hosted.exlibrisgroup.com/primo-explore/search?tab=default_tab&amp;search_scope=EVERYTHING&amp;vid=01CRU&amp;lang=en_US&amp;offset=0&amp;query=any,contains,991005116539702656","Catalog Record")</f>
        <v>Catalog Record</v>
      </c>
      <c r="AT165" s="6" t="str">
        <f>HYPERLINK("http://www.worldcat.org/oclc/77256791","WorldCat Record")</f>
        <v>WorldCat Record</v>
      </c>
      <c r="AU165" s="3" t="s">
        <v>2253</v>
      </c>
      <c r="AV165" s="3" t="s">
        <v>2254</v>
      </c>
      <c r="AW165" s="3" t="s">
        <v>2255</v>
      </c>
      <c r="AX165" s="3" t="s">
        <v>2255</v>
      </c>
      <c r="AY165" s="3" t="s">
        <v>2256</v>
      </c>
      <c r="AZ165" s="3" t="s">
        <v>73</v>
      </c>
      <c r="BB165" s="3" t="s">
        <v>2257</v>
      </c>
      <c r="BC165" s="3" t="s">
        <v>2258</v>
      </c>
      <c r="BD165" s="3" t="s">
        <v>2259</v>
      </c>
    </row>
    <row r="166" spans="1:56" ht="47.25" customHeight="1" x14ac:dyDescent="0.25">
      <c r="A166" s="7" t="s">
        <v>58</v>
      </c>
      <c r="B166" s="2" t="s">
        <v>2260</v>
      </c>
      <c r="C166" s="2" t="s">
        <v>2261</v>
      </c>
      <c r="D166" s="2" t="s">
        <v>2262</v>
      </c>
      <c r="F166" s="3" t="s">
        <v>58</v>
      </c>
      <c r="G166" s="3" t="s">
        <v>59</v>
      </c>
      <c r="H166" s="3" t="s">
        <v>58</v>
      </c>
      <c r="I166" s="3" t="s">
        <v>58</v>
      </c>
      <c r="J166" s="3" t="s">
        <v>60</v>
      </c>
      <c r="K166" s="2" t="s">
        <v>2263</v>
      </c>
      <c r="L166" s="2" t="s">
        <v>2264</v>
      </c>
      <c r="M166" s="3" t="s">
        <v>2201</v>
      </c>
      <c r="O166" s="3" t="s">
        <v>63</v>
      </c>
      <c r="P166" s="3" t="s">
        <v>2265</v>
      </c>
      <c r="R166" s="3" t="s">
        <v>855</v>
      </c>
      <c r="S166" s="4">
        <v>1</v>
      </c>
      <c r="T166" s="4">
        <v>1</v>
      </c>
      <c r="U166" s="5" t="s">
        <v>2266</v>
      </c>
      <c r="V166" s="5" t="s">
        <v>2266</v>
      </c>
      <c r="W166" s="5" t="s">
        <v>2238</v>
      </c>
      <c r="X166" s="5" t="s">
        <v>2238</v>
      </c>
      <c r="Y166" s="4">
        <v>41</v>
      </c>
      <c r="Z166" s="4">
        <v>41</v>
      </c>
      <c r="AA166" s="4">
        <v>41</v>
      </c>
      <c r="AB166" s="4">
        <v>1</v>
      </c>
      <c r="AC166" s="4">
        <v>1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3" t="s">
        <v>58</v>
      </c>
      <c r="AQ166" s="3" t="s">
        <v>58</v>
      </c>
      <c r="AS166" s="6" t="str">
        <f>HYPERLINK("https://creighton-primo.hosted.exlibrisgroup.com/primo-explore/search?tab=default_tab&amp;search_scope=EVERYTHING&amp;vid=01CRU&amp;lang=en_US&amp;offset=0&amp;query=any,contains,991004405339702656","Catalog Record")</f>
        <v>Catalog Record</v>
      </c>
      <c r="AT166" s="6" t="str">
        <f>HYPERLINK("http://www.worldcat.org/oclc/3320000","WorldCat Record")</f>
        <v>WorldCat Record</v>
      </c>
      <c r="AU166" s="3" t="s">
        <v>2267</v>
      </c>
      <c r="AV166" s="3" t="s">
        <v>2268</v>
      </c>
      <c r="AW166" s="3" t="s">
        <v>2269</v>
      </c>
      <c r="AX166" s="3" t="s">
        <v>2269</v>
      </c>
      <c r="AY166" s="3" t="s">
        <v>2270</v>
      </c>
      <c r="AZ166" s="3" t="s">
        <v>73</v>
      </c>
      <c r="BC166" s="3" t="s">
        <v>2271</v>
      </c>
      <c r="BD166" s="3" t="s">
        <v>2272</v>
      </c>
    </row>
    <row r="167" spans="1:56" ht="47.25" customHeight="1" x14ac:dyDescent="0.25">
      <c r="A167" s="7" t="s">
        <v>58</v>
      </c>
      <c r="B167" s="2" t="s">
        <v>2273</v>
      </c>
      <c r="C167" s="2" t="s">
        <v>2274</v>
      </c>
      <c r="D167" s="2" t="s">
        <v>2275</v>
      </c>
      <c r="F167" s="3" t="s">
        <v>58</v>
      </c>
      <c r="G167" s="3" t="s">
        <v>59</v>
      </c>
      <c r="H167" s="3" t="s">
        <v>58</v>
      </c>
      <c r="I167" s="3" t="s">
        <v>58</v>
      </c>
      <c r="J167" s="3" t="s">
        <v>60</v>
      </c>
      <c r="K167" s="2" t="s">
        <v>2263</v>
      </c>
      <c r="L167" s="2" t="s">
        <v>2276</v>
      </c>
      <c r="M167" s="3" t="s">
        <v>2201</v>
      </c>
      <c r="O167" s="3" t="s">
        <v>63</v>
      </c>
      <c r="P167" s="3" t="s">
        <v>2265</v>
      </c>
      <c r="R167" s="3" t="s">
        <v>855</v>
      </c>
      <c r="S167" s="4">
        <v>1</v>
      </c>
      <c r="T167" s="4">
        <v>1</v>
      </c>
      <c r="U167" s="5" t="s">
        <v>2266</v>
      </c>
      <c r="V167" s="5" t="s">
        <v>2266</v>
      </c>
      <c r="W167" s="5" t="s">
        <v>2238</v>
      </c>
      <c r="X167" s="5" t="s">
        <v>2238</v>
      </c>
      <c r="Y167" s="4">
        <v>39</v>
      </c>
      <c r="Z167" s="4">
        <v>39</v>
      </c>
      <c r="AA167" s="4">
        <v>39</v>
      </c>
      <c r="AB167" s="4">
        <v>1</v>
      </c>
      <c r="AC167" s="4">
        <v>1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3" t="s">
        <v>58</v>
      </c>
      <c r="AQ167" s="3" t="s">
        <v>58</v>
      </c>
      <c r="AS167" s="6" t="str">
        <f>HYPERLINK("https://creighton-primo.hosted.exlibrisgroup.com/primo-explore/search?tab=default_tab&amp;search_scope=EVERYTHING&amp;vid=01CRU&amp;lang=en_US&amp;offset=0&amp;query=any,contains,991004372009702656","Catalog Record")</f>
        <v>Catalog Record</v>
      </c>
      <c r="AT167" s="6" t="str">
        <f>HYPERLINK("http://www.worldcat.org/oclc/3196169","WorldCat Record")</f>
        <v>WorldCat Record</v>
      </c>
      <c r="AU167" s="3" t="s">
        <v>2277</v>
      </c>
      <c r="AV167" s="3" t="s">
        <v>2278</v>
      </c>
      <c r="AW167" s="3" t="s">
        <v>2279</v>
      </c>
      <c r="AX167" s="3" t="s">
        <v>2279</v>
      </c>
      <c r="AY167" s="3" t="s">
        <v>2280</v>
      </c>
      <c r="AZ167" s="3" t="s">
        <v>73</v>
      </c>
      <c r="BC167" s="3" t="s">
        <v>2281</v>
      </c>
      <c r="BD167" s="3" t="s">
        <v>2282</v>
      </c>
    </row>
    <row r="168" spans="1:56" ht="47.25" customHeight="1" x14ac:dyDescent="0.25">
      <c r="A168" s="7" t="s">
        <v>58</v>
      </c>
      <c r="B168" s="2" t="s">
        <v>2283</v>
      </c>
      <c r="C168" s="2" t="s">
        <v>2284</v>
      </c>
      <c r="D168" s="2" t="s">
        <v>2285</v>
      </c>
      <c r="F168" s="3" t="s">
        <v>58</v>
      </c>
      <c r="G168" s="3" t="s">
        <v>59</v>
      </c>
      <c r="H168" s="3" t="s">
        <v>58</v>
      </c>
      <c r="I168" s="3" t="s">
        <v>58</v>
      </c>
      <c r="J168" s="3" t="s">
        <v>60</v>
      </c>
      <c r="K168" s="2" t="s">
        <v>2263</v>
      </c>
      <c r="L168" s="2" t="s">
        <v>2286</v>
      </c>
      <c r="M168" s="3" t="s">
        <v>971</v>
      </c>
      <c r="N168" s="2" t="s">
        <v>2287</v>
      </c>
      <c r="O168" s="3" t="s">
        <v>63</v>
      </c>
      <c r="P168" s="3" t="s">
        <v>2265</v>
      </c>
      <c r="R168" s="3" t="s">
        <v>855</v>
      </c>
      <c r="S168" s="4">
        <v>1</v>
      </c>
      <c r="T168" s="4">
        <v>1</v>
      </c>
      <c r="U168" s="5" t="s">
        <v>2288</v>
      </c>
      <c r="V168" s="5" t="s">
        <v>2288</v>
      </c>
      <c r="W168" s="5" t="s">
        <v>2238</v>
      </c>
      <c r="X168" s="5" t="s">
        <v>2238</v>
      </c>
      <c r="Y168" s="4">
        <v>39</v>
      </c>
      <c r="Z168" s="4">
        <v>38</v>
      </c>
      <c r="AA168" s="4">
        <v>47</v>
      </c>
      <c r="AB168" s="4">
        <v>1</v>
      </c>
      <c r="AC168" s="4">
        <v>1</v>
      </c>
      <c r="AD168" s="4">
        <v>1</v>
      </c>
      <c r="AE168" s="4">
        <v>1</v>
      </c>
      <c r="AF168" s="4">
        <v>0</v>
      </c>
      <c r="AG168" s="4">
        <v>0</v>
      </c>
      <c r="AH168" s="4">
        <v>0</v>
      </c>
      <c r="AI168" s="4">
        <v>0</v>
      </c>
      <c r="AJ168" s="4">
        <v>1</v>
      </c>
      <c r="AK168" s="4">
        <v>1</v>
      </c>
      <c r="AL168" s="4">
        <v>0</v>
      </c>
      <c r="AM168" s="4">
        <v>0</v>
      </c>
      <c r="AN168" s="4">
        <v>0</v>
      </c>
      <c r="AO168" s="4">
        <v>0</v>
      </c>
      <c r="AP168" s="3" t="s">
        <v>58</v>
      </c>
      <c r="AQ168" s="3" t="s">
        <v>58</v>
      </c>
      <c r="AS168" s="6" t="str">
        <f>HYPERLINK("https://creighton-primo.hosted.exlibrisgroup.com/primo-explore/search?tab=default_tab&amp;search_scope=EVERYTHING&amp;vid=01CRU&amp;lang=en_US&amp;offset=0&amp;query=any,contains,991004284079702656","Catalog Record")</f>
        <v>Catalog Record</v>
      </c>
      <c r="AT168" s="6" t="str">
        <f>HYPERLINK("http://www.worldcat.org/oclc/2918302","WorldCat Record")</f>
        <v>WorldCat Record</v>
      </c>
      <c r="AU168" s="3" t="s">
        <v>2289</v>
      </c>
      <c r="AV168" s="3" t="s">
        <v>2290</v>
      </c>
      <c r="AW168" s="3" t="s">
        <v>2291</v>
      </c>
      <c r="AX168" s="3" t="s">
        <v>2291</v>
      </c>
      <c r="AY168" s="3" t="s">
        <v>2292</v>
      </c>
      <c r="AZ168" s="3" t="s">
        <v>73</v>
      </c>
      <c r="BC168" s="3" t="s">
        <v>2293</v>
      </c>
      <c r="BD168" s="3" t="s">
        <v>2294</v>
      </c>
    </row>
    <row r="169" spans="1:56" ht="47.25" customHeight="1" x14ac:dyDescent="0.25">
      <c r="A169" s="7" t="s">
        <v>58</v>
      </c>
      <c r="B169" s="2" t="s">
        <v>2295</v>
      </c>
      <c r="C169" s="2" t="s">
        <v>2296</v>
      </c>
      <c r="D169" s="2" t="s">
        <v>2297</v>
      </c>
      <c r="F169" s="3" t="s">
        <v>58</v>
      </c>
      <c r="G169" s="3" t="s">
        <v>59</v>
      </c>
      <c r="H169" s="3" t="s">
        <v>58</v>
      </c>
      <c r="I169" s="3" t="s">
        <v>58</v>
      </c>
      <c r="J169" s="3" t="s">
        <v>60</v>
      </c>
      <c r="K169" s="2" t="s">
        <v>2298</v>
      </c>
      <c r="L169" s="2" t="s">
        <v>2299</v>
      </c>
      <c r="M169" s="3" t="s">
        <v>352</v>
      </c>
      <c r="N169" s="2" t="s">
        <v>2014</v>
      </c>
      <c r="O169" s="3" t="s">
        <v>1327</v>
      </c>
      <c r="P169" s="3" t="s">
        <v>1919</v>
      </c>
      <c r="R169" s="3" t="s">
        <v>855</v>
      </c>
      <c r="S169" s="4">
        <v>1</v>
      </c>
      <c r="T169" s="4">
        <v>1</v>
      </c>
      <c r="U169" s="5" t="s">
        <v>2300</v>
      </c>
      <c r="V169" s="5" t="s">
        <v>2300</v>
      </c>
      <c r="W169" s="5" t="s">
        <v>2301</v>
      </c>
      <c r="X169" s="5" t="s">
        <v>2301</v>
      </c>
      <c r="Y169" s="4">
        <v>1</v>
      </c>
      <c r="Z169" s="4">
        <v>1</v>
      </c>
      <c r="AA169" s="4">
        <v>1</v>
      </c>
      <c r="AB169" s="4">
        <v>1</v>
      </c>
      <c r="AC169" s="4">
        <v>1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3" t="s">
        <v>58</v>
      </c>
      <c r="AQ169" s="3" t="s">
        <v>58</v>
      </c>
      <c r="AS169" s="6" t="str">
        <f>HYPERLINK("https://creighton-primo.hosted.exlibrisgroup.com/primo-explore/search?tab=default_tab&amp;search_scope=EVERYTHING&amp;vid=01CRU&amp;lang=en_US&amp;offset=0&amp;query=any,contains,991004202939702656","Catalog Record")</f>
        <v>Catalog Record</v>
      </c>
      <c r="AT169" s="6" t="str">
        <f>HYPERLINK("http://www.worldcat.org/oclc/53698556","WorldCat Record")</f>
        <v>WorldCat Record</v>
      </c>
      <c r="AU169" s="3" t="s">
        <v>2302</v>
      </c>
      <c r="AV169" s="3" t="s">
        <v>2303</v>
      </c>
      <c r="AW169" s="3" t="s">
        <v>2304</v>
      </c>
      <c r="AX169" s="3" t="s">
        <v>2304</v>
      </c>
      <c r="AY169" s="3" t="s">
        <v>2305</v>
      </c>
      <c r="AZ169" s="3" t="s">
        <v>73</v>
      </c>
      <c r="BC169" s="3" t="s">
        <v>2306</v>
      </c>
      <c r="BD169" s="3" t="s">
        <v>2307</v>
      </c>
    </row>
    <row r="170" spans="1:56" ht="47.25" customHeight="1" x14ac:dyDescent="0.25">
      <c r="A170" s="7" t="s">
        <v>58</v>
      </c>
      <c r="B170" s="2" t="s">
        <v>2308</v>
      </c>
      <c r="C170" s="2" t="s">
        <v>2309</v>
      </c>
      <c r="D170" s="2" t="s">
        <v>2310</v>
      </c>
      <c r="F170" s="3" t="s">
        <v>58</v>
      </c>
      <c r="G170" s="3" t="s">
        <v>59</v>
      </c>
      <c r="H170" s="3" t="s">
        <v>58</v>
      </c>
      <c r="I170" s="3" t="s">
        <v>58</v>
      </c>
      <c r="J170" s="3" t="s">
        <v>60</v>
      </c>
      <c r="K170" s="2" t="s">
        <v>2311</v>
      </c>
      <c r="L170" s="2" t="s">
        <v>2312</v>
      </c>
      <c r="M170" s="3" t="s">
        <v>2313</v>
      </c>
      <c r="O170" s="3" t="s">
        <v>1327</v>
      </c>
      <c r="P170" s="3" t="s">
        <v>148</v>
      </c>
      <c r="R170" s="3" t="s">
        <v>855</v>
      </c>
      <c r="S170" s="4">
        <v>1</v>
      </c>
      <c r="T170" s="4">
        <v>1</v>
      </c>
      <c r="U170" s="5" t="s">
        <v>2215</v>
      </c>
      <c r="V170" s="5" t="s">
        <v>2215</v>
      </c>
      <c r="W170" s="5" t="s">
        <v>1492</v>
      </c>
      <c r="X170" s="5" t="s">
        <v>1492</v>
      </c>
      <c r="Y170" s="4">
        <v>74</v>
      </c>
      <c r="Z170" s="4">
        <v>70</v>
      </c>
      <c r="AA170" s="4">
        <v>72</v>
      </c>
      <c r="AB170" s="4">
        <v>1</v>
      </c>
      <c r="AC170" s="4">
        <v>1</v>
      </c>
      <c r="AD170" s="4">
        <v>1</v>
      </c>
      <c r="AE170" s="4">
        <v>1</v>
      </c>
      <c r="AF170" s="4">
        <v>0</v>
      </c>
      <c r="AG170" s="4">
        <v>0</v>
      </c>
      <c r="AH170" s="4">
        <v>1</v>
      </c>
      <c r="AI170" s="4">
        <v>1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3" t="s">
        <v>58</v>
      </c>
      <c r="AQ170" s="3" t="s">
        <v>87</v>
      </c>
      <c r="AR170" s="6" t="str">
        <f>HYPERLINK("http://catalog.hathitrust.org/Record/101395658","HathiTrust Record")</f>
        <v>HathiTrust Record</v>
      </c>
      <c r="AS170" s="6" t="str">
        <f>HYPERLINK("https://creighton-primo.hosted.exlibrisgroup.com/primo-explore/search?tab=default_tab&amp;search_scope=EVERYTHING&amp;vid=01CRU&amp;lang=en_US&amp;offset=0&amp;query=any,contains,991004004939702656","Catalog Record")</f>
        <v>Catalog Record</v>
      </c>
      <c r="AT170" s="6" t="str">
        <f>HYPERLINK("http://www.worldcat.org/oclc/2082445","WorldCat Record")</f>
        <v>WorldCat Record</v>
      </c>
      <c r="AU170" s="3" t="s">
        <v>2314</v>
      </c>
      <c r="AV170" s="3" t="s">
        <v>2315</v>
      </c>
      <c r="AW170" s="3" t="s">
        <v>2316</v>
      </c>
      <c r="AX170" s="3" t="s">
        <v>2316</v>
      </c>
      <c r="AY170" s="3" t="s">
        <v>2317</v>
      </c>
      <c r="AZ170" s="3" t="s">
        <v>73</v>
      </c>
      <c r="BC170" s="3" t="s">
        <v>2318</v>
      </c>
      <c r="BD170" s="3" t="s">
        <v>2319</v>
      </c>
    </row>
    <row r="171" spans="1:56" ht="47.25" customHeight="1" x14ac:dyDescent="0.25">
      <c r="A171" s="7" t="s">
        <v>58</v>
      </c>
      <c r="B171" s="2" t="s">
        <v>2320</v>
      </c>
      <c r="C171" s="2" t="s">
        <v>2321</v>
      </c>
      <c r="D171" s="2" t="s">
        <v>2322</v>
      </c>
      <c r="F171" s="3" t="s">
        <v>58</v>
      </c>
      <c r="G171" s="3" t="s">
        <v>59</v>
      </c>
      <c r="H171" s="3" t="s">
        <v>58</v>
      </c>
      <c r="I171" s="3" t="s">
        <v>58</v>
      </c>
      <c r="J171" s="3" t="s">
        <v>60</v>
      </c>
      <c r="K171" s="2" t="s">
        <v>2323</v>
      </c>
      <c r="L171" s="2" t="s">
        <v>2324</v>
      </c>
      <c r="M171" s="3" t="s">
        <v>2214</v>
      </c>
      <c r="O171" s="3" t="s">
        <v>1327</v>
      </c>
      <c r="P171" s="3" t="s">
        <v>83</v>
      </c>
      <c r="R171" s="3" t="s">
        <v>855</v>
      </c>
      <c r="S171" s="4">
        <v>1</v>
      </c>
      <c r="T171" s="4">
        <v>1</v>
      </c>
      <c r="U171" s="5" t="s">
        <v>2325</v>
      </c>
      <c r="V171" s="5" t="s">
        <v>2325</v>
      </c>
      <c r="W171" s="5" t="s">
        <v>1492</v>
      </c>
      <c r="X171" s="5" t="s">
        <v>1492</v>
      </c>
      <c r="Y171" s="4">
        <v>72</v>
      </c>
      <c r="Z171" s="4">
        <v>65</v>
      </c>
      <c r="AA171" s="4">
        <v>67</v>
      </c>
      <c r="AB171" s="4">
        <v>1</v>
      </c>
      <c r="AC171" s="4">
        <v>1</v>
      </c>
      <c r="AD171" s="4">
        <v>4</v>
      </c>
      <c r="AE171" s="4">
        <v>4</v>
      </c>
      <c r="AF171" s="4">
        <v>3</v>
      </c>
      <c r="AG171" s="4">
        <v>3</v>
      </c>
      <c r="AH171" s="4">
        <v>1</v>
      </c>
      <c r="AI171" s="4">
        <v>1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3" t="s">
        <v>58</v>
      </c>
      <c r="AQ171" s="3" t="s">
        <v>87</v>
      </c>
      <c r="AR171" s="6" t="str">
        <f>HYPERLINK("http://catalog.hathitrust.org/Record/101005058","HathiTrust Record")</f>
        <v>HathiTrust Record</v>
      </c>
      <c r="AS171" s="6" t="str">
        <f>HYPERLINK("https://creighton-primo.hosted.exlibrisgroup.com/primo-explore/search?tab=default_tab&amp;search_scope=EVERYTHING&amp;vid=01CRU&amp;lang=en_US&amp;offset=0&amp;query=any,contains,991003866889702656","Catalog Record")</f>
        <v>Catalog Record</v>
      </c>
      <c r="AT171" s="6" t="str">
        <f>HYPERLINK("http://www.worldcat.org/oclc/1680417","WorldCat Record")</f>
        <v>WorldCat Record</v>
      </c>
      <c r="AU171" s="3" t="s">
        <v>2326</v>
      </c>
      <c r="AV171" s="3" t="s">
        <v>2327</v>
      </c>
      <c r="AW171" s="3" t="s">
        <v>2328</v>
      </c>
      <c r="AX171" s="3" t="s">
        <v>2328</v>
      </c>
      <c r="AY171" s="3" t="s">
        <v>2329</v>
      </c>
      <c r="AZ171" s="3" t="s">
        <v>73</v>
      </c>
      <c r="BC171" s="3" t="s">
        <v>2330</v>
      </c>
      <c r="BD171" s="3" t="s">
        <v>2331</v>
      </c>
    </row>
    <row r="172" spans="1:56" ht="47.25" customHeight="1" x14ac:dyDescent="0.25">
      <c r="A172" s="7" t="s">
        <v>58</v>
      </c>
      <c r="B172" s="2" t="s">
        <v>2332</v>
      </c>
      <c r="C172" s="2" t="s">
        <v>2333</v>
      </c>
      <c r="D172" s="2" t="s">
        <v>2334</v>
      </c>
      <c r="F172" s="3" t="s">
        <v>58</v>
      </c>
      <c r="G172" s="3" t="s">
        <v>59</v>
      </c>
      <c r="H172" s="3" t="s">
        <v>58</v>
      </c>
      <c r="I172" s="3" t="s">
        <v>58</v>
      </c>
      <c r="J172" s="3" t="s">
        <v>60</v>
      </c>
      <c r="K172" s="2" t="s">
        <v>2335</v>
      </c>
      <c r="L172" s="2" t="s">
        <v>2336</v>
      </c>
      <c r="M172" s="3" t="s">
        <v>2337</v>
      </c>
      <c r="O172" s="3" t="s">
        <v>1327</v>
      </c>
      <c r="P172" s="3" t="s">
        <v>267</v>
      </c>
      <c r="Q172" s="2" t="s">
        <v>2338</v>
      </c>
      <c r="R172" s="3" t="s">
        <v>855</v>
      </c>
      <c r="S172" s="4">
        <v>1</v>
      </c>
      <c r="T172" s="4">
        <v>1</v>
      </c>
      <c r="U172" s="5" t="s">
        <v>2339</v>
      </c>
      <c r="V172" s="5" t="s">
        <v>2339</v>
      </c>
      <c r="W172" s="5" t="s">
        <v>1492</v>
      </c>
      <c r="X172" s="5" t="s">
        <v>1492</v>
      </c>
      <c r="Y172" s="4">
        <v>43</v>
      </c>
      <c r="Z172" s="4">
        <v>42</v>
      </c>
      <c r="AA172" s="4">
        <v>50</v>
      </c>
      <c r="AB172" s="4">
        <v>1</v>
      </c>
      <c r="AC172" s="4">
        <v>1</v>
      </c>
      <c r="AD172" s="4">
        <v>7</v>
      </c>
      <c r="AE172" s="4">
        <v>7</v>
      </c>
      <c r="AF172" s="4">
        <v>1</v>
      </c>
      <c r="AG172" s="4">
        <v>1</v>
      </c>
      <c r="AH172" s="4">
        <v>2</v>
      </c>
      <c r="AI172" s="4">
        <v>2</v>
      </c>
      <c r="AJ172" s="4">
        <v>7</v>
      </c>
      <c r="AK172" s="4">
        <v>7</v>
      </c>
      <c r="AL172" s="4">
        <v>0</v>
      </c>
      <c r="AM172" s="4">
        <v>0</v>
      </c>
      <c r="AN172" s="4">
        <v>0</v>
      </c>
      <c r="AO172" s="4">
        <v>0</v>
      </c>
      <c r="AP172" s="3" t="s">
        <v>87</v>
      </c>
      <c r="AQ172" s="3" t="s">
        <v>58</v>
      </c>
      <c r="AR172" s="6" t="str">
        <f>HYPERLINK("http://catalog.hathitrust.org/Record/006537780","HathiTrust Record")</f>
        <v>HathiTrust Record</v>
      </c>
      <c r="AS172" s="6" t="str">
        <f>HYPERLINK("https://creighton-primo.hosted.exlibrisgroup.com/primo-explore/search?tab=default_tab&amp;search_scope=EVERYTHING&amp;vid=01CRU&amp;lang=en_US&amp;offset=0&amp;query=any,contains,991005065009702656","Catalog Record")</f>
        <v>Catalog Record</v>
      </c>
      <c r="AT172" s="6" t="str">
        <f>HYPERLINK("http://www.worldcat.org/oclc/6945245","WorldCat Record")</f>
        <v>WorldCat Record</v>
      </c>
      <c r="AU172" s="3" t="s">
        <v>2340</v>
      </c>
      <c r="AV172" s="3" t="s">
        <v>2341</v>
      </c>
      <c r="AW172" s="3" t="s">
        <v>2342</v>
      </c>
      <c r="AX172" s="3" t="s">
        <v>2342</v>
      </c>
      <c r="AY172" s="3" t="s">
        <v>2343</v>
      </c>
      <c r="AZ172" s="3" t="s">
        <v>73</v>
      </c>
      <c r="BC172" s="3" t="s">
        <v>2344</v>
      </c>
      <c r="BD172" s="3" t="s">
        <v>2345</v>
      </c>
    </row>
    <row r="173" spans="1:56" ht="47.25" customHeight="1" x14ac:dyDescent="0.25">
      <c r="A173" s="7" t="s">
        <v>58</v>
      </c>
      <c r="B173" s="2" t="s">
        <v>2346</v>
      </c>
      <c r="C173" s="2" t="s">
        <v>2347</v>
      </c>
      <c r="D173" s="2" t="s">
        <v>2348</v>
      </c>
      <c r="F173" s="3" t="s">
        <v>58</v>
      </c>
      <c r="G173" s="3" t="s">
        <v>59</v>
      </c>
      <c r="H173" s="3" t="s">
        <v>58</v>
      </c>
      <c r="I173" s="3" t="s">
        <v>87</v>
      </c>
      <c r="J173" s="3" t="s">
        <v>60</v>
      </c>
      <c r="K173" s="2" t="s">
        <v>2120</v>
      </c>
      <c r="L173" s="2" t="s">
        <v>2349</v>
      </c>
      <c r="M173" s="3" t="s">
        <v>1210</v>
      </c>
      <c r="N173" s="2" t="s">
        <v>695</v>
      </c>
      <c r="O173" s="3" t="s">
        <v>1327</v>
      </c>
      <c r="P173" s="3" t="s">
        <v>310</v>
      </c>
      <c r="R173" s="3" t="s">
        <v>855</v>
      </c>
      <c r="S173" s="4">
        <v>2</v>
      </c>
      <c r="T173" s="4">
        <v>2</v>
      </c>
      <c r="U173" s="5" t="s">
        <v>928</v>
      </c>
      <c r="V173" s="5" t="s">
        <v>928</v>
      </c>
      <c r="W173" s="5" t="s">
        <v>1820</v>
      </c>
      <c r="X173" s="5" t="s">
        <v>1820</v>
      </c>
      <c r="Y173" s="4">
        <v>110</v>
      </c>
      <c r="Z173" s="4">
        <v>91</v>
      </c>
      <c r="AA173" s="4">
        <v>147</v>
      </c>
      <c r="AB173" s="4">
        <v>3</v>
      </c>
      <c r="AC173" s="4">
        <v>3</v>
      </c>
      <c r="AD173" s="4">
        <v>5</v>
      </c>
      <c r="AE173" s="4">
        <v>5</v>
      </c>
      <c r="AF173" s="4">
        <v>2</v>
      </c>
      <c r="AG173" s="4">
        <v>2</v>
      </c>
      <c r="AH173" s="4">
        <v>1</v>
      </c>
      <c r="AI173" s="4">
        <v>1</v>
      </c>
      <c r="AJ173" s="4">
        <v>1</v>
      </c>
      <c r="AK173" s="4">
        <v>1</v>
      </c>
      <c r="AL173" s="4">
        <v>2</v>
      </c>
      <c r="AM173" s="4">
        <v>2</v>
      </c>
      <c r="AN173" s="4">
        <v>0</v>
      </c>
      <c r="AO173" s="4">
        <v>0</v>
      </c>
      <c r="AP173" s="3" t="s">
        <v>58</v>
      </c>
      <c r="AQ173" s="3" t="s">
        <v>87</v>
      </c>
      <c r="AR173" s="6" t="str">
        <f>HYPERLINK("http://catalog.hathitrust.org/Record/006956890","HathiTrust Record")</f>
        <v>HathiTrust Record</v>
      </c>
      <c r="AS173" s="6" t="str">
        <f>HYPERLINK("https://creighton-primo.hosted.exlibrisgroup.com/primo-explore/search?tab=default_tab&amp;search_scope=EVERYTHING&amp;vid=01CRU&amp;lang=en_US&amp;offset=0&amp;query=any,contains,991004490229702656","Catalog Record")</f>
        <v>Catalog Record</v>
      </c>
      <c r="AT173" s="6" t="str">
        <f>HYPERLINK("http://www.worldcat.org/oclc/31035363","WorldCat Record")</f>
        <v>WorldCat Record</v>
      </c>
      <c r="AU173" s="3" t="s">
        <v>2350</v>
      </c>
      <c r="AV173" s="3" t="s">
        <v>2351</v>
      </c>
      <c r="AW173" s="3" t="s">
        <v>2352</v>
      </c>
      <c r="AX173" s="3" t="s">
        <v>2352</v>
      </c>
      <c r="AY173" s="3" t="s">
        <v>2353</v>
      </c>
      <c r="AZ173" s="3" t="s">
        <v>73</v>
      </c>
      <c r="BB173" s="3" t="s">
        <v>2354</v>
      </c>
      <c r="BC173" s="3" t="s">
        <v>2355</v>
      </c>
      <c r="BD173" s="3" t="s">
        <v>2356</v>
      </c>
    </row>
    <row r="174" spans="1:56" ht="47.25" customHeight="1" x14ac:dyDescent="0.25">
      <c r="A174" s="7" t="s">
        <v>58</v>
      </c>
      <c r="B174" s="2" t="s">
        <v>2357</v>
      </c>
      <c r="C174" s="2" t="s">
        <v>2358</v>
      </c>
      <c r="D174" s="2" t="s">
        <v>2359</v>
      </c>
      <c r="E174" s="3" t="s">
        <v>2360</v>
      </c>
      <c r="F174" s="3" t="s">
        <v>58</v>
      </c>
      <c r="G174" s="3" t="s">
        <v>59</v>
      </c>
      <c r="H174" s="3" t="s">
        <v>58</v>
      </c>
      <c r="I174" s="3" t="s">
        <v>87</v>
      </c>
      <c r="J174" s="3" t="s">
        <v>60</v>
      </c>
      <c r="K174" s="2" t="s">
        <v>2120</v>
      </c>
      <c r="L174" s="2" t="s">
        <v>2361</v>
      </c>
      <c r="M174" s="3" t="s">
        <v>1210</v>
      </c>
      <c r="N174" s="2" t="s">
        <v>2362</v>
      </c>
      <c r="O174" s="3" t="s">
        <v>1327</v>
      </c>
      <c r="P174" s="3" t="s">
        <v>310</v>
      </c>
      <c r="R174" s="3" t="s">
        <v>855</v>
      </c>
      <c r="S174" s="4">
        <v>2</v>
      </c>
      <c r="T174" s="4">
        <v>2</v>
      </c>
      <c r="U174" s="5" t="s">
        <v>1820</v>
      </c>
      <c r="V174" s="5" t="s">
        <v>1820</v>
      </c>
      <c r="W174" s="5" t="s">
        <v>1820</v>
      </c>
      <c r="X174" s="5" t="s">
        <v>1820</v>
      </c>
      <c r="Y174" s="4">
        <v>7</v>
      </c>
      <c r="Z174" s="4">
        <v>5</v>
      </c>
      <c r="AA174" s="4">
        <v>147</v>
      </c>
      <c r="AB174" s="4">
        <v>1</v>
      </c>
      <c r="AC174" s="4">
        <v>3</v>
      </c>
      <c r="AD174" s="4">
        <v>0</v>
      </c>
      <c r="AE174" s="4">
        <v>5</v>
      </c>
      <c r="AF174" s="4">
        <v>0</v>
      </c>
      <c r="AG174" s="4">
        <v>2</v>
      </c>
      <c r="AH174" s="4">
        <v>0</v>
      </c>
      <c r="AI174" s="4">
        <v>1</v>
      </c>
      <c r="AJ174" s="4">
        <v>0</v>
      </c>
      <c r="AK174" s="4">
        <v>1</v>
      </c>
      <c r="AL174" s="4">
        <v>0</v>
      </c>
      <c r="AM174" s="4">
        <v>2</v>
      </c>
      <c r="AN174" s="4">
        <v>0</v>
      </c>
      <c r="AO174" s="4">
        <v>0</v>
      </c>
      <c r="AP174" s="3" t="s">
        <v>58</v>
      </c>
      <c r="AQ174" s="3" t="s">
        <v>87</v>
      </c>
      <c r="AR174" s="6" t="str">
        <f>HYPERLINK("http://catalog.hathitrust.org/Record/007044730","HathiTrust Record")</f>
        <v>HathiTrust Record</v>
      </c>
      <c r="AS174" s="6" t="str">
        <f>HYPERLINK("https://creighton-primo.hosted.exlibrisgroup.com/primo-explore/search?tab=default_tab&amp;search_scope=EVERYTHING&amp;vid=01CRU&amp;lang=en_US&amp;offset=0&amp;query=any,contains,991004490289702656","Catalog Record")</f>
        <v>Catalog Record</v>
      </c>
      <c r="AT174" s="6" t="str">
        <f>HYPERLINK("http://www.worldcat.org/oclc/33417663","WorldCat Record")</f>
        <v>WorldCat Record</v>
      </c>
      <c r="AU174" s="3" t="s">
        <v>2350</v>
      </c>
      <c r="AV174" s="3" t="s">
        <v>2363</v>
      </c>
      <c r="AW174" s="3" t="s">
        <v>2364</v>
      </c>
      <c r="AX174" s="3" t="s">
        <v>2364</v>
      </c>
      <c r="AY174" s="3" t="s">
        <v>2365</v>
      </c>
      <c r="AZ174" s="3" t="s">
        <v>73</v>
      </c>
      <c r="BB174" s="3" t="s">
        <v>2366</v>
      </c>
      <c r="BC174" s="3" t="s">
        <v>2367</v>
      </c>
      <c r="BD174" s="3" t="s">
        <v>2368</v>
      </c>
    </row>
    <row r="175" spans="1:56" ht="47.25" customHeight="1" x14ac:dyDescent="0.25">
      <c r="A175" s="7" t="s">
        <v>58</v>
      </c>
      <c r="B175" s="2" t="s">
        <v>2369</v>
      </c>
      <c r="C175" s="2" t="s">
        <v>2370</v>
      </c>
      <c r="D175" s="2" t="s">
        <v>2371</v>
      </c>
      <c r="F175" s="3" t="s">
        <v>58</v>
      </c>
      <c r="G175" s="3" t="s">
        <v>59</v>
      </c>
      <c r="H175" s="3" t="s">
        <v>58</v>
      </c>
      <c r="I175" s="3" t="s">
        <v>58</v>
      </c>
      <c r="J175" s="3" t="s">
        <v>60</v>
      </c>
      <c r="K175" s="2" t="s">
        <v>2372</v>
      </c>
      <c r="L175" s="2" t="s">
        <v>2373</v>
      </c>
      <c r="M175" s="3" t="s">
        <v>494</v>
      </c>
      <c r="N175" s="2" t="s">
        <v>1918</v>
      </c>
      <c r="O175" s="3" t="s">
        <v>1327</v>
      </c>
      <c r="P175" s="3" t="s">
        <v>1919</v>
      </c>
      <c r="Q175" s="2" t="s">
        <v>2374</v>
      </c>
      <c r="R175" s="3" t="s">
        <v>855</v>
      </c>
      <c r="S175" s="4">
        <v>1</v>
      </c>
      <c r="T175" s="4">
        <v>1</v>
      </c>
      <c r="U175" s="5" t="s">
        <v>2375</v>
      </c>
      <c r="V175" s="5" t="s">
        <v>2375</v>
      </c>
      <c r="W175" s="5" t="s">
        <v>2375</v>
      </c>
      <c r="X175" s="5" t="s">
        <v>2375</v>
      </c>
      <c r="Y175" s="4">
        <v>5</v>
      </c>
      <c r="Z175" s="4">
        <v>3</v>
      </c>
      <c r="AA175" s="4">
        <v>3</v>
      </c>
      <c r="AB175" s="4">
        <v>1</v>
      </c>
      <c r="AC175" s="4">
        <v>1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3" t="s">
        <v>58</v>
      </c>
      <c r="AQ175" s="3" t="s">
        <v>58</v>
      </c>
      <c r="AS175" s="6" t="str">
        <f>HYPERLINK("https://creighton-primo.hosted.exlibrisgroup.com/primo-explore/search?tab=default_tab&amp;search_scope=EVERYTHING&amp;vid=01CRU&amp;lang=en_US&amp;offset=0&amp;query=any,contains,991004055649702656","Catalog Record")</f>
        <v>Catalog Record</v>
      </c>
      <c r="AT175" s="6" t="str">
        <f>HYPERLINK("http://www.worldcat.org/oclc/51842905","WorldCat Record")</f>
        <v>WorldCat Record</v>
      </c>
      <c r="AU175" s="3" t="s">
        <v>2376</v>
      </c>
      <c r="AV175" s="3" t="s">
        <v>2377</v>
      </c>
      <c r="AW175" s="3" t="s">
        <v>2378</v>
      </c>
      <c r="AX175" s="3" t="s">
        <v>2378</v>
      </c>
      <c r="AY175" s="3" t="s">
        <v>2379</v>
      </c>
      <c r="AZ175" s="3" t="s">
        <v>73</v>
      </c>
      <c r="BB175" s="3" t="s">
        <v>2380</v>
      </c>
      <c r="BC175" s="3" t="s">
        <v>2381</v>
      </c>
      <c r="BD175" s="3" t="s">
        <v>2382</v>
      </c>
    </row>
    <row r="176" spans="1:56" ht="47.25" customHeight="1" x14ac:dyDescent="0.25">
      <c r="A176" s="7" t="s">
        <v>58</v>
      </c>
      <c r="B176" s="2" t="s">
        <v>2383</v>
      </c>
      <c r="C176" s="2" t="s">
        <v>2384</v>
      </c>
      <c r="D176" s="2" t="s">
        <v>2385</v>
      </c>
      <c r="F176" s="3" t="s">
        <v>58</v>
      </c>
      <c r="G176" s="3" t="s">
        <v>59</v>
      </c>
      <c r="H176" s="3" t="s">
        <v>58</v>
      </c>
      <c r="I176" s="3" t="s">
        <v>58</v>
      </c>
      <c r="J176" s="3" t="s">
        <v>60</v>
      </c>
      <c r="K176" s="2" t="s">
        <v>2386</v>
      </c>
      <c r="L176" s="2" t="s">
        <v>2387</v>
      </c>
      <c r="M176" s="3" t="s">
        <v>895</v>
      </c>
      <c r="O176" s="3" t="s">
        <v>63</v>
      </c>
      <c r="P176" s="3" t="s">
        <v>101</v>
      </c>
      <c r="Q176" s="2" t="s">
        <v>2388</v>
      </c>
      <c r="R176" s="3" t="s">
        <v>855</v>
      </c>
      <c r="S176" s="4">
        <v>3</v>
      </c>
      <c r="T176" s="4">
        <v>3</v>
      </c>
      <c r="U176" s="5" t="s">
        <v>2389</v>
      </c>
      <c r="V176" s="5" t="s">
        <v>2389</v>
      </c>
      <c r="W176" s="5" t="s">
        <v>1492</v>
      </c>
      <c r="X176" s="5" t="s">
        <v>1492</v>
      </c>
      <c r="Y176" s="4">
        <v>512</v>
      </c>
      <c r="Z176" s="4">
        <v>401</v>
      </c>
      <c r="AA176" s="4">
        <v>406</v>
      </c>
      <c r="AB176" s="4">
        <v>2</v>
      </c>
      <c r="AC176" s="4">
        <v>2</v>
      </c>
      <c r="AD176" s="4">
        <v>25</v>
      </c>
      <c r="AE176" s="4">
        <v>25</v>
      </c>
      <c r="AF176" s="4">
        <v>8</v>
      </c>
      <c r="AG176" s="4">
        <v>8</v>
      </c>
      <c r="AH176" s="4">
        <v>8</v>
      </c>
      <c r="AI176" s="4">
        <v>8</v>
      </c>
      <c r="AJ176" s="4">
        <v>15</v>
      </c>
      <c r="AK176" s="4">
        <v>15</v>
      </c>
      <c r="AL176" s="4">
        <v>1</v>
      </c>
      <c r="AM176" s="4">
        <v>1</v>
      </c>
      <c r="AN176" s="4">
        <v>0</v>
      </c>
      <c r="AO176" s="4">
        <v>0</v>
      </c>
      <c r="AP176" s="3" t="s">
        <v>58</v>
      </c>
      <c r="AQ176" s="3" t="s">
        <v>58</v>
      </c>
      <c r="AS176" s="6" t="str">
        <f>HYPERLINK("https://creighton-primo.hosted.exlibrisgroup.com/primo-explore/search?tab=default_tab&amp;search_scope=EVERYTHING&amp;vid=01CRU&amp;lang=en_US&amp;offset=0&amp;query=any,contains,991000138629702656","Catalog Record")</f>
        <v>Catalog Record</v>
      </c>
      <c r="AT176" s="6" t="str">
        <f>HYPERLINK("http://www.worldcat.org/oclc/57265","WorldCat Record")</f>
        <v>WorldCat Record</v>
      </c>
      <c r="AU176" s="3" t="s">
        <v>2390</v>
      </c>
      <c r="AV176" s="3" t="s">
        <v>2391</v>
      </c>
      <c r="AW176" s="3" t="s">
        <v>2392</v>
      </c>
      <c r="AX176" s="3" t="s">
        <v>2392</v>
      </c>
      <c r="AY176" s="3" t="s">
        <v>2393</v>
      </c>
      <c r="AZ176" s="3" t="s">
        <v>73</v>
      </c>
      <c r="BB176" s="3" t="s">
        <v>2394</v>
      </c>
      <c r="BC176" s="3" t="s">
        <v>2395</v>
      </c>
      <c r="BD176" s="3" t="s">
        <v>2396</v>
      </c>
    </row>
    <row r="177" spans="1:56" ht="47.25" customHeight="1" x14ac:dyDescent="0.25">
      <c r="A177" s="7" t="s">
        <v>58</v>
      </c>
      <c r="B177" s="2" t="s">
        <v>2397</v>
      </c>
      <c r="C177" s="2" t="s">
        <v>2398</v>
      </c>
      <c r="D177" s="2" t="s">
        <v>2399</v>
      </c>
      <c r="F177" s="3" t="s">
        <v>58</v>
      </c>
      <c r="G177" s="3" t="s">
        <v>59</v>
      </c>
      <c r="H177" s="3" t="s">
        <v>58</v>
      </c>
      <c r="I177" s="3" t="s">
        <v>58</v>
      </c>
      <c r="J177" s="3" t="s">
        <v>60</v>
      </c>
      <c r="K177" s="2" t="s">
        <v>2400</v>
      </c>
      <c r="L177" s="2" t="s">
        <v>2401</v>
      </c>
      <c r="M177" s="3" t="s">
        <v>2313</v>
      </c>
      <c r="O177" s="3" t="s">
        <v>1327</v>
      </c>
      <c r="P177" s="3" t="s">
        <v>83</v>
      </c>
      <c r="Q177" s="2" t="s">
        <v>2402</v>
      </c>
      <c r="R177" s="3" t="s">
        <v>855</v>
      </c>
      <c r="S177" s="4">
        <v>1</v>
      </c>
      <c r="T177" s="4">
        <v>1</v>
      </c>
      <c r="U177" s="5" t="s">
        <v>2403</v>
      </c>
      <c r="V177" s="5" t="s">
        <v>2403</v>
      </c>
      <c r="W177" s="5" t="s">
        <v>1492</v>
      </c>
      <c r="X177" s="5" t="s">
        <v>1492</v>
      </c>
      <c r="Y177" s="4">
        <v>196</v>
      </c>
      <c r="Z177" s="4">
        <v>178</v>
      </c>
      <c r="AA177" s="4">
        <v>286</v>
      </c>
      <c r="AB177" s="4">
        <v>2</v>
      </c>
      <c r="AC177" s="4">
        <v>2</v>
      </c>
      <c r="AD177" s="4">
        <v>16</v>
      </c>
      <c r="AE177" s="4">
        <v>18</v>
      </c>
      <c r="AF177" s="4">
        <v>7</v>
      </c>
      <c r="AG177" s="4">
        <v>7</v>
      </c>
      <c r="AH177" s="4">
        <v>3</v>
      </c>
      <c r="AI177" s="4">
        <v>4</v>
      </c>
      <c r="AJ177" s="4">
        <v>9</v>
      </c>
      <c r="AK177" s="4">
        <v>11</v>
      </c>
      <c r="AL177" s="4">
        <v>1</v>
      </c>
      <c r="AM177" s="4">
        <v>1</v>
      </c>
      <c r="AN177" s="4">
        <v>0</v>
      </c>
      <c r="AO177" s="4">
        <v>0</v>
      </c>
      <c r="AP177" s="3" t="s">
        <v>58</v>
      </c>
      <c r="AQ177" s="3" t="s">
        <v>58</v>
      </c>
      <c r="AR177" s="6" t="str">
        <f>HYPERLINK("http://catalog.hathitrust.org/Record/001182781","HathiTrust Record")</f>
        <v>HathiTrust Record</v>
      </c>
      <c r="AS177" s="6" t="str">
        <f>HYPERLINK("https://creighton-primo.hosted.exlibrisgroup.com/primo-explore/search?tab=default_tab&amp;search_scope=EVERYTHING&amp;vid=01CRU&amp;lang=en_US&amp;offset=0&amp;query=any,contains,991004409679702656","Catalog Record")</f>
        <v>Catalog Record</v>
      </c>
      <c r="AT177" s="6" t="str">
        <f>HYPERLINK("http://www.worldcat.org/oclc/3334141","WorldCat Record")</f>
        <v>WorldCat Record</v>
      </c>
      <c r="AU177" s="3" t="s">
        <v>2404</v>
      </c>
      <c r="AV177" s="3" t="s">
        <v>2405</v>
      </c>
      <c r="AW177" s="3" t="s">
        <v>2406</v>
      </c>
      <c r="AX177" s="3" t="s">
        <v>2406</v>
      </c>
      <c r="AY177" s="3" t="s">
        <v>2407</v>
      </c>
      <c r="AZ177" s="3" t="s">
        <v>73</v>
      </c>
      <c r="BC177" s="3" t="s">
        <v>2408</v>
      </c>
      <c r="BD177" s="3" t="s">
        <v>2409</v>
      </c>
    </row>
    <row r="178" spans="1:56" ht="47.25" customHeight="1" x14ac:dyDescent="0.25">
      <c r="A178" s="7" t="s">
        <v>58</v>
      </c>
      <c r="B178" s="2" t="s">
        <v>2410</v>
      </c>
      <c r="C178" s="2" t="s">
        <v>2411</v>
      </c>
      <c r="D178" s="2" t="s">
        <v>2412</v>
      </c>
      <c r="F178" s="3" t="s">
        <v>58</v>
      </c>
      <c r="G178" s="3" t="s">
        <v>59</v>
      </c>
      <c r="H178" s="3" t="s">
        <v>58</v>
      </c>
      <c r="I178" s="3" t="s">
        <v>58</v>
      </c>
      <c r="J178" s="3" t="s">
        <v>60</v>
      </c>
      <c r="K178" s="2" t="s">
        <v>2413</v>
      </c>
      <c r="L178" s="2" t="s">
        <v>2414</v>
      </c>
      <c r="M178" s="3" t="s">
        <v>570</v>
      </c>
      <c r="N178" s="2" t="s">
        <v>2415</v>
      </c>
      <c r="O178" s="3" t="s">
        <v>1327</v>
      </c>
      <c r="P178" s="3" t="s">
        <v>1328</v>
      </c>
      <c r="Q178" s="2" t="s">
        <v>2416</v>
      </c>
      <c r="R178" s="3" t="s">
        <v>855</v>
      </c>
      <c r="S178" s="4">
        <v>1</v>
      </c>
      <c r="T178" s="4">
        <v>1</v>
      </c>
      <c r="U178" s="5" t="s">
        <v>2417</v>
      </c>
      <c r="V178" s="5" t="s">
        <v>2417</v>
      </c>
      <c r="W178" s="5" t="s">
        <v>2417</v>
      </c>
      <c r="X178" s="5" t="s">
        <v>2417</v>
      </c>
      <c r="Y178" s="4">
        <v>24</v>
      </c>
      <c r="Z178" s="4">
        <v>19</v>
      </c>
      <c r="AA178" s="4">
        <v>314</v>
      </c>
      <c r="AB178" s="4">
        <v>1</v>
      </c>
      <c r="AC178" s="4">
        <v>2</v>
      </c>
      <c r="AD178" s="4">
        <v>0</v>
      </c>
      <c r="AE178" s="4">
        <v>12</v>
      </c>
      <c r="AF178" s="4">
        <v>0</v>
      </c>
      <c r="AG178" s="4">
        <v>2</v>
      </c>
      <c r="AH178" s="4">
        <v>0</v>
      </c>
      <c r="AI178" s="4">
        <v>5</v>
      </c>
      <c r="AJ178" s="4">
        <v>0</v>
      </c>
      <c r="AK178" s="4">
        <v>8</v>
      </c>
      <c r="AL178" s="4">
        <v>0</v>
      </c>
      <c r="AM178" s="4">
        <v>1</v>
      </c>
      <c r="AN178" s="4">
        <v>0</v>
      </c>
      <c r="AO178" s="4">
        <v>0</v>
      </c>
      <c r="AP178" s="3" t="s">
        <v>58</v>
      </c>
      <c r="AQ178" s="3" t="s">
        <v>87</v>
      </c>
      <c r="AR178" s="6" t="str">
        <f>HYPERLINK("http://catalog.hathitrust.org/Record/102073840","HathiTrust Record")</f>
        <v>HathiTrust Record</v>
      </c>
      <c r="AS178" s="6" t="str">
        <f>HYPERLINK("https://creighton-primo.hosted.exlibrisgroup.com/primo-explore/search?tab=default_tab&amp;search_scope=EVERYTHING&amp;vid=01CRU&amp;lang=en_US&amp;offset=0&amp;query=any,contains,991004508389702656","Catalog Record")</f>
        <v>Catalog Record</v>
      </c>
      <c r="AT178" s="6" t="str">
        <f>HYPERLINK("http://www.worldcat.org/oclc/728482","WorldCat Record")</f>
        <v>WorldCat Record</v>
      </c>
      <c r="AU178" s="3" t="s">
        <v>2418</v>
      </c>
      <c r="AV178" s="3" t="s">
        <v>2419</v>
      </c>
      <c r="AW178" s="3" t="s">
        <v>2420</v>
      </c>
      <c r="AX178" s="3" t="s">
        <v>2420</v>
      </c>
      <c r="AY178" s="3" t="s">
        <v>2421</v>
      </c>
      <c r="AZ178" s="3" t="s">
        <v>73</v>
      </c>
      <c r="BC178" s="3" t="s">
        <v>2422</v>
      </c>
      <c r="BD178" s="3" t="s">
        <v>2423</v>
      </c>
    </row>
    <row r="179" spans="1:56" ht="47.25" customHeight="1" x14ac:dyDescent="0.25">
      <c r="A179" s="7" t="s">
        <v>58</v>
      </c>
      <c r="B179" s="2" t="s">
        <v>2424</v>
      </c>
      <c r="C179" s="2" t="s">
        <v>2425</v>
      </c>
      <c r="D179" s="2" t="s">
        <v>2426</v>
      </c>
      <c r="F179" s="3" t="s">
        <v>58</v>
      </c>
      <c r="G179" s="3" t="s">
        <v>59</v>
      </c>
      <c r="H179" s="3" t="s">
        <v>58</v>
      </c>
      <c r="I179" s="3" t="s">
        <v>58</v>
      </c>
      <c r="J179" s="3" t="s">
        <v>60</v>
      </c>
      <c r="K179" s="2" t="s">
        <v>2000</v>
      </c>
      <c r="L179" s="2" t="s">
        <v>2427</v>
      </c>
      <c r="M179" s="3" t="s">
        <v>1531</v>
      </c>
      <c r="N179" s="2" t="s">
        <v>2428</v>
      </c>
      <c r="O179" s="3" t="s">
        <v>1327</v>
      </c>
      <c r="P179" s="3" t="s">
        <v>1328</v>
      </c>
      <c r="Q179" s="2" t="s">
        <v>2429</v>
      </c>
      <c r="R179" s="3" t="s">
        <v>855</v>
      </c>
      <c r="S179" s="4">
        <v>1</v>
      </c>
      <c r="T179" s="4">
        <v>1</v>
      </c>
      <c r="U179" s="5" t="s">
        <v>2430</v>
      </c>
      <c r="V179" s="5" t="s">
        <v>2430</v>
      </c>
      <c r="W179" s="5" t="s">
        <v>2430</v>
      </c>
      <c r="X179" s="5" t="s">
        <v>2430</v>
      </c>
      <c r="Y179" s="4">
        <v>41</v>
      </c>
      <c r="Z179" s="4">
        <v>24</v>
      </c>
      <c r="AA179" s="4">
        <v>268</v>
      </c>
      <c r="AB179" s="4">
        <v>1</v>
      </c>
      <c r="AC179" s="4">
        <v>4</v>
      </c>
      <c r="AD179" s="4">
        <v>0</v>
      </c>
      <c r="AE179" s="4">
        <v>12</v>
      </c>
      <c r="AF179" s="4">
        <v>0</v>
      </c>
      <c r="AG179" s="4">
        <v>3</v>
      </c>
      <c r="AH179" s="4">
        <v>0</v>
      </c>
      <c r="AI179" s="4">
        <v>3</v>
      </c>
      <c r="AJ179" s="4">
        <v>0</v>
      </c>
      <c r="AK179" s="4">
        <v>6</v>
      </c>
      <c r="AL179" s="4">
        <v>0</v>
      </c>
      <c r="AM179" s="4">
        <v>3</v>
      </c>
      <c r="AN179" s="4">
        <v>0</v>
      </c>
      <c r="AO179" s="4">
        <v>0</v>
      </c>
      <c r="AP179" s="3" t="s">
        <v>58</v>
      </c>
      <c r="AQ179" s="3" t="s">
        <v>87</v>
      </c>
      <c r="AR179" s="6" t="str">
        <f>HYPERLINK("http://catalog.hathitrust.org/Record/009918380","HathiTrust Record")</f>
        <v>HathiTrust Record</v>
      </c>
      <c r="AS179" s="6" t="str">
        <f>HYPERLINK("https://creighton-primo.hosted.exlibrisgroup.com/primo-explore/search?tab=default_tab&amp;search_scope=EVERYTHING&amp;vid=01CRU&amp;lang=en_US&amp;offset=0&amp;query=any,contains,991004523339702656","Catalog Record")</f>
        <v>Catalog Record</v>
      </c>
      <c r="AT179" s="6" t="str">
        <f>HYPERLINK("http://www.worldcat.org/oclc/2981683","WorldCat Record")</f>
        <v>WorldCat Record</v>
      </c>
      <c r="AU179" s="3" t="s">
        <v>2431</v>
      </c>
      <c r="AV179" s="3" t="s">
        <v>2432</v>
      </c>
      <c r="AW179" s="3" t="s">
        <v>2433</v>
      </c>
      <c r="AX179" s="3" t="s">
        <v>2433</v>
      </c>
      <c r="AY179" s="3" t="s">
        <v>2434</v>
      </c>
      <c r="AZ179" s="3" t="s">
        <v>73</v>
      </c>
      <c r="BB179" s="3" t="s">
        <v>2435</v>
      </c>
      <c r="BC179" s="3" t="s">
        <v>2436</v>
      </c>
      <c r="BD179" s="3" t="s">
        <v>2437</v>
      </c>
    </row>
    <row r="180" spans="1:56" ht="47.25" customHeight="1" x14ac:dyDescent="0.25">
      <c r="A180" s="7" t="s">
        <v>58</v>
      </c>
      <c r="B180" s="2" t="s">
        <v>2438</v>
      </c>
      <c r="C180" s="2" t="s">
        <v>2439</v>
      </c>
      <c r="D180" s="2" t="s">
        <v>2440</v>
      </c>
      <c r="F180" s="3" t="s">
        <v>58</v>
      </c>
      <c r="G180" s="3" t="s">
        <v>59</v>
      </c>
      <c r="H180" s="3" t="s">
        <v>58</v>
      </c>
      <c r="I180" s="3" t="s">
        <v>58</v>
      </c>
      <c r="J180" s="3" t="s">
        <v>60</v>
      </c>
      <c r="K180" s="2" t="s">
        <v>2441</v>
      </c>
      <c r="L180" s="2" t="s">
        <v>2442</v>
      </c>
      <c r="M180" s="3" t="s">
        <v>382</v>
      </c>
      <c r="N180" s="2" t="s">
        <v>2443</v>
      </c>
      <c r="O180" s="3" t="s">
        <v>1327</v>
      </c>
      <c r="P180" s="3" t="s">
        <v>2444</v>
      </c>
      <c r="R180" s="3" t="s">
        <v>855</v>
      </c>
      <c r="S180" s="4">
        <v>1</v>
      </c>
      <c r="T180" s="4">
        <v>1</v>
      </c>
      <c r="U180" s="5" t="s">
        <v>2445</v>
      </c>
      <c r="V180" s="5" t="s">
        <v>2445</v>
      </c>
      <c r="W180" s="5" t="s">
        <v>2446</v>
      </c>
      <c r="X180" s="5" t="s">
        <v>2446</v>
      </c>
      <c r="Y180" s="4">
        <v>10</v>
      </c>
      <c r="Z180" s="4">
        <v>9</v>
      </c>
      <c r="AA180" s="4">
        <v>9</v>
      </c>
      <c r="AB180" s="4">
        <v>1</v>
      </c>
      <c r="AC180" s="4">
        <v>1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3" t="s">
        <v>58</v>
      </c>
      <c r="AQ180" s="3" t="s">
        <v>58</v>
      </c>
      <c r="AS180" s="6" t="str">
        <f>HYPERLINK("https://creighton-primo.hosted.exlibrisgroup.com/primo-explore/search?tab=default_tab&amp;search_scope=EVERYTHING&amp;vid=01CRU&amp;lang=en_US&amp;offset=0&amp;query=any,contains,991002481129702656","Catalog Record")</f>
        <v>Catalog Record</v>
      </c>
      <c r="AT180" s="6" t="str">
        <f>HYPERLINK("http://www.worldcat.org/oclc/32303443","WorldCat Record")</f>
        <v>WorldCat Record</v>
      </c>
      <c r="AU180" s="3" t="s">
        <v>2447</v>
      </c>
      <c r="AV180" s="3" t="s">
        <v>2448</v>
      </c>
      <c r="AW180" s="3" t="s">
        <v>2449</v>
      </c>
      <c r="AX180" s="3" t="s">
        <v>2449</v>
      </c>
      <c r="AY180" s="3" t="s">
        <v>2450</v>
      </c>
      <c r="AZ180" s="3" t="s">
        <v>73</v>
      </c>
      <c r="BB180" s="3" t="s">
        <v>2451</v>
      </c>
      <c r="BC180" s="3" t="s">
        <v>2452</v>
      </c>
      <c r="BD180" s="3" t="s">
        <v>2453</v>
      </c>
    </row>
    <row r="181" spans="1:56" ht="47.25" customHeight="1" x14ac:dyDescent="0.25">
      <c r="A181" s="7" t="s">
        <v>58</v>
      </c>
      <c r="B181" s="2" t="s">
        <v>2454</v>
      </c>
      <c r="C181" s="2" t="s">
        <v>2455</v>
      </c>
      <c r="D181" s="2" t="s">
        <v>2456</v>
      </c>
      <c r="F181" s="3" t="s">
        <v>58</v>
      </c>
      <c r="G181" s="3" t="s">
        <v>59</v>
      </c>
      <c r="H181" s="3" t="s">
        <v>58</v>
      </c>
      <c r="I181" s="3" t="s">
        <v>58</v>
      </c>
      <c r="J181" s="3" t="s">
        <v>60</v>
      </c>
      <c r="K181" s="2" t="s">
        <v>2457</v>
      </c>
      <c r="L181" s="2" t="s">
        <v>1728</v>
      </c>
      <c r="M181" s="3" t="s">
        <v>494</v>
      </c>
      <c r="O181" s="3" t="s">
        <v>63</v>
      </c>
      <c r="P181" s="3" t="s">
        <v>310</v>
      </c>
      <c r="R181" s="3" t="s">
        <v>855</v>
      </c>
      <c r="S181" s="4">
        <v>4</v>
      </c>
      <c r="T181" s="4">
        <v>4</v>
      </c>
      <c r="U181" s="5" t="s">
        <v>2458</v>
      </c>
      <c r="V181" s="5" t="s">
        <v>2458</v>
      </c>
      <c r="W181" s="5" t="s">
        <v>2459</v>
      </c>
      <c r="X181" s="5" t="s">
        <v>2459</v>
      </c>
      <c r="Y181" s="4">
        <v>458</v>
      </c>
      <c r="Z181" s="4">
        <v>406</v>
      </c>
      <c r="AA181" s="4">
        <v>604</v>
      </c>
      <c r="AB181" s="4">
        <v>3</v>
      </c>
      <c r="AC181" s="4">
        <v>4</v>
      </c>
      <c r="AD181" s="4">
        <v>5</v>
      </c>
      <c r="AE181" s="4">
        <v>7</v>
      </c>
      <c r="AF181" s="4">
        <v>3</v>
      </c>
      <c r="AG181" s="4">
        <v>3</v>
      </c>
      <c r="AH181" s="4">
        <v>0</v>
      </c>
      <c r="AI181" s="4">
        <v>1</v>
      </c>
      <c r="AJ181" s="4">
        <v>1</v>
      </c>
      <c r="AK181" s="4">
        <v>1</v>
      </c>
      <c r="AL181" s="4">
        <v>1</v>
      </c>
      <c r="AM181" s="4">
        <v>2</v>
      </c>
      <c r="AN181" s="4">
        <v>0</v>
      </c>
      <c r="AO181" s="4">
        <v>0</v>
      </c>
      <c r="AP181" s="3" t="s">
        <v>58</v>
      </c>
      <c r="AQ181" s="3" t="s">
        <v>58</v>
      </c>
      <c r="AS181" s="6" t="str">
        <f>HYPERLINK("https://creighton-primo.hosted.exlibrisgroup.com/primo-explore/search?tab=default_tab&amp;search_scope=EVERYTHING&amp;vid=01CRU&amp;lang=en_US&amp;offset=0&amp;query=any,contains,991003849679702656","Catalog Record")</f>
        <v>Catalog Record</v>
      </c>
      <c r="AT181" s="6" t="str">
        <f>HYPERLINK("http://www.worldcat.org/oclc/48123354","WorldCat Record")</f>
        <v>WorldCat Record</v>
      </c>
      <c r="AU181" s="3" t="s">
        <v>2460</v>
      </c>
      <c r="AV181" s="3" t="s">
        <v>2461</v>
      </c>
      <c r="AW181" s="3" t="s">
        <v>2462</v>
      </c>
      <c r="AX181" s="3" t="s">
        <v>2462</v>
      </c>
      <c r="AY181" s="3" t="s">
        <v>2463</v>
      </c>
      <c r="AZ181" s="3" t="s">
        <v>73</v>
      </c>
      <c r="BB181" s="3" t="s">
        <v>2464</v>
      </c>
      <c r="BC181" s="3" t="s">
        <v>2465</v>
      </c>
      <c r="BD181" s="3" t="s">
        <v>2466</v>
      </c>
    </row>
    <row r="182" spans="1:56" ht="47.25" customHeight="1" x14ac:dyDescent="0.25">
      <c r="A182" s="7" t="s">
        <v>58</v>
      </c>
      <c r="B182" s="2" t="s">
        <v>2467</v>
      </c>
      <c r="C182" s="2" t="s">
        <v>2468</v>
      </c>
      <c r="D182" s="2" t="s">
        <v>2469</v>
      </c>
      <c r="F182" s="3" t="s">
        <v>58</v>
      </c>
      <c r="G182" s="3" t="s">
        <v>59</v>
      </c>
      <c r="H182" s="3" t="s">
        <v>58</v>
      </c>
      <c r="I182" s="3" t="s">
        <v>58</v>
      </c>
      <c r="J182" s="3" t="s">
        <v>60</v>
      </c>
      <c r="L182" s="2" t="s">
        <v>2470</v>
      </c>
      <c r="M182" s="3" t="s">
        <v>295</v>
      </c>
      <c r="O182" s="3" t="s">
        <v>1327</v>
      </c>
      <c r="P182" s="3" t="s">
        <v>1328</v>
      </c>
      <c r="R182" s="3" t="s">
        <v>855</v>
      </c>
      <c r="S182" s="4">
        <v>2</v>
      </c>
      <c r="T182" s="4">
        <v>2</v>
      </c>
      <c r="U182" s="5" t="s">
        <v>2471</v>
      </c>
      <c r="V182" s="5" t="s">
        <v>2471</v>
      </c>
      <c r="W182" s="5" t="s">
        <v>2471</v>
      </c>
      <c r="X182" s="5" t="s">
        <v>2471</v>
      </c>
      <c r="Y182" s="4">
        <v>67</v>
      </c>
      <c r="Z182" s="4">
        <v>43</v>
      </c>
      <c r="AA182" s="4">
        <v>44</v>
      </c>
      <c r="AB182" s="4">
        <v>1</v>
      </c>
      <c r="AC182" s="4">
        <v>1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3" t="s">
        <v>58</v>
      </c>
      <c r="AQ182" s="3" t="s">
        <v>58</v>
      </c>
      <c r="AS182" s="6" t="str">
        <f>HYPERLINK("https://creighton-primo.hosted.exlibrisgroup.com/primo-explore/search?tab=default_tab&amp;search_scope=EVERYTHING&amp;vid=01CRU&amp;lang=en_US&amp;offset=0&amp;query=any,contains,991003693579702656","Catalog Record")</f>
        <v>Catalog Record</v>
      </c>
      <c r="AT182" s="6" t="str">
        <f>HYPERLINK("http://www.worldcat.org/oclc/7736748","WorldCat Record")</f>
        <v>WorldCat Record</v>
      </c>
      <c r="AU182" s="3" t="s">
        <v>2472</v>
      </c>
      <c r="AV182" s="3" t="s">
        <v>2473</v>
      </c>
      <c r="AW182" s="3" t="s">
        <v>2474</v>
      </c>
      <c r="AX182" s="3" t="s">
        <v>2474</v>
      </c>
      <c r="AY182" s="3" t="s">
        <v>2475</v>
      </c>
      <c r="AZ182" s="3" t="s">
        <v>73</v>
      </c>
      <c r="BB182" s="3" t="s">
        <v>2476</v>
      </c>
      <c r="BC182" s="3" t="s">
        <v>2477</v>
      </c>
      <c r="BD182" s="3" t="s">
        <v>2478</v>
      </c>
    </row>
    <row r="183" spans="1:56" ht="47.25" customHeight="1" x14ac:dyDescent="0.25">
      <c r="A183" s="7" t="s">
        <v>58</v>
      </c>
      <c r="B183" s="2" t="s">
        <v>2479</v>
      </c>
      <c r="C183" s="2" t="s">
        <v>2480</v>
      </c>
      <c r="D183" s="2" t="s">
        <v>2481</v>
      </c>
      <c r="F183" s="3" t="s">
        <v>58</v>
      </c>
      <c r="G183" s="3" t="s">
        <v>59</v>
      </c>
      <c r="H183" s="3" t="s">
        <v>58</v>
      </c>
      <c r="I183" s="3" t="s">
        <v>58</v>
      </c>
      <c r="J183" s="3" t="s">
        <v>60</v>
      </c>
      <c r="K183" s="2" t="s">
        <v>2482</v>
      </c>
      <c r="L183" s="2" t="s">
        <v>2483</v>
      </c>
      <c r="M183" s="3" t="s">
        <v>62</v>
      </c>
      <c r="N183" s="2" t="s">
        <v>283</v>
      </c>
      <c r="O183" s="3" t="s">
        <v>63</v>
      </c>
      <c r="P183" s="3" t="s">
        <v>83</v>
      </c>
      <c r="R183" s="3" t="s">
        <v>855</v>
      </c>
      <c r="S183" s="4">
        <v>5</v>
      </c>
      <c r="T183" s="4">
        <v>5</v>
      </c>
      <c r="U183" s="5" t="s">
        <v>2484</v>
      </c>
      <c r="V183" s="5" t="s">
        <v>2484</v>
      </c>
      <c r="W183" s="5" t="s">
        <v>2485</v>
      </c>
      <c r="X183" s="5" t="s">
        <v>2485</v>
      </c>
      <c r="Y183" s="4">
        <v>104</v>
      </c>
      <c r="Z183" s="4">
        <v>84</v>
      </c>
      <c r="AA183" s="4">
        <v>85</v>
      </c>
      <c r="AB183" s="4">
        <v>1</v>
      </c>
      <c r="AC183" s="4">
        <v>1</v>
      </c>
      <c r="AD183" s="4">
        <v>1</v>
      </c>
      <c r="AE183" s="4">
        <v>1</v>
      </c>
      <c r="AF183" s="4">
        <v>1</v>
      </c>
      <c r="AG183" s="4">
        <v>1</v>
      </c>
      <c r="AH183" s="4">
        <v>0</v>
      </c>
      <c r="AI183" s="4">
        <v>0</v>
      </c>
      <c r="AJ183" s="4">
        <v>1</v>
      </c>
      <c r="AK183" s="4">
        <v>1</v>
      </c>
      <c r="AL183" s="4">
        <v>0</v>
      </c>
      <c r="AM183" s="4">
        <v>0</v>
      </c>
      <c r="AN183" s="4">
        <v>0</v>
      </c>
      <c r="AO183" s="4">
        <v>0</v>
      </c>
      <c r="AP183" s="3" t="s">
        <v>58</v>
      </c>
      <c r="AQ183" s="3" t="s">
        <v>87</v>
      </c>
      <c r="AR183" s="6" t="str">
        <f>HYPERLINK("http://catalog.hathitrust.org/Record/008324796","HathiTrust Record")</f>
        <v>HathiTrust Record</v>
      </c>
      <c r="AS183" s="6" t="str">
        <f>HYPERLINK("https://creighton-primo.hosted.exlibrisgroup.com/primo-explore/search?tab=default_tab&amp;search_scope=EVERYTHING&amp;vid=01CRU&amp;lang=en_US&amp;offset=0&amp;query=any,contains,991002079139702656","Catalog Record")</f>
        <v>Catalog Record</v>
      </c>
      <c r="AT183" s="6" t="str">
        <f>HYPERLINK("http://www.worldcat.org/oclc/27137199","WorldCat Record")</f>
        <v>WorldCat Record</v>
      </c>
      <c r="AU183" s="3" t="s">
        <v>2486</v>
      </c>
      <c r="AV183" s="3" t="s">
        <v>2487</v>
      </c>
      <c r="AW183" s="3" t="s">
        <v>2488</v>
      </c>
      <c r="AX183" s="3" t="s">
        <v>2488</v>
      </c>
      <c r="AY183" s="3" t="s">
        <v>2489</v>
      </c>
      <c r="AZ183" s="3" t="s">
        <v>73</v>
      </c>
      <c r="BB183" s="3" t="s">
        <v>2490</v>
      </c>
      <c r="BC183" s="3" t="s">
        <v>2491</v>
      </c>
      <c r="BD183" s="3" t="s">
        <v>2492</v>
      </c>
    </row>
    <row r="184" spans="1:56" ht="47.25" customHeight="1" x14ac:dyDescent="0.25">
      <c r="A184" s="7" t="s">
        <v>58</v>
      </c>
      <c r="B184" s="2" t="s">
        <v>2493</v>
      </c>
      <c r="C184" s="2" t="s">
        <v>2494</v>
      </c>
      <c r="D184" s="2" t="s">
        <v>2495</v>
      </c>
      <c r="F184" s="3" t="s">
        <v>58</v>
      </c>
      <c r="G184" s="3" t="s">
        <v>59</v>
      </c>
      <c r="H184" s="3" t="s">
        <v>58</v>
      </c>
      <c r="I184" s="3" t="s">
        <v>58</v>
      </c>
      <c r="J184" s="3" t="s">
        <v>60</v>
      </c>
      <c r="K184" s="2" t="s">
        <v>2496</v>
      </c>
      <c r="L184" s="2" t="s">
        <v>2497</v>
      </c>
      <c r="M184" s="3" t="s">
        <v>1890</v>
      </c>
      <c r="O184" s="3" t="s">
        <v>1327</v>
      </c>
      <c r="P184" s="3" t="s">
        <v>1328</v>
      </c>
      <c r="Q184" s="2" t="s">
        <v>2498</v>
      </c>
      <c r="R184" s="3" t="s">
        <v>855</v>
      </c>
      <c r="S184" s="4">
        <v>0</v>
      </c>
      <c r="T184" s="4">
        <v>0</v>
      </c>
      <c r="U184" s="5" t="s">
        <v>2499</v>
      </c>
      <c r="V184" s="5" t="s">
        <v>2499</v>
      </c>
      <c r="W184" s="5" t="s">
        <v>1892</v>
      </c>
      <c r="X184" s="5" t="s">
        <v>1892</v>
      </c>
      <c r="Y184" s="4">
        <v>128</v>
      </c>
      <c r="Z184" s="4">
        <v>73</v>
      </c>
      <c r="AA184" s="4">
        <v>81</v>
      </c>
      <c r="AB184" s="4">
        <v>1</v>
      </c>
      <c r="AC184" s="4">
        <v>1</v>
      </c>
      <c r="AD184" s="4">
        <v>3</v>
      </c>
      <c r="AE184" s="4">
        <v>3</v>
      </c>
      <c r="AF184" s="4">
        <v>0</v>
      </c>
      <c r="AG184" s="4">
        <v>0</v>
      </c>
      <c r="AH184" s="4">
        <v>2</v>
      </c>
      <c r="AI184" s="4">
        <v>2</v>
      </c>
      <c r="AJ184" s="4">
        <v>2</v>
      </c>
      <c r="AK184" s="4">
        <v>2</v>
      </c>
      <c r="AL184" s="4">
        <v>0</v>
      </c>
      <c r="AM184" s="4">
        <v>0</v>
      </c>
      <c r="AN184" s="4">
        <v>0</v>
      </c>
      <c r="AO184" s="4">
        <v>0</v>
      </c>
      <c r="AP184" s="3" t="s">
        <v>58</v>
      </c>
      <c r="AQ184" s="3" t="s">
        <v>87</v>
      </c>
      <c r="AR184" s="6" t="str">
        <f>HYPERLINK("http://catalog.hathitrust.org/Record/000105559","HathiTrust Record")</f>
        <v>HathiTrust Record</v>
      </c>
      <c r="AS184" s="6" t="str">
        <f>HYPERLINK("https://creighton-primo.hosted.exlibrisgroup.com/primo-explore/search?tab=default_tab&amp;search_scope=EVERYTHING&amp;vid=01CRU&amp;lang=en_US&amp;offset=0&amp;query=any,contains,991000041949702656","Catalog Record")</f>
        <v>Catalog Record</v>
      </c>
      <c r="AT184" s="6" t="str">
        <f>HYPERLINK("http://www.worldcat.org/oclc/8661817","WorldCat Record")</f>
        <v>WorldCat Record</v>
      </c>
      <c r="AU184" s="3" t="s">
        <v>2500</v>
      </c>
      <c r="AV184" s="3" t="s">
        <v>2501</v>
      </c>
      <c r="AW184" s="3" t="s">
        <v>2502</v>
      </c>
      <c r="AX184" s="3" t="s">
        <v>2502</v>
      </c>
      <c r="AY184" s="3" t="s">
        <v>2503</v>
      </c>
      <c r="AZ184" s="3" t="s">
        <v>73</v>
      </c>
      <c r="BB184" s="3" t="s">
        <v>2504</v>
      </c>
      <c r="BC184" s="3" t="s">
        <v>2505</v>
      </c>
      <c r="BD184" s="3" t="s">
        <v>2506</v>
      </c>
    </row>
    <row r="185" spans="1:56" ht="47.25" customHeight="1" x14ac:dyDescent="0.25">
      <c r="A185" s="7" t="s">
        <v>58</v>
      </c>
      <c r="B185" s="2" t="s">
        <v>2507</v>
      </c>
      <c r="C185" s="2" t="s">
        <v>2508</v>
      </c>
      <c r="D185" s="2" t="s">
        <v>2509</v>
      </c>
      <c r="F185" s="3" t="s">
        <v>58</v>
      </c>
      <c r="G185" s="3" t="s">
        <v>59</v>
      </c>
      <c r="H185" s="3" t="s">
        <v>58</v>
      </c>
      <c r="I185" s="3" t="s">
        <v>87</v>
      </c>
      <c r="J185" s="3" t="s">
        <v>60</v>
      </c>
      <c r="L185" s="2" t="s">
        <v>2510</v>
      </c>
      <c r="M185" s="3" t="s">
        <v>2122</v>
      </c>
      <c r="O185" s="3" t="s">
        <v>63</v>
      </c>
      <c r="P185" s="3" t="s">
        <v>64</v>
      </c>
      <c r="Q185" s="2" t="s">
        <v>2511</v>
      </c>
      <c r="R185" s="3" t="s">
        <v>855</v>
      </c>
      <c r="S185" s="4">
        <v>3</v>
      </c>
      <c r="T185" s="4">
        <v>3</v>
      </c>
      <c r="U185" s="5" t="s">
        <v>2512</v>
      </c>
      <c r="V185" s="5" t="s">
        <v>2512</v>
      </c>
      <c r="W185" s="5" t="s">
        <v>2513</v>
      </c>
      <c r="X185" s="5" t="s">
        <v>2513</v>
      </c>
      <c r="Y185" s="4">
        <v>204</v>
      </c>
      <c r="Z185" s="4">
        <v>107</v>
      </c>
      <c r="AA185" s="4">
        <v>521</v>
      </c>
      <c r="AB185" s="4">
        <v>1</v>
      </c>
      <c r="AC185" s="4">
        <v>3</v>
      </c>
      <c r="AD185" s="4">
        <v>5</v>
      </c>
      <c r="AE185" s="4">
        <v>23</v>
      </c>
      <c r="AF185" s="4">
        <v>2</v>
      </c>
      <c r="AG185" s="4">
        <v>9</v>
      </c>
      <c r="AH185" s="4">
        <v>2</v>
      </c>
      <c r="AI185" s="4">
        <v>6</v>
      </c>
      <c r="AJ185" s="4">
        <v>3</v>
      </c>
      <c r="AK185" s="4">
        <v>14</v>
      </c>
      <c r="AL185" s="4">
        <v>0</v>
      </c>
      <c r="AM185" s="4">
        <v>2</v>
      </c>
      <c r="AN185" s="4">
        <v>0</v>
      </c>
      <c r="AO185" s="4">
        <v>0</v>
      </c>
      <c r="AP185" s="3" t="s">
        <v>58</v>
      </c>
      <c r="AQ185" s="3" t="s">
        <v>87</v>
      </c>
      <c r="AR185" s="6" t="str">
        <f>HYPERLINK("http://catalog.hathitrust.org/Record/000901312","HathiTrust Record")</f>
        <v>HathiTrust Record</v>
      </c>
      <c r="AS185" s="6" t="str">
        <f>HYPERLINK("https://creighton-primo.hosted.exlibrisgroup.com/primo-explore/search?tab=default_tab&amp;search_scope=EVERYTHING&amp;vid=01CRU&amp;lang=en_US&amp;offset=0&amp;query=any,contains,991001328099702656","Catalog Record")</f>
        <v>Catalog Record</v>
      </c>
      <c r="AT185" s="6" t="str">
        <f>HYPERLINK("http://www.worldcat.org/oclc/18291605","WorldCat Record")</f>
        <v>WorldCat Record</v>
      </c>
      <c r="AU185" s="3" t="s">
        <v>2514</v>
      </c>
      <c r="AV185" s="3" t="s">
        <v>2515</v>
      </c>
      <c r="AW185" s="3" t="s">
        <v>2516</v>
      </c>
      <c r="AX185" s="3" t="s">
        <v>2516</v>
      </c>
      <c r="AY185" s="3" t="s">
        <v>2517</v>
      </c>
      <c r="AZ185" s="3" t="s">
        <v>73</v>
      </c>
      <c r="BB185" s="3" t="s">
        <v>2518</v>
      </c>
      <c r="BC185" s="3" t="s">
        <v>2519</v>
      </c>
      <c r="BD185" s="3" t="s">
        <v>2520</v>
      </c>
    </row>
    <row r="186" spans="1:56" ht="47.25" customHeight="1" x14ac:dyDescent="0.25">
      <c r="A186" s="7" t="s">
        <v>58</v>
      </c>
      <c r="B186" s="2" t="s">
        <v>2521</v>
      </c>
      <c r="C186" s="2" t="s">
        <v>2522</v>
      </c>
      <c r="D186" s="2" t="s">
        <v>2509</v>
      </c>
      <c r="F186" s="3" t="s">
        <v>58</v>
      </c>
      <c r="G186" s="3" t="s">
        <v>59</v>
      </c>
      <c r="H186" s="3" t="s">
        <v>58</v>
      </c>
      <c r="I186" s="3" t="s">
        <v>87</v>
      </c>
      <c r="J186" s="3" t="s">
        <v>60</v>
      </c>
      <c r="L186" s="2" t="s">
        <v>2523</v>
      </c>
      <c r="M186" s="3" t="s">
        <v>755</v>
      </c>
      <c r="O186" s="3" t="s">
        <v>63</v>
      </c>
      <c r="P186" s="3" t="s">
        <v>83</v>
      </c>
      <c r="R186" s="3" t="s">
        <v>855</v>
      </c>
      <c r="S186" s="4">
        <v>1</v>
      </c>
      <c r="T186" s="4">
        <v>1</v>
      </c>
      <c r="U186" s="5" t="s">
        <v>1005</v>
      </c>
      <c r="V186" s="5" t="s">
        <v>1005</v>
      </c>
      <c r="W186" s="5" t="s">
        <v>2524</v>
      </c>
      <c r="X186" s="5" t="s">
        <v>2524</v>
      </c>
      <c r="Y186" s="4">
        <v>84</v>
      </c>
      <c r="Z186" s="4">
        <v>68</v>
      </c>
      <c r="AA186" s="4">
        <v>521</v>
      </c>
      <c r="AB186" s="4">
        <v>1</v>
      </c>
      <c r="AC186" s="4">
        <v>3</v>
      </c>
      <c r="AD186" s="4">
        <v>4</v>
      </c>
      <c r="AE186" s="4">
        <v>23</v>
      </c>
      <c r="AF186" s="4">
        <v>2</v>
      </c>
      <c r="AG186" s="4">
        <v>9</v>
      </c>
      <c r="AH186" s="4">
        <v>2</v>
      </c>
      <c r="AI186" s="4">
        <v>6</v>
      </c>
      <c r="AJ186" s="4">
        <v>2</v>
      </c>
      <c r="AK186" s="4">
        <v>14</v>
      </c>
      <c r="AL186" s="4">
        <v>0</v>
      </c>
      <c r="AM186" s="4">
        <v>2</v>
      </c>
      <c r="AN186" s="4">
        <v>0</v>
      </c>
      <c r="AO186" s="4">
        <v>0</v>
      </c>
      <c r="AP186" s="3" t="s">
        <v>58</v>
      </c>
      <c r="AQ186" s="3" t="s">
        <v>87</v>
      </c>
      <c r="AR186" s="6" t="str">
        <f>HYPERLINK("http://catalog.hathitrust.org/Record/008324770","HathiTrust Record")</f>
        <v>HathiTrust Record</v>
      </c>
      <c r="AS186" s="6" t="str">
        <f>HYPERLINK("https://creighton-primo.hosted.exlibrisgroup.com/primo-explore/search?tab=default_tab&amp;search_scope=EVERYTHING&amp;vid=01CRU&amp;lang=en_US&amp;offset=0&amp;query=any,contains,991001889379702656","Catalog Record")</f>
        <v>Catalog Record</v>
      </c>
      <c r="AT186" s="6" t="str">
        <f>HYPERLINK("http://www.worldcat.org/oclc/23828159","WorldCat Record")</f>
        <v>WorldCat Record</v>
      </c>
      <c r="AU186" s="3" t="s">
        <v>2514</v>
      </c>
      <c r="AV186" s="3" t="s">
        <v>2525</v>
      </c>
      <c r="AW186" s="3" t="s">
        <v>2526</v>
      </c>
      <c r="AX186" s="3" t="s">
        <v>2526</v>
      </c>
      <c r="AY186" s="3" t="s">
        <v>2527</v>
      </c>
      <c r="AZ186" s="3" t="s">
        <v>73</v>
      </c>
      <c r="BB186" s="3" t="s">
        <v>2528</v>
      </c>
      <c r="BC186" s="3" t="s">
        <v>2529</v>
      </c>
      <c r="BD186" s="3" t="s">
        <v>2530</v>
      </c>
    </row>
    <row r="187" spans="1:56" ht="47.25" customHeight="1" x14ac:dyDescent="0.25">
      <c r="A187" s="7" t="s">
        <v>58</v>
      </c>
      <c r="B187" s="2" t="s">
        <v>2531</v>
      </c>
      <c r="C187" s="2" t="s">
        <v>2532</v>
      </c>
      <c r="D187" s="2" t="s">
        <v>2533</v>
      </c>
      <c r="F187" s="3" t="s">
        <v>58</v>
      </c>
      <c r="G187" s="3" t="s">
        <v>59</v>
      </c>
      <c r="H187" s="3" t="s">
        <v>58</v>
      </c>
      <c r="I187" s="3" t="s">
        <v>58</v>
      </c>
      <c r="J187" s="3" t="s">
        <v>60</v>
      </c>
      <c r="K187" s="2" t="s">
        <v>2534</v>
      </c>
      <c r="L187" s="2" t="s">
        <v>2535</v>
      </c>
      <c r="M187" s="3" t="s">
        <v>2122</v>
      </c>
      <c r="N187" s="2" t="s">
        <v>2536</v>
      </c>
      <c r="O187" s="3" t="s">
        <v>1327</v>
      </c>
      <c r="P187" s="3" t="s">
        <v>1833</v>
      </c>
      <c r="R187" s="3" t="s">
        <v>855</v>
      </c>
      <c r="S187" s="4">
        <v>1</v>
      </c>
      <c r="T187" s="4">
        <v>1</v>
      </c>
      <c r="U187" s="5" t="s">
        <v>2537</v>
      </c>
      <c r="V187" s="5" t="s">
        <v>2537</v>
      </c>
      <c r="W187" s="5" t="s">
        <v>2537</v>
      </c>
      <c r="X187" s="5" t="s">
        <v>2537</v>
      </c>
      <c r="Y187" s="4">
        <v>2</v>
      </c>
      <c r="Z187" s="4">
        <v>2</v>
      </c>
      <c r="AA187" s="4">
        <v>2</v>
      </c>
      <c r="AB187" s="4">
        <v>1</v>
      </c>
      <c r="AC187" s="4">
        <v>1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3" t="s">
        <v>58</v>
      </c>
      <c r="AQ187" s="3" t="s">
        <v>58</v>
      </c>
      <c r="AS187" s="6" t="str">
        <f>HYPERLINK("https://creighton-primo.hosted.exlibrisgroup.com/primo-explore/search?tab=default_tab&amp;search_scope=EVERYTHING&amp;vid=01CRU&amp;lang=en_US&amp;offset=0&amp;query=any,contains,991004045499702656","Catalog Record")</f>
        <v>Catalog Record</v>
      </c>
      <c r="AT187" s="6" t="str">
        <f>HYPERLINK("http://www.worldcat.org/oclc/20573709","WorldCat Record")</f>
        <v>WorldCat Record</v>
      </c>
      <c r="AU187" s="3" t="s">
        <v>2538</v>
      </c>
      <c r="AV187" s="3" t="s">
        <v>2539</v>
      </c>
      <c r="AW187" s="3" t="s">
        <v>2540</v>
      </c>
      <c r="AX187" s="3" t="s">
        <v>2540</v>
      </c>
      <c r="AY187" s="3" t="s">
        <v>2541</v>
      </c>
      <c r="AZ187" s="3" t="s">
        <v>73</v>
      </c>
      <c r="BB187" s="3" t="s">
        <v>2542</v>
      </c>
      <c r="BC187" s="3" t="s">
        <v>2543</v>
      </c>
      <c r="BD187" s="3" t="s">
        <v>2544</v>
      </c>
    </row>
    <row r="188" spans="1:56" ht="47.25" customHeight="1" x14ac:dyDescent="0.25">
      <c r="A188" s="7" t="s">
        <v>58</v>
      </c>
      <c r="B188" s="2" t="s">
        <v>2545</v>
      </c>
      <c r="C188" s="2" t="s">
        <v>2546</v>
      </c>
      <c r="D188" s="2" t="s">
        <v>2547</v>
      </c>
      <c r="F188" s="3" t="s">
        <v>58</v>
      </c>
      <c r="G188" s="3" t="s">
        <v>59</v>
      </c>
      <c r="H188" s="3" t="s">
        <v>58</v>
      </c>
      <c r="I188" s="3" t="s">
        <v>58</v>
      </c>
      <c r="J188" s="3" t="s">
        <v>60</v>
      </c>
      <c r="K188" s="2" t="s">
        <v>2548</v>
      </c>
      <c r="L188" s="2" t="s">
        <v>2549</v>
      </c>
      <c r="M188" s="3" t="s">
        <v>1601</v>
      </c>
      <c r="N188" s="2" t="s">
        <v>2550</v>
      </c>
      <c r="O188" s="3" t="s">
        <v>1327</v>
      </c>
      <c r="P188" s="3" t="s">
        <v>1919</v>
      </c>
      <c r="R188" s="3" t="s">
        <v>855</v>
      </c>
      <c r="S188" s="4">
        <v>2</v>
      </c>
      <c r="T188" s="4">
        <v>2</v>
      </c>
      <c r="U188" s="5" t="s">
        <v>2551</v>
      </c>
      <c r="V188" s="5" t="s">
        <v>2551</v>
      </c>
      <c r="W188" s="5" t="s">
        <v>2301</v>
      </c>
      <c r="X188" s="5" t="s">
        <v>2301</v>
      </c>
      <c r="Y188" s="4">
        <v>2</v>
      </c>
      <c r="Z188" s="4">
        <v>1</v>
      </c>
      <c r="AA188" s="4">
        <v>1</v>
      </c>
      <c r="AB188" s="4">
        <v>1</v>
      </c>
      <c r="AC188" s="4">
        <v>1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3" t="s">
        <v>58</v>
      </c>
      <c r="AQ188" s="3" t="s">
        <v>58</v>
      </c>
      <c r="AS188" s="6" t="str">
        <f>HYPERLINK("https://creighton-primo.hosted.exlibrisgroup.com/primo-explore/search?tab=default_tab&amp;search_scope=EVERYTHING&amp;vid=01CRU&amp;lang=en_US&amp;offset=0&amp;query=any,contains,991004202849702656","Catalog Record")</f>
        <v>Catalog Record</v>
      </c>
      <c r="AT188" s="6" t="str">
        <f>HYPERLINK("http://www.worldcat.org/oclc/53691285","WorldCat Record")</f>
        <v>WorldCat Record</v>
      </c>
      <c r="AU188" s="3" t="s">
        <v>2552</v>
      </c>
      <c r="AV188" s="3" t="s">
        <v>2553</v>
      </c>
      <c r="AW188" s="3" t="s">
        <v>2554</v>
      </c>
      <c r="AX188" s="3" t="s">
        <v>2554</v>
      </c>
      <c r="AY188" s="3" t="s">
        <v>2555</v>
      </c>
      <c r="AZ188" s="3" t="s">
        <v>73</v>
      </c>
      <c r="BB188" s="3" t="s">
        <v>2556</v>
      </c>
      <c r="BC188" s="3" t="s">
        <v>2557</v>
      </c>
      <c r="BD188" s="3" t="s">
        <v>2558</v>
      </c>
    </row>
    <row r="189" spans="1:56" ht="47.25" customHeight="1" x14ac:dyDescent="0.25">
      <c r="A189" s="7" t="s">
        <v>58</v>
      </c>
      <c r="B189" s="2" t="s">
        <v>2559</v>
      </c>
      <c r="C189" s="2" t="s">
        <v>2560</v>
      </c>
      <c r="D189" s="2" t="s">
        <v>2561</v>
      </c>
      <c r="F189" s="3" t="s">
        <v>58</v>
      </c>
      <c r="G189" s="3" t="s">
        <v>59</v>
      </c>
      <c r="H189" s="3" t="s">
        <v>58</v>
      </c>
      <c r="I189" s="3" t="s">
        <v>58</v>
      </c>
      <c r="J189" s="3" t="s">
        <v>60</v>
      </c>
      <c r="K189" s="2" t="s">
        <v>2548</v>
      </c>
      <c r="L189" s="2" t="s">
        <v>2562</v>
      </c>
      <c r="M189" s="3" t="s">
        <v>425</v>
      </c>
      <c r="O189" s="3" t="s">
        <v>1327</v>
      </c>
      <c r="P189" s="3" t="s">
        <v>1919</v>
      </c>
      <c r="Q189" s="2" t="s">
        <v>2563</v>
      </c>
      <c r="R189" s="3" t="s">
        <v>855</v>
      </c>
      <c r="S189" s="4">
        <v>1</v>
      </c>
      <c r="T189" s="4">
        <v>1</v>
      </c>
      <c r="U189" s="5" t="s">
        <v>2551</v>
      </c>
      <c r="V189" s="5" t="s">
        <v>2551</v>
      </c>
      <c r="W189" s="5" t="s">
        <v>2301</v>
      </c>
      <c r="X189" s="5" t="s">
        <v>2301</v>
      </c>
      <c r="Y189" s="4">
        <v>1</v>
      </c>
      <c r="Z189" s="4">
        <v>1</v>
      </c>
      <c r="AA189" s="4">
        <v>1</v>
      </c>
      <c r="AB189" s="4">
        <v>1</v>
      </c>
      <c r="AC189" s="4">
        <v>1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3" t="s">
        <v>58</v>
      </c>
      <c r="AQ189" s="3" t="s">
        <v>58</v>
      </c>
      <c r="AS189" s="6" t="str">
        <f>HYPERLINK("https://creighton-primo.hosted.exlibrisgroup.com/primo-explore/search?tab=default_tab&amp;search_scope=EVERYTHING&amp;vid=01CRU&amp;lang=en_US&amp;offset=0&amp;query=any,contains,991004203039702656","Catalog Record")</f>
        <v>Catalog Record</v>
      </c>
      <c r="AT189" s="6" t="str">
        <f>HYPERLINK("http://www.worldcat.org/oclc/53690318","WorldCat Record")</f>
        <v>WorldCat Record</v>
      </c>
      <c r="AU189" s="3" t="s">
        <v>2564</v>
      </c>
      <c r="AV189" s="3" t="s">
        <v>2565</v>
      </c>
      <c r="AW189" s="3" t="s">
        <v>2566</v>
      </c>
      <c r="AX189" s="3" t="s">
        <v>2566</v>
      </c>
      <c r="AY189" s="3" t="s">
        <v>2567</v>
      </c>
      <c r="AZ189" s="3" t="s">
        <v>73</v>
      </c>
      <c r="BB189" s="3" t="s">
        <v>2556</v>
      </c>
      <c r="BC189" s="3" t="s">
        <v>2568</v>
      </c>
      <c r="BD189" s="3" t="s">
        <v>2569</v>
      </c>
    </row>
    <row r="190" spans="1:56" ht="47.25" customHeight="1" x14ac:dyDescent="0.25">
      <c r="A190" s="7" t="s">
        <v>58</v>
      </c>
      <c r="B190" s="2" t="s">
        <v>2570</v>
      </c>
      <c r="C190" s="2" t="s">
        <v>2571</v>
      </c>
      <c r="D190" s="2" t="s">
        <v>2572</v>
      </c>
      <c r="F190" s="3" t="s">
        <v>58</v>
      </c>
      <c r="G190" s="3" t="s">
        <v>59</v>
      </c>
      <c r="H190" s="3" t="s">
        <v>58</v>
      </c>
      <c r="I190" s="3" t="s">
        <v>58</v>
      </c>
      <c r="J190" s="3" t="s">
        <v>60</v>
      </c>
      <c r="K190" s="2" t="s">
        <v>2573</v>
      </c>
      <c r="L190" s="2" t="s">
        <v>2574</v>
      </c>
      <c r="M190" s="3" t="s">
        <v>295</v>
      </c>
      <c r="O190" s="3" t="s">
        <v>1327</v>
      </c>
      <c r="P190" s="3" t="s">
        <v>2575</v>
      </c>
      <c r="Q190" s="2" t="s">
        <v>2576</v>
      </c>
      <c r="R190" s="3" t="s">
        <v>855</v>
      </c>
      <c r="S190" s="4">
        <v>1</v>
      </c>
      <c r="T190" s="4">
        <v>1</v>
      </c>
      <c r="U190" s="5" t="s">
        <v>2537</v>
      </c>
      <c r="V190" s="5" t="s">
        <v>2537</v>
      </c>
      <c r="W190" s="5" t="s">
        <v>2537</v>
      </c>
      <c r="X190" s="5" t="s">
        <v>2537</v>
      </c>
      <c r="Y190" s="4">
        <v>3</v>
      </c>
      <c r="Z190" s="4">
        <v>2</v>
      </c>
      <c r="AA190" s="4">
        <v>3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3" t="s">
        <v>58</v>
      </c>
      <c r="AQ190" s="3" t="s">
        <v>58</v>
      </c>
      <c r="AS190" s="6" t="str">
        <f>HYPERLINK("https://creighton-primo.hosted.exlibrisgroup.com/primo-explore/search?tab=default_tab&amp;search_scope=EVERYTHING&amp;vid=01CRU&amp;lang=en_US&amp;offset=0&amp;query=any,contains,991004045579702656","Catalog Record")</f>
        <v>Catalog Record</v>
      </c>
      <c r="AT190" s="6" t="str">
        <f>HYPERLINK("http://www.worldcat.org/oclc/24557493","WorldCat Record")</f>
        <v>WorldCat Record</v>
      </c>
      <c r="AU190" s="3" t="s">
        <v>2577</v>
      </c>
      <c r="AV190" s="3" t="s">
        <v>2578</v>
      </c>
      <c r="AW190" s="3" t="s">
        <v>2579</v>
      </c>
      <c r="AX190" s="3" t="s">
        <v>2579</v>
      </c>
      <c r="AY190" s="3" t="s">
        <v>2580</v>
      </c>
      <c r="AZ190" s="3" t="s">
        <v>73</v>
      </c>
      <c r="BB190" s="3" t="s">
        <v>2581</v>
      </c>
      <c r="BC190" s="3" t="s">
        <v>2582</v>
      </c>
      <c r="BD190" s="3" t="s">
        <v>2583</v>
      </c>
    </row>
    <row r="191" spans="1:56" ht="47.25" customHeight="1" x14ac:dyDescent="0.25">
      <c r="A191" s="7" t="s">
        <v>58</v>
      </c>
      <c r="B191" s="2" t="s">
        <v>2584</v>
      </c>
      <c r="C191" s="2" t="s">
        <v>2585</v>
      </c>
      <c r="D191" s="2" t="s">
        <v>2586</v>
      </c>
      <c r="F191" s="3" t="s">
        <v>58</v>
      </c>
      <c r="G191" s="3" t="s">
        <v>59</v>
      </c>
      <c r="H191" s="3" t="s">
        <v>58</v>
      </c>
      <c r="I191" s="3" t="s">
        <v>58</v>
      </c>
      <c r="J191" s="3" t="s">
        <v>60</v>
      </c>
      <c r="K191" s="2" t="s">
        <v>2587</v>
      </c>
      <c r="L191" s="2" t="s">
        <v>2588</v>
      </c>
      <c r="M191" s="3" t="s">
        <v>62</v>
      </c>
      <c r="N191" s="2" t="s">
        <v>2589</v>
      </c>
      <c r="O191" s="3" t="s">
        <v>1327</v>
      </c>
      <c r="P191" s="3" t="s">
        <v>1833</v>
      </c>
      <c r="R191" s="3" t="s">
        <v>855</v>
      </c>
      <c r="S191" s="4">
        <v>2</v>
      </c>
      <c r="T191" s="4">
        <v>2</v>
      </c>
      <c r="U191" s="5" t="s">
        <v>2590</v>
      </c>
      <c r="V191" s="5" t="s">
        <v>2590</v>
      </c>
      <c r="W191" s="5" t="s">
        <v>2591</v>
      </c>
      <c r="X191" s="5" t="s">
        <v>2591</v>
      </c>
      <c r="Y191" s="4">
        <v>1</v>
      </c>
      <c r="Z191" s="4">
        <v>1</v>
      </c>
      <c r="AA191" s="4">
        <v>1</v>
      </c>
      <c r="AB191" s="4">
        <v>1</v>
      </c>
      <c r="AC191" s="4">
        <v>1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3" t="s">
        <v>58</v>
      </c>
      <c r="AQ191" s="3" t="s">
        <v>58</v>
      </c>
      <c r="AS191" s="6" t="str">
        <f>HYPERLINK("https://creighton-primo.hosted.exlibrisgroup.com/primo-explore/search?tab=default_tab&amp;search_scope=EVERYTHING&amp;vid=01CRU&amp;lang=en_US&amp;offset=0&amp;query=any,contains,991003953009702656","Catalog Record")</f>
        <v>Catalog Record</v>
      </c>
      <c r="AT191" s="6" t="str">
        <f>HYPERLINK("http://www.worldcat.org/oclc/51065796","WorldCat Record")</f>
        <v>WorldCat Record</v>
      </c>
      <c r="AU191" s="3" t="s">
        <v>2592</v>
      </c>
      <c r="AV191" s="3" t="s">
        <v>2593</v>
      </c>
      <c r="AW191" s="3" t="s">
        <v>2594</v>
      </c>
      <c r="AX191" s="3" t="s">
        <v>2594</v>
      </c>
      <c r="AY191" s="3" t="s">
        <v>2595</v>
      </c>
      <c r="AZ191" s="3" t="s">
        <v>73</v>
      </c>
      <c r="BB191" s="3" t="s">
        <v>2596</v>
      </c>
      <c r="BC191" s="3" t="s">
        <v>2597</v>
      </c>
      <c r="BD191" s="3" t="s">
        <v>2598</v>
      </c>
    </row>
    <row r="192" spans="1:56" ht="47.25" customHeight="1" x14ac:dyDescent="0.25">
      <c r="A192" s="7" t="s">
        <v>58</v>
      </c>
      <c r="B192" s="2" t="s">
        <v>2599</v>
      </c>
      <c r="C192" s="2" t="s">
        <v>2600</v>
      </c>
      <c r="D192" s="2" t="s">
        <v>2601</v>
      </c>
      <c r="F192" s="3" t="s">
        <v>58</v>
      </c>
      <c r="G192" s="3" t="s">
        <v>59</v>
      </c>
      <c r="H192" s="3" t="s">
        <v>58</v>
      </c>
      <c r="I192" s="3" t="s">
        <v>58</v>
      </c>
      <c r="J192" s="3" t="s">
        <v>60</v>
      </c>
      <c r="L192" s="2" t="s">
        <v>2602</v>
      </c>
      <c r="M192" s="3" t="s">
        <v>2603</v>
      </c>
      <c r="O192" s="3" t="s">
        <v>63</v>
      </c>
      <c r="P192" s="3" t="s">
        <v>101</v>
      </c>
      <c r="R192" s="3" t="s">
        <v>855</v>
      </c>
      <c r="S192" s="4">
        <v>1</v>
      </c>
      <c r="T192" s="4">
        <v>1</v>
      </c>
      <c r="U192" s="5" t="s">
        <v>1819</v>
      </c>
      <c r="V192" s="5" t="s">
        <v>1819</v>
      </c>
      <c r="W192" s="5" t="s">
        <v>1492</v>
      </c>
      <c r="X192" s="5" t="s">
        <v>1492</v>
      </c>
      <c r="Y192" s="4">
        <v>29</v>
      </c>
      <c r="Z192" s="4">
        <v>23</v>
      </c>
      <c r="AA192" s="4">
        <v>146</v>
      </c>
      <c r="AB192" s="4">
        <v>1</v>
      </c>
      <c r="AC192" s="4">
        <v>3</v>
      </c>
      <c r="AD192" s="4">
        <v>1</v>
      </c>
      <c r="AE192" s="4">
        <v>6</v>
      </c>
      <c r="AF192" s="4">
        <v>0</v>
      </c>
      <c r="AG192" s="4">
        <v>1</v>
      </c>
      <c r="AH192" s="4">
        <v>0</v>
      </c>
      <c r="AI192" s="4">
        <v>1</v>
      </c>
      <c r="AJ192" s="4">
        <v>1</v>
      </c>
      <c r="AK192" s="4">
        <v>2</v>
      </c>
      <c r="AL192" s="4">
        <v>0</v>
      </c>
      <c r="AM192" s="4">
        <v>2</v>
      </c>
      <c r="AN192" s="4">
        <v>0</v>
      </c>
      <c r="AO192" s="4">
        <v>0</v>
      </c>
      <c r="AP192" s="3" t="s">
        <v>58</v>
      </c>
      <c r="AQ192" s="3" t="s">
        <v>58</v>
      </c>
      <c r="AS192" s="6" t="str">
        <f>HYPERLINK("https://creighton-primo.hosted.exlibrisgroup.com/primo-explore/search?tab=default_tab&amp;search_scope=EVERYTHING&amp;vid=01CRU&amp;lang=en_US&amp;offset=0&amp;query=any,contains,991001505059702656","Catalog Record")</f>
        <v>Catalog Record</v>
      </c>
      <c r="AT192" s="6" t="str">
        <f>HYPERLINK("http://www.worldcat.org/oclc/19822472","WorldCat Record")</f>
        <v>WorldCat Record</v>
      </c>
      <c r="AU192" s="3" t="s">
        <v>2604</v>
      </c>
      <c r="AV192" s="3" t="s">
        <v>2605</v>
      </c>
      <c r="AW192" s="3" t="s">
        <v>2606</v>
      </c>
      <c r="AX192" s="3" t="s">
        <v>2606</v>
      </c>
      <c r="AY192" s="3" t="s">
        <v>2607</v>
      </c>
      <c r="AZ192" s="3" t="s">
        <v>73</v>
      </c>
      <c r="BC192" s="3" t="s">
        <v>2608</v>
      </c>
      <c r="BD192" s="3" t="s">
        <v>2609</v>
      </c>
    </row>
    <row r="193" spans="1:56" ht="47.25" customHeight="1" x14ac:dyDescent="0.25">
      <c r="A193" s="7" t="s">
        <v>58</v>
      </c>
      <c r="B193" s="2" t="s">
        <v>2610</v>
      </c>
      <c r="C193" s="2" t="s">
        <v>2611</v>
      </c>
      <c r="D193" s="2" t="s">
        <v>2612</v>
      </c>
      <c r="F193" s="3" t="s">
        <v>58</v>
      </c>
      <c r="G193" s="3" t="s">
        <v>59</v>
      </c>
      <c r="H193" s="3" t="s">
        <v>58</v>
      </c>
      <c r="I193" s="3" t="s">
        <v>58</v>
      </c>
      <c r="J193" s="3" t="s">
        <v>60</v>
      </c>
      <c r="K193" s="2" t="s">
        <v>2613</v>
      </c>
      <c r="L193" s="2" t="s">
        <v>2614</v>
      </c>
      <c r="M193" s="3" t="s">
        <v>238</v>
      </c>
      <c r="O193" s="3" t="s">
        <v>63</v>
      </c>
      <c r="P193" s="3" t="s">
        <v>310</v>
      </c>
      <c r="R193" s="3" t="s">
        <v>855</v>
      </c>
      <c r="S193" s="4">
        <v>10</v>
      </c>
      <c r="T193" s="4">
        <v>10</v>
      </c>
      <c r="U193" s="5" t="s">
        <v>2484</v>
      </c>
      <c r="V193" s="5" t="s">
        <v>2484</v>
      </c>
      <c r="W193" s="5" t="s">
        <v>2615</v>
      </c>
      <c r="X193" s="5" t="s">
        <v>2615</v>
      </c>
      <c r="Y193" s="4">
        <v>360</v>
      </c>
      <c r="Z193" s="4">
        <v>337</v>
      </c>
      <c r="AA193" s="4">
        <v>379</v>
      </c>
      <c r="AB193" s="4">
        <v>2</v>
      </c>
      <c r="AC193" s="4">
        <v>3</v>
      </c>
      <c r="AD193" s="4">
        <v>5</v>
      </c>
      <c r="AE193" s="4">
        <v>6</v>
      </c>
      <c r="AF193" s="4">
        <v>0</v>
      </c>
      <c r="AG193" s="4">
        <v>0</v>
      </c>
      <c r="AH193" s="4">
        <v>1</v>
      </c>
      <c r="AI193" s="4">
        <v>2</v>
      </c>
      <c r="AJ193" s="4">
        <v>5</v>
      </c>
      <c r="AK193" s="4">
        <v>6</v>
      </c>
      <c r="AL193" s="4">
        <v>0</v>
      </c>
      <c r="AM193" s="4">
        <v>0</v>
      </c>
      <c r="AN193" s="4">
        <v>0</v>
      </c>
      <c r="AO193" s="4">
        <v>0</v>
      </c>
      <c r="AP193" s="3" t="s">
        <v>58</v>
      </c>
      <c r="AQ193" s="3" t="s">
        <v>58</v>
      </c>
      <c r="AS193" s="6" t="str">
        <f>HYPERLINK("https://creighton-primo.hosted.exlibrisgroup.com/primo-explore/search?tab=default_tab&amp;search_scope=EVERYTHING&amp;vid=01CRU&amp;lang=en_US&amp;offset=0&amp;query=any,contains,991000738209702656","Catalog Record")</f>
        <v>Catalog Record</v>
      </c>
      <c r="AT193" s="6" t="str">
        <f>HYPERLINK("http://www.worldcat.org/oclc/12804680","WorldCat Record")</f>
        <v>WorldCat Record</v>
      </c>
      <c r="AU193" s="3" t="s">
        <v>2616</v>
      </c>
      <c r="AV193" s="3" t="s">
        <v>2617</v>
      </c>
      <c r="AW193" s="3" t="s">
        <v>2618</v>
      </c>
      <c r="AX193" s="3" t="s">
        <v>2618</v>
      </c>
      <c r="AY193" s="3" t="s">
        <v>2619</v>
      </c>
      <c r="AZ193" s="3" t="s">
        <v>73</v>
      </c>
      <c r="BB193" s="3" t="s">
        <v>2620</v>
      </c>
      <c r="BC193" s="3" t="s">
        <v>2621</v>
      </c>
      <c r="BD193" s="3" t="s">
        <v>2622</v>
      </c>
    </row>
    <row r="194" spans="1:56" ht="47.25" customHeight="1" x14ac:dyDescent="0.25">
      <c r="A194" s="7" t="s">
        <v>58</v>
      </c>
      <c r="B194" s="2" t="s">
        <v>2623</v>
      </c>
      <c r="C194" s="2" t="s">
        <v>2624</v>
      </c>
      <c r="D194" s="2" t="s">
        <v>2625</v>
      </c>
      <c r="F194" s="3" t="s">
        <v>58</v>
      </c>
      <c r="G194" s="3" t="s">
        <v>59</v>
      </c>
      <c r="H194" s="3" t="s">
        <v>58</v>
      </c>
      <c r="I194" s="3" t="s">
        <v>58</v>
      </c>
      <c r="J194" s="3" t="s">
        <v>60</v>
      </c>
      <c r="K194" s="2" t="s">
        <v>2626</v>
      </c>
      <c r="L194" s="2" t="s">
        <v>2627</v>
      </c>
      <c r="M194" s="3" t="s">
        <v>650</v>
      </c>
      <c r="O194" s="3" t="s">
        <v>1327</v>
      </c>
      <c r="P194" s="3" t="s">
        <v>1328</v>
      </c>
      <c r="Q194" s="2" t="s">
        <v>2628</v>
      </c>
      <c r="R194" s="3" t="s">
        <v>855</v>
      </c>
      <c r="S194" s="4">
        <v>1</v>
      </c>
      <c r="T194" s="4">
        <v>1</v>
      </c>
      <c r="U194" s="5" t="s">
        <v>2629</v>
      </c>
      <c r="V194" s="5" t="s">
        <v>2629</v>
      </c>
      <c r="W194" s="5" t="s">
        <v>2629</v>
      </c>
      <c r="X194" s="5" t="s">
        <v>2629</v>
      </c>
      <c r="Y194" s="4">
        <v>40</v>
      </c>
      <c r="Z194" s="4">
        <v>18</v>
      </c>
      <c r="AA194" s="4">
        <v>32</v>
      </c>
      <c r="AB194" s="4">
        <v>1</v>
      </c>
      <c r="AC194" s="4">
        <v>1</v>
      </c>
      <c r="AD194" s="4">
        <v>0</v>
      </c>
      <c r="AE194" s="4">
        <v>2</v>
      </c>
      <c r="AF194" s="4">
        <v>0</v>
      </c>
      <c r="AG194" s="4">
        <v>1</v>
      </c>
      <c r="AH194" s="4">
        <v>0</v>
      </c>
      <c r="AI194" s="4">
        <v>1</v>
      </c>
      <c r="AJ194" s="4">
        <v>0</v>
      </c>
      <c r="AK194" s="4">
        <v>1</v>
      </c>
      <c r="AL194" s="4">
        <v>0</v>
      </c>
      <c r="AM194" s="4">
        <v>0</v>
      </c>
      <c r="AN194" s="4">
        <v>0</v>
      </c>
      <c r="AO194" s="4">
        <v>0</v>
      </c>
      <c r="AP194" s="3" t="s">
        <v>58</v>
      </c>
      <c r="AQ194" s="3" t="s">
        <v>58</v>
      </c>
      <c r="AS194" s="6" t="str">
        <f>HYPERLINK("https://creighton-primo.hosted.exlibrisgroup.com/primo-explore/search?tab=default_tab&amp;search_scope=EVERYTHING&amp;vid=01CRU&amp;lang=en_US&amp;offset=0&amp;query=any,contains,991003836079702656","Catalog Record")</f>
        <v>Catalog Record</v>
      </c>
      <c r="AT194" s="6" t="str">
        <f>HYPERLINK("http://www.worldcat.org/oclc/42811068","WorldCat Record")</f>
        <v>WorldCat Record</v>
      </c>
      <c r="AU194" s="3" t="s">
        <v>2630</v>
      </c>
      <c r="AV194" s="3" t="s">
        <v>2631</v>
      </c>
      <c r="AW194" s="3" t="s">
        <v>2632</v>
      </c>
      <c r="AX194" s="3" t="s">
        <v>2632</v>
      </c>
      <c r="AY194" s="3" t="s">
        <v>2633</v>
      </c>
      <c r="AZ194" s="3" t="s">
        <v>73</v>
      </c>
      <c r="BB194" s="3" t="s">
        <v>2634</v>
      </c>
      <c r="BC194" s="3" t="s">
        <v>2635</v>
      </c>
      <c r="BD194" s="3" t="s">
        <v>2636</v>
      </c>
    </row>
    <row r="195" spans="1:56" ht="47.25" customHeight="1" x14ac:dyDescent="0.25">
      <c r="A195" s="7" t="s">
        <v>58</v>
      </c>
      <c r="B195" s="2" t="s">
        <v>2637</v>
      </c>
      <c r="C195" s="2" t="s">
        <v>2638</v>
      </c>
      <c r="D195" s="2" t="s">
        <v>2639</v>
      </c>
      <c r="F195" s="3" t="s">
        <v>58</v>
      </c>
      <c r="G195" s="3" t="s">
        <v>59</v>
      </c>
      <c r="H195" s="3" t="s">
        <v>58</v>
      </c>
      <c r="I195" s="3" t="s">
        <v>58</v>
      </c>
      <c r="J195" s="3" t="s">
        <v>60</v>
      </c>
      <c r="K195" s="2" t="s">
        <v>2640</v>
      </c>
      <c r="L195" s="2" t="s">
        <v>2641</v>
      </c>
      <c r="M195" s="3" t="s">
        <v>338</v>
      </c>
      <c r="N195" s="2" t="s">
        <v>2642</v>
      </c>
      <c r="O195" s="3" t="s">
        <v>1327</v>
      </c>
      <c r="P195" s="3" t="s">
        <v>1328</v>
      </c>
      <c r="Q195" s="2" t="s">
        <v>2643</v>
      </c>
      <c r="R195" s="3" t="s">
        <v>855</v>
      </c>
      <c r="S195" s="4">
        <v>1</v>
      </c>
      <c r="T195" s="4">
        <v>1</v>
      </c>
      <c r="U195" s="5" t="s">
        <v>2644</v>
      </c>
      <c r="V195" s="5" t="s">
        <v>2644</v>
      </c>
      <c r="W195" s="5" t="s">
        <v>2645</v>
      </c>
      <c r="X195" s="5" t="s">
        <v>2645</v>
      </c>
      <c r="Y195" s="4">
        <v>29</v>
      </c>
      <c r="Z195" s="4">
        <v>16</v>
      </c>
      <c r="AA195" s="4">
        <v>25</v>
      </c>
      <c r="AB195" s="4">
        <v>1</v>
      </c>
      <c r="AC195" s="4">
        <v>2</v>
      </c>
      <c r="AD195" s="4">
        <v>0</v>
      </c>
      <c r="AE195" s="4">
        <v>2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1</v>
      </c>
      <c r="AL195" s="4">
        <v>0</v>
      </c>
      <c r="AM195" s="4">
        <v>1</v>
      </c>
      <c r="AN195" s="4">
        <v>0</v>
      </c>
      <c r="AO195" s="4">
        <v>0</v>
      </c>
      <c r="AP195" s="3" t="s">
        <v>58</v>
      </c>
      <c r="AQ195" s="3" t="s">
        <v>58</v>
      </c>
      <c r="AS195" s="6" t="str">
        <f>HYPERLINK("https://creighton-primo.hosted.exlibrisgroup.com/primo-explore/search?tab=default_tab&amp;search_scope=EVERYTHING&amp;vid=01CRU&amp;lang=en_US&amp;offset=0&amp;query=any,contains,991001445249702656","Catalog Record")</f>
        <v>Catalog Record</v>
      </c>
      <c r="AT195" s="6" t="str">
        <f>HYPERLINK("http://www.worldcat.org/oclc/19269323","WorldCat Record")</f>
        <v>WorldCat Record</v>
      </c>
      <c r="AU195" s="3" t="s">
        <v>2646</v>
      </c>
      <c r="AV195" s="3" t="s">
        <v>2647</v>
      </c>
      <c r="AW195" s="3" t="s">
        <v>2648</v>
      </c>
      <c r="AX195" s="3" t="s">
        <v>2648</v>
      </c>
      <c r="AY195" s="3" t="s">
        <v>2649</v>
      </c>
      <c r="AZ195" s="3" t="s">
        <v>73</v>
      </c>
      <c r="BB195" s="3" t="s">
        <v>2650</v>
      </c>
      <c r="BC195" s="3" t="s">
        <v>2651</v>
      </c>
      <c r="BD195" s="3" t="s">
        <v>2652</v>
      </c>
    </row>
    <row r="196" spans="1:56" ht="47.25" customHeight="1" x14ac:dyDescent="0.25">
      <c r="A196" s="7" t="s">
        <v>58</v>
      </c>
      <c r="B196" s="2" t="s">
        <v>2653</v>
      </c>
      <c r="C196" s="2" t="s">
        <v>2654</v>
      </c>
      <c r="D196" s="2" t="s">
        <v>2655</v>
      </c>
      <c r="F196" s="3" t="s">
        <v>58</v>
      </c>
      <c r="G196" s="3" t="s">
        <v>59</v>
      </c>
      <c r="H196" s="3" t="s">
        <v>58</v>
      </c>
      <c r="I196" s="3" t="s">
        <v>87</v>
      </c>
      <c r="J196" s="3" t="s">
        <v>60</v>
      </c>
      <c r="K196" s="2" t="s">
        <v>2400</v>
      </c>
      <c r="L196" s="2" t="s">
        <v>2656</v>
      </c>
      <c r="M196" s="3" t="s">
        <v>1531</v>
      </c>
      <c r="N196" s="2" t="s">
        <v>2657</v>
      </c>
      <c r="O196" s="3" t="s">
        <v>1327</v>
      </c>
      <c r="P196" s="3" t="s">
        <v>1328</v>
      </c>
      <c r="Q196" s="2" t="s">
        <v>2658</v>
      </c>
      <c r="R196" s="3" t="s">
        <v>855</v>
      </c>
      <c r="S196" s="4">
        <v>1</v>
      </c>
      <c r="T196" s="4">
        <v>1</v>
      </c>
      <c r="U196" s="5" t="s">
        <v>1330</v>
      </c>
      <c r="V196" s="5" t="s">
        <v>1330</v>
      </c>
      <c r="W196" s="5" t="s">
        <v>1330</v>
      </c>
      <c r="X196" s="5" t="s">
        <v>1330</v>
      </c>
      <c r="Y196" s="4">
        <v>28</v>
      </c>
      <c r="Z196" s="4">
        <v>12</v>
      </c>
      <c r="AA196" s="4">
        <v>507</v>
      </c>
      <c r="AB196" s="4">
        <v>1</v>
      </c>
      <c r="AC196" s="4">
        <v>5</v>
      </c>
      <c r="AD196" s="4">
        <v>1</v>
      </c>
      <c r="AE196" s="4">
        <v>30</v>
      </c>
      <c r="AF196" s="4">
        <v>0</v>
      </c>
      <c r="AG196" s="4">
        <v>7</v>
      </c>
      <c r="AH196" s="4">
        <v>0</v>
      </c>
      <c r="AI196" s="4">
        <v>9</v>
      </c>
      <c r="AJ196" s="4">
        <v>1</v>
      </c>
      <c r="AK196" s="4">
        <v>18</v>
      </c>
      <c r="AL196" s="4">
        <v>0</v>
      </c>
      <c r="AM196" s="4">
        <v>4</v>
      </c>
      <c r="AN196" s="4">
        <v>0</v>
      </c>
      <c r="AO196" s="4">
        <v>0</v>
      </c>
      <c r="AP196" s="3" t="s">
        <v>58</v>
      </c>
      <c r="AQ196" s="3" t="s">
        <v>58</v>
      </c>
      <c r="AS196" s="6" t="str">
        <f>HYPERLINK("https://creighton-primo.hosted.exlibrisgroup.com/primo-explore/search?tab=default_tab&amp;search_scope=EVERYTHING&amp;vid=01CRU&amp;lang=en_US&amp;offset=0&amp;query=any,contains,991004335139702656","Catalog Record")</f>
        <v>Catalog Record</v>
      </c>
      <c r="AT196" s="6" t="str">
        <f>HYPERLINK("http://www.worldcat.org/oclc/8707356","WorldCat Record")</f>
        <v>WorldCat Record</v>
      </c>
      <c r="AU196" s="3" t="s">
        <v>2659</v>
      </c>
      <c r="AV196" s="3" t="s">
        <v>2660</v>
      </c>
      <c r="AW196" s="3" t="s">
        <v>2661</v>
      </c>
      <c r="AX196" s="3" t="s">
        <v>2661</v>
      </c>
      <c r="AY196" s="3" t="s">
        <v>2662</v>
      </c>
      <c r="AZ196" s="3" t="s">
        <v>73</v>
      </c>
      <c r="BB196" s="3" t="s">
        <v>2663</v>
      </c>
      <c r="BC196" s="3" t="s">
        <v>2664</v>
      </c>
      <c r="BD196" s="3" t="s">
        <v>2665</v>
      </c>
    </row>
    <row r="197" spans="1:56" ht="47.25" customHeight="1" x14ac:dyDescent="0.25">
      <c r="A197" s="7" t="s">
        <v>58</v>
      </c>
      <c r="B197" s="2" t="s">
        <v>2666</v>
      </c>
      <c r="C197" s="2" t="s">
        <v>2667</v>
      </c>
      <c r="D197" s="2" t="s">
        <v>2668</v>
      </c>
      <c r="F197" s="3" t="s">
        <v>58</v>
      </c>
      <c r="G197" s="3" t="s">
        <v>59</v>
      </c>
      <c r="H197" s="3" t="s">
        <v>58</v>
      </c>
      <c r="I197" s="3" t="s">
        <v>58</v>
      </c>
      <c r="J197" s="3" t="s">
        <v>60</v>
      </c>
      <c r="K197" s="2" t="s">
        <v>2669</v>
      </c>
      <c r="L197" s="2" t="s">
        <v>2670</v>
      </c>
      <c r="M197" s="3" t="s">
        <v>2313</v>
      </c>
      <c r="O197" s="3" t="s">
        <v>1327</v>
      </c>
      <c r="P197" s="3" t="s">
        <v>1328</v>
      </c>
      <c r="R197" s="3" t="s">
        <v>855</v>
      </c>
      <c r="S197" s="4">
        <v>1</v>
      </c>
      <c r="T197" s="4">
        <v>1</v>
      </c>
      <c r="U197" s="5" t="s">
        <v>2671</v>
      </c>
      <c r="V197" s="5" t="s">
        <v>2671</v>
      </c>
      <c r="W197" s="5" t="s">
        <v>1977</v>
      </c>
      <c r="X197" s="5" t="s">
        <v>1977</v>
      </c>
      <c r="Y197" s="4">
        <v>41</v>
      </c>
      <c r="Z197" s="4">
        <v>31</v>
      </c>
      <c r="AA197" s="4">
        <v>33</v>
      </c>
      <c r="AB197" s="4">
        <v>1</v>
      </c>
      <c r="AC197" s="4">
        <v>1</v>
      </c>
      <c r="AD197" s="4">
        <v>1</v>
      </c>
      <c r="AE197" s="4">
        <v>1</v>
      </c>
      <c r="AF197" s="4">
        <v>0</v>
      </c>
      <c r="AG197" s="4">
        <v>0</v>
      </c>
      <c r="AH197" s="4">
        <v>0</v>
      </c>
      <c r="AI197" s="4">
        <v>0</v>
      </c>
      <c r="AJ197" s="4">
        <v>1</v>
      </c>
      <c r="AK197" s="4">
        <v>1</v>
      </c>
      <c r="AL197" s="4">
        <v>0</v>
      </c>
      <c r="AM197" s="4">
        <v>0</v>
      </c>
      <c r="AN197" s="4">
        <v>0</v>
      </c>
      <c r="AO197" s="4">
        <v>0</v>
      </c>
      <c r="AP197" s="3" t="s">
        <v>58</v>
      </c>
      <c r="AQ197" s="3" t="s">
        <v>87</v>
      </c>
      <c r="AR197" s="6" t="str">
        <f>HYPERLINK("http://catalog.hathitrust.org/Record/001220507","HathiTrust Record")</f>
        <v>HathiTrust Record</v>
      </c>
      <c r="AS197" s="6" t="str">
        <f>HYPERLINK("https://creighton-primo.hosted.exlibrisgroup.com/primo-explore/search?tab=default_tab&amp;search_scope=EVERYTHING&amp;vid=01CRU&amp;lang=en_US&amp;offset=0&amp;query=any,contains,991003694459702656","Catalog Record")</f>
        <v>Catalog Record</v>
      </c>
      <c r="AT197" s="6" t="str">
        <f>HYPERLINK("http://www.worldcat.org/oclc/10652277","WorldCat Record")</f>
        <v>WorldCat Record</v>
      </c>
      <c r="AU197" s="3" t="s">
        <v>2672</v>
      </c>
      <c r="AV197" s="3" t="s">
        <v>2673</v>
      </c>
      <c r="AW197" s="3" t="s">
        <v>2674</v>
      </c>
      <c r="AX197" s="3" t="s">
        <v>2674</v>
      </c>
      <c r="AY197" s="3" t="s">
        <v>2675</v>
      </c>
      <c r="AZ197" s="3" t="s">
        <v>73</v>
      </c>
      <c r="BC197" s="3" t="s">
        <v>2676</v>
      </c>
      <c r="BD197" s="3" t="s">
        <v>2677</v>
      </c>
    </row>
    <row r="198" spans="1:56" ht="47.25" customHeight="1" x14ac:dyDescent="0.25">
      <c r="A198" s="7" t="s">
        <v>58</v>
      </c>
      <c r="B198" s="2" t="s">
        <v>2678</v>
      </c>
      <c r="C198" s="2" t="s">
        <v>2679</v>
      </c>
      <c r="D198" s="2" t="s">
        <v>2680</v>
      </c>
      <c r="E198" s="3" t="s">
        <v>2681</v>
      </c>
      <c r="F198" s="3" t="s">
        <v>87</v>
      </c>
      <c r="G198" s="3" t="s">
        <v>59</v>
      </c>
      <c r="H198" s="3" t="s">
        <v>58</v>
      </c>
      <c r="I198" s="3" t="s">
        <v>58</v>
      </c>
      <c r="J198" s="3" t="s">
        <v>60</v>
      </c>
      <c r="K198" s="2" t="s">
        <v>2682</v>
      </c>
      <c r="L198" s="2" t="s">
        <v>2683</v>
      </c>
      <c r="M198" s="3" t="s">
        <v>295</v>
      </c>
      <c r="O198" s="3" t="s">
        <v>1327</v>
      </c>
      <c r="P198" s="3" t="s">
        <v>1328</v>
      </c>
      <c r="Q198" s="2" t="s">
        <v>2684</v>
      </c>
      <c r="R198" s="3" t="s">
        <v>855</v>
      </c>
      <c r="S198" s="4">
        <v>1</v>
      </c>
      <c r="T198" s="4">
        <v>9</v>
      </c>
      <c r="U198" s="5" t="s">
        <v>2685</v>
      </c>
      <c r="V198" s="5" t="s">
        <v>2685</v>
      </c>
      <c r="W198" s="5" t="s">
        <v>2685</v>
      </c>
      <c r="X198" s="5" t="s">
        <v>2685</v>
      </c>
      <c r="Y198" s="4">
        <v>345</v>
      </c>
      <c r="Z198" s="4">
        <v>260</v>
      </c>
      <c r="AA198" s="4">
        <v>273</v>
      </c>
      <c r="AB198" s="4">
        <v>3</v>
      </c>
      <c r="AC198" s="4">
        <v>3</v>
      </c>
      <c r="AD198" s="4">
        <v>14</v>
      </c>
      <c r="AE198" s="4">
        <v>14</v>
      </c>
      <c r="AF198" s="4">
        <v>2</v>
      </c>
      <c r="AG198" s="4">
        <v>2</v>
      </c>
      <c r="AH198" s="4">
        <v>6</v>
      </c>
      <c r="AI198" s="4">
        <v>6</v>
      </c>
      <c r="AJ198" s="4">
        <v>8</v>
      </c>
      <c r="AK198" s="4">
        <v>8</v>
      </c>
      <c r="AL198" s="4">
        <v>2</v>
      </c>
      <c r="AM198" s="4">
        <v>2</v>
      </c>
      <c r="AN198" s="4">
        <v>0</v>
      </c>
      <c r="AO198" s="4">
        <v>0</v>
      </c>
      <c r="AP198" s="3" t="s">
        <v>58</v>
      </c>
      <c r="AQ198" s="3" t="s">
        <v>87</v>
      </c>
      <c r="AR198" s="6" t="str">
        <f t="shared" ref="AR198:AR203" si="0">HYPERLINK("http://catalog.hathitrust.org/Record/000704206","HathiTrust Record")</f>
        <v>HathiTrust Record</v>
      </c>
      <c r="AS198" s="6" t="str">
        <f t="shared" ref="AS198:AS203" si="1">HYPERLINK("https://creighton-primo.hosted.exlibrisgroup.com/primo-explore/search?tab=default_tab&amp;search_scope=EVERYTHING&amp;vid=01CRU&amp;lang=en_US&amp;offset=0&amp;query=any,contains,991004759079702656","Catalog Record")</f>
        <v>Catalog Record</v>
      </c>
      <c r="AT198" s="6" t="str">
        <f t="shared" ref="AT198:AT203" si="2">HYPERLINK("http://www.worldcat.org/oclc/9893981","WorldCat Record")</f>
        <v>WorldCat Record</v>
      </c>
      <c r="AU198" s="3" t="s">
        <v>2686</v>
      </c>
      <c r="AV198" s="3" t="s">
        <v>2687</v>
      </c>
      <c r="AW198" s="3" t="s">
        <v>2688</v>
      </c>
      <c r="AX198" s="3" t="s">
        <v>2688</v>
      </c>
      <c r="AY198" s="3" t="s">
        <v>2689</v>
      </c>
      <c r="AZ198" s="3" t="s">
        <v>73</v>
      </c>
      <c r="BB198" s="3" t="s">
        <v>2690</v>
      </c>
      <c r="BC198" s="3" t="s">
        <v>2691</v>
      </c>
      <c r="BD198" s="3" t="s">
        <v>2692</v>
      </c>
    </row>
    <row r="199" spans="1:56" ht="47.25" customHeight="1" x14ac:dyDescent="0.25">
      <c r="A199" s="7" t="s">
        <v>58</v>
      </c>
      <c r="B199" s="2" t="s">
        <v>2678</v>
      </c>
      <c r="C199" s="2" t="s">
        <v>2679</v>
      </c>
      <c r="D199" s="2" t="s">
        <v>2680</v>
      </c>
      <c r="E199" s="3" t="s">
        <v>1367</v>
      </c>
      <c r="F199" s="3" t="s">
        <v>87</v>
      </c>
      <c r="G199" s="3" t="s">
        <v>59</v>
      </c>
      <c r="H199" s="3" t="s">
        <v>58</v>
      </c>
      <c r="I199" s="3" t="s">
        <v>58</v>
      </c>
      <c r="J199" s="3" t="s">
        <v>60</v>
      </c>
      <c r="K199" s="2" t="s">
        <v>2682</v>
      </c>
      <c r="L199" s="2" t="s">
        <v>2683</v>
      </c>
      <c r="M199" s="3" t="s">
        <v>295</v>
      </c>
      <c r="O199" s="3" t="s">
        <v>1327</v>
      </c>
      <c r="P199" s="3" t="s">
        <v>1328</v>
      </c>
      <c r="Q199" s="2" t="s">
        <v>2684</v>
      </c>
      <c r="R199" s="3" t="s">
        <v>855</v>
      </c>
      <c r="S199" s="4">
        <v>2</v>
      </c>
      <c r="T199" s="4">
        <v>9</v>
      </c>
      <c r="U199" s="5" t="s">
        <v>2685</v>
      </c>
      <c r="V199" s="5" t="s">
        <v>2685</v>
      </c>
      <c r="W199" s="5" t="s">
        <v>2685</v>
      </c>
      <c r="X199" s="5" t="s">
        <v>2685</v>
      </c>
      <c r="Y199" s="4">
        <v>345</v>
      </c>
      <c r="Z199" s="4">
        <v>260</v>
      </c>
      <c r="AA199" s="4">
        <v>273</v>
      </c>
      <c r="AB199" s="4">
        <v>3</v>
      </c>
      <c r="AC199" s="4">
        <v>3</v>
      </c>
      <c r="AD199" s="4">
        <v>14</v>
      </c>
      <c r="AE199" s="4">
        <v>14</v>
      </c>
      <c r="AF199" s="4">
        <v>2</v>
      </c>
      <c r="AG199" s="4">
        <v>2</v>
      </c>
      <c r="AH199" s="4">
        <v>6</v>
      </c>
      <c r="AI199" s="4">
        <v>6</v>
      </c>
      <c r="AJ199" s="4">
        <v>8</v>
      </c>
      <c r="AK199" s="4">
        <v>8</v>
      </c>
      <c r="AL199" s="4">
        <v>2</v>
      </c>
      <c r="AM199" s="4">
        <v>2</v>
      </c>
      <c r="AN199" s="4">
        <v>0</v>
      </c>
      <c r="AO199" s="4">
        <v>0</v>
      </c>
      <c r="AP199" s="3" t="s">
        <v>58</v>
      </c>
      <c r="AQ199" s="3" t="s">
        <v>87</v>
      </c>
      <c r="AR199" s="6" t="str">
        <f t="shared" si="0"/>
        <v>HathiTrust Record</v>
      </c>
      <c r="AS199" s="6" t="str">
        <f t="shared" si="1"/>
        <v>Catalog Record</v>
      </c>
      <c r="AT199" s="6" t="str">
        <f t="shared" si="2"/>
        <v>WorldCat Record</v>
      </c>
      <c r="AU199" s="3" t="s">
        <v>2686</v>
      </c>
      <c r="AV199" s="3" t="s">
        <v>2687</v>
      </c>
      <c r="AW199" s="3" t="s">
        <v>2688</v>
      </c>
      <c r="AX199" s="3" t="s">
        <v>2688</v>
      </c>
      <c r="AY199" s="3" t="s">
        <v>2689</v>
      </c>
      <c r="AZ199" s="3" t="s">
        <v>73</v>
      </c>
      <c r="BB199" s="3" t="s">
        <v>2690</v>
      </c>
      <c r="BC199" s="3" t="s">
        <v>2693</v>
      </c>
      <c r="BD199" s="3" t="s">
        <v>2694</v>
      </c>
    </row>
    <row r="200" spans="1:56" ht="47.25" customHeight="1" x14ac:dyDescent="0.25">
      <c r="A200" s="7" t="s">
        <v>58</v>
      </c>
      <c r="B200" s="2" t="s">
        <v>2678</v>
      </c>
      <c r="C200" s="2" t="s">
        <v>2679</v>
      </c>
      <c r="D200" s="2" t="s">
        <v>2680</v>
      </c>
      <c r="E200" s="3" t="s">
        <v>2695</v>
      </c>
      <c r="F200" s="3" t="s">
        <v>87</v>
      </c>
      <c r="G200" s="3" t="s">
        <v>59</v>
      </c>
      <c r="H200" s="3" t="s">
        <v>58</v>
      </c>
      <c r="I200" s="3" t="s">
        <v>58</v>
      </c>
      <c r="J200" s="3" t="s">
        <v>60</v>
      </c>
      <c r="K200" s="2" t="s">
        <v>2682</v>
      </c>
      <c r="L200" s="2" t="s">
        <v>2683</v>
      </c>
      <c r="M200" s="3" t="s">
        <v>295</v>
      </c>
      <c r="O200" s="3" t="s">
        <v>1327</v>
      </c>
      <c r="P200" s="3" t="s">
        <v>1328</v>
      </c>
      <c r="Q200" s="2" t="s">
        <v>2684</v>
      </c>
      <c r="R200" s="3" t="s">
        <v>855</v>
      </c>
      <c r="S200" s="4">
        <v>1</v>
      </c>
      <c r="T200" s="4">
        <v>9</v>
      </c>
      <c r="U200" s="5" t="s">
        <v>2685</v>
      </c>
      <c r="V200" s="5" t="s">
        <v>2685</v>
      </c>
      <c r="W200" s="5" t="s">
        <v>2685</v>
      </c>
      <c r="X200" s="5" t="s">
        <v>2685</v>
      </c>
      <c r="Y200" s="4">
        <v>345</v>
      </c>
      <c r="Z200" s="4">
        <v>260</v>
      </c>
      <c r="AA200" s="4">
        <v>273</v>
      </c>
      <c r="AB200" s="4">
        <v>3</v>
      </c>
      <c r="AC200" s="4">
        <v>3</v>
      </c>
      <c r="AD200" s="4">
        <v>14</v>
      </c>
      <c r="AE200" s="4">
        <v>14</v>
      </c>
      <c r="AF200" s="4">
        <v>2</v>
      </c>
      <c r="AG200" s="4">
        <v>2</v>
      </c>
      <c r="AH200" s="4">
        <v>6</v>
      </c>
      <c r="AI200" s="4">
        <v>6</v>
      </c>
      <c r="AJ200" s="4">
        <v>8</v>
      </c>
      <c r="AK200" s="4">
        <v>8</v>
      </c>
      <c r="AL200" s="4">
        <v>2</v>
      </c>
      <c r="AM200" s="4">
        <v>2</v>
      </c>
      <c r="AN200" s="4">
        <v>0</v>
      </c>
      <c r="AO200" s="4">
        <v>0</v>
      </c>
      <c r="AP200" s="3" t="s">
        <v>58</v>
      </c>
      <c r="AQ200" s="3" t="s">
        <v>87</v>
      </c>
      <c r="AR200" s="6" t="str">
        <f t="shared" si="0"/>
        <v>HathiTrust Record</v>
      </c>
      <c r="AS200" s="6" t="str">
        <f t="shared" si="1"/>
        <v>Catalog Record</v>
      </c>
      <c r="AT200" s="6" t="str">
        <f t="shared" si="2"/>
        <v>WorldCat Record</v>
      </c>
      <c r="AU200" s="3" t="s">
        <v>2686</v>
      </c>
      <c r="AV200" s="3" t="s">
        <v>2687</v>
      </c>
      <c r="AW200" s="3" t="s">
        <v>2688</v>
      </c>
      <c r="AX200" s="3" t="s">
        <v>2688</v>
      </c>
      <c r="AY200" s="3" t="s">
        <v>2689</v>
      </c>
      <c r="AZ200" s="3" t="s">
        <v>73</v>
      </c>
      <c r="BB200" s="3" t="s">
        <v>2690</v>
      </c>
      <c r="BC200" s="3" t="s">
        <v>2696</v>
      </c>
      <c r="BD200" s="3" t="s">
        <v>2697</v>
      </c>
    </row>
    <row r="201" spans="1:56" ht="47.25" customHeight="1" x14ac:dyDescent="0.25">
      <c r="A201" s="7" t="s">
        <v>58</v>
      </c>
      <c r="B201" s="2" t="s">
        <v>2678</v>
      </c>
      <c r="C201" s="2" t="s">
        <v>2679</v>
      </c>
      <c r="D201" s="2" t="s">
        <v>2680</v>
      </c>
      <c r="E201" s="3" t="s">
        <v>1377</v>
      </c>
      <c r="F201" s="3" t="s">
        <v>87</v>
      </c>
      <c r="G201" s="3" t="s">
        <v>59</v>
      </c>
      <c r="H201" s="3" t="s">
        <v>58</v>
      </c>
      <c r="I201" s="3" t="s">
        <v>58</v>
      </c>
      <c r="J201" s="3" t="s">
        <v>60</v>
      </c>
      <c r="K201" s="2" t="s">
        <v>2682</v>
      </c>
      <c r="L201" s="2" t="s">
        <v>2683</v>
      </c>
      <c r="M201" s="3" t="s">
        <v>295</v>
      </c>
      <c r="O201" s="3" t="s">
        <v>1327</v>
      </c>
      <c r="P201" s="3" t="s">
        <v>1328</v>
      </c>
      <c r="Q201" s="2" t="s">
        <v>2684</v>
      </c>
      <c r="R201" s="3" t="s">
        <v>855</v>
      </c>
      <c r="S201" s="4">
        <v>2</v>
      </c>
      <c r="T201" s="4">
        <v>9</v>
      </c>
      <c r="U201" s="5" t="s">
        <v>2685</v>
      </c>
      <c r="V201" s="5" t="s">
        <v>2685</v>
      </c>
      <c r="W201" s="5" t="s">
        <v>2685</v>
      </c>
      <c r="X201" s="5" t="s">
        <v>2685</v>
      </c>
      <c r="Y201" s="4">
        <v>345</v>
      </c>
      <c r="Z201" s="4">
        <v>260</v>
      </c>
      <c r="AA201" s="4">
        <v>273</v>
      </c>
      <c r="AB201" s="4">
        <v>3</v>
      </c>
      <c r="AC201" s="4">
        <v>3</v>
      </c>
      <c r="AD201" s="4">
        <v>14</v>
      </c>
      <c r="AE201" s="4">
        <v>14</v>
      </c>
      <c r="AF201" s="4">
        <v>2</v>
      </c>
      <c r="AG201" s="4">
        <v>2</v>
      </c>
      <c r="AH201" s="4">
        <v>6</v>
      </c>
      <c r="AI201" s="4">
        <v>6</v>
      </c>
      <c r="AJ201" s="4">
        <v>8</v>
      </c>
      <c r="AK201" s="4">
        <v>8</v>
      </c>
      <c r="AL201" s="4">
        <v>2</v>
      </c>
      <c r="AM201" s="4">
        <v>2</v>
      </c>
      <c r="AN201" s="4">
        <v>0</v>
      </c>
      <c r="AO201" s="4">
        <v>0</v>
      </c>
      <c r="AP201" s="3" t="s">
        <v>58</v>
      </c>
      <c r="AQ201" s="3" t="s">
        <v>87</v>
      </c>
      <c r="AR201" s="6" t="str">
        <f t="shared" si="0"/>
        <v>HathiTrust Record</v>
      </c>
      <c r="AS201" s="6" t="str">
        <f t="shared" si="1"/>
        <v>Catalog Record</v>
      </c>
      <c r="AT201" s="6" t="str">
        <f t="shared" si="2"/>
        <v>WorldCat Record</v>
      </c>
      <c r="AU201" s="3" t="s">
        <v>2686</v>
      </c>
      <c r="AV201" s="3" t="s">
        <v>2687</v>
      </c>
      <c r="AW201" s="3" t="s">
        <v>2688</v>
      </c>
      <c r="AX201" s="3" t="s">
        <v>2688</v>
      </c>
      <c r="AY201" s="3" t="s">
        <v>2689</v>
      </c>
      <c r="AZ201" s="3" t="s">
        <v>73</v>
      </c>
      <c r="BB201" s="3" t="s">
        <v>2690</v>
      </c>
      <c r="BC201" s="3" t="s">
        <v>2698</v>
      </c>
      <c r="BD201" s="3" t="s">
        <v>2699</v>
      </c>
    </row>
    <row r="202" spans="1:56" ht="47.25" customHeight="1" x14ac:dyDescent="0.25">
      <c r="A202" s="7" t="s">
        <v>58</v>
      </c>
      <c r="B202" s="2" t="s">
        <v>2678</v>
      </c>
      <c r="C202" s="2" t="s">
        <v>2679</v>
      </c>
      <c r="D202" s="2" t="s">
        <v>2680</v>
      </c>
      <c r="E202" s="3" t="s">
        <v>2700</v>
      </c>
      <c r="F202" s="3" t="s">
        <v>87</v>
      </c>
      <c r="G202" s="3" t="s">
        <v>59</v>
      </c>
      <c r="H202" s="3" t="s">
        <v>58</v>
      </c>
      <c r="I202" s="3" t="s">
        <v>58</v>
      </c>
      <c r="J202" s="3" t="s">
        <v>60</v>
      </c>
      <c r="K202" s="2" t="s">
        <v>2682</v>
      </c>
      <c r="L202" s="2" t="s">
        <v>2683</v>
      </c>
      <c r="M202" s="3" t="s">
        <v>295</v>
      </c>
      <c r="O202" s="3" t="s">
        <v>1327</v>
      </c>
      <c r="P202" s="3" t="s">
        <v>1328</v>
      </c>
      <c r="Q202" s="2" t="s">
        <v>2684</v>
      </c>
      <c r="R202" s="3" t="s">
        <v>855</v>
      </c>
      <c r="S202" s="4">
        <v>2</v>
      </c>
      <c r="T202" s="4">
        <v>9</v>
      </c>
      <c r="U202" s="5" t="s">
        <v>2685</v>
      </c>
      <c r="V202" s="5" t="s">
        <v>2685</v>
      </c>
      <c r="W202" s="5" t="s">
        <v>2685</v>
      </c>
      <c r="X202" s="5" t="s">
        <v>2685</v>
      </c>
      <c r="Y202" s="4">
        <v>345</v>
      </c>
      <c r="Z202" s="4">
        <v>260</v>
      </c>
      <c r="AA202" s="4">
        <v>273</v>
      </c>
      <c r="AB202" s="4">
        <v>3</v>
      </c>
      <c r="AC202" s="4">
        <v>3</v>
      </c>
      <c r="AD202" s="4">
        <v>14</v>
      </c>
      <c r="AE202" s="4">
        <v>14</v>
      </c>
      <c r="AF202" s="4">
        <v>2</v>
      </c>
      <c r="AG202" s="4">
        <v>2</v>
      </c>
      <c r="AH202" s="4">
        <v>6</v>
      </c>
      <c r="AI202" s="4">
        <v>6</v>
      </c>
      <c r="AJ202" s="4">
        <v>8</v>
      </c>
      <c r="AK202" s="4">
        <v>8</v>
      </c>
      <c r="AL202" s="4">
        <v>2</v>
      </c>
      <c r="AM202" s="4">
        <v>2</v>
      </c>
      <c r="AN202" s="4">
        <v>0</v>
      </c>
      <c r="AO202" s="4">
        <v>0</v>
      </c>
      <c r="AP202" s="3" t="s">
        <v>58</v>
      </c>
      <c r="AQ202" s="3" t="s">
        <v>87</v>
      </c>
      <c r="AR202" s="6" t="str">
        <f t="shared" si="0"/>
        <v>HathiTrust Record</v>
      </c>
      <c r="AS202" s="6" t="str">
        <f t="shared" si="1"/>
        <v>Catalog Record</v>
      </c>
      <c r="AT202" s="6" t="str">
        <f t="shared" si="2"/>
        <v>WorldCat Record</v>
      </c>
      <c r="AU202" s="3" t="s">
        <v>2686</v>
      </c>
      <c r="AV202" s="3" t="s">
        <v>2687</v>
      </c>
      <c r="AW202" s="3" t="s">
        <v>2688</v>
      </c>
      <c r="AX202" s="3" t="s">
        <v>2688</v>
      </c>
      <c r="AY202" s="3" t="s">
        <v>2689</v>
      </c>
      <c r="AZ202" s="3" t="s">
        <v>73</v>
      </c>
      <c r="BB202" s="3" t="s">
        <v>2690</v>
      </c>
      <c r="BC202" s="3" t="s">
        <v>2701</v>
      </c>
      <c r="BD202" s="3" t="s">
        <v>2702</v>
      </c>
    </row>
    <row r="203" spans="1:56" ht="47.25" customHeight="1" x14ac:dyDescent="0.25">
      <c r="A203" s="7" t="s">
        <v>58</v>
      </c>
      <c r="B203" s="2" t="s">
        <v>2678</v>
      </c>
      <c r="C203" s="2" t="s">
        <v>2679</v>
      </c>
      <c r="D203" s="2" t="s">
        <v>2680</v>
      </c>
      <c r="E203" s="3" t="s">
        <v>2703</v>
      </c>
      <c r="F203" s="3" t="s">
        <v>87</v>
      </c>
      <c r="G203" s="3" t="s">
        <v>59</v>
      </c>
      <c r="H203" s="3" t="s">
        <v>58</v>
      </c>
      <c r="I203" s="3" t="s">
        <v>58</v>
      </c>
      <c r="J203" s="3" t="s">
        <v>60</v>
      </c>
      <c r="K203" s="2" t="s">
        <v>2682</v>
      </c>
      <c r="L203" s="2" t="s">
        <v>2683</v>
      </c>
      <c r="M203" s="3" t="s">
        <v>295</v>
      </c>
      <c r="O203" s="3" t="s">
        <v>1327</v>
      </c>
      <c r="P203" s="3" t="s">
        <v>1328</v>
      </c>
      <c r="Q203" s="2" t="s">
        <v>2684</v>
      </c>
      <c r="R203" s="3" t="s">
        <v>855</v>
      </c>
      <c r="S203" s="4">
        <v>1</v>
      </c>
      <c r="T203" s="4">
        <v>9</v>
      </c>
      <c r="U203" s="5" t="s">
        <v>2685</v>
      </c>
      <c r="V203" s="5" t="s">
        <v>2685</v>
      </c>
      <c r="W203" s="5" t="s">
        <v>2685</v>
      </c>
      <c r="X203" s="5" t="s">
        <v>2685</v>
      </c>
      <c r="Y203" s="4">
        <v>345</v>
      </c>
      <c r="Z203" s="4">
        <v>260</v>
      </c>
      <c r="AA203" s="4">
        <v>273</v>
      </c>
      <c r="AB203" s="4">
        <v>3</v>
      </c>
      <c r="AC203" s="4">
        <v>3</v>
      </c>
      <c r="AD203" s="4">
        <v>14</v>
      </c>
      <c r="AE203" s="4">
        <v>14</v>
      </c>
      <c r="AF203" s="4">
        <v>2</v>
      </c>
      <c r="AG203" s="4">
        <v>2</v>
      </c>
      <c r="AH203" s="4">
        <v>6</v>
      </c>
      <c r="AI203" s="4">
        <v>6</v>
      </c>
      <c r="AJ203" s="4">
        <v>8</v>
      </c>
      <c r="AK203" s="4">
        <v>8</v>
      </c>
      <c r="AL203" s="4">
        <v>2</v>
      </c>
      <c r="AM203" s="4">
        <v>2</v>
      </c>
      <c r="AN203" s="4">
        <v>0</v>
      </c>
      <c r="AO203" s="4">
        <v>0</v>
      </c>
      <c r="AP203" s="3" t="s">
        <v>58</v>
      </c>
      <c r="AQ203" s="3" t="s">
        <v>87</v>
      </c>
      <c r="AR203" s="6" t="str">
        <f t="shared" si="0"/>
        <v>HathiTrust Record</v>
      </c>
      <c r="AS203" s="6" t="str">
        <f t="shared" si="1"/>
        <v>Catalog Record</v>
      </c>
      <c r="AT203" s="6" t="str">
        <f t="shared" si="2"/>
        <v>WorldCat Record</v>
      </c>
      <c r="AU203" s="3" t="s">
        <v>2686</v>
      </c>
      <c r="AV203" s="3" t="s">
        <v>2687</v>
      </c>
      <c r="AW203" s="3" t="s">
        <v>2688</v>
      </c>
      <c r="AX203" s="3" t="s">
        <v>2688</v>
      </c>
      <c r="AY203" s="3" t="s">
        <v>2689</v>
      </c>
      <c r="AZ203" s="3" t="s">
        <v>73</v>
      </c>
      <c r="BB203" s="3" t="s">
        <v>2690</v>
      </c>
      <c r="BC203" s="3" t="s">
        <v>2704</v>
      </c>
      <c r="BD203" s="3" t="s">
        <v>2705</v>
      </c>
    </row>
    <row r="204" spans="1:56" ht="47.25" customHeight="1" x14ac:dyDescent="0.25">
      <c r="A204" s="7" t="s">
        <v>58</v>
      </c>
      <c r="B204" s="2" t="s">
        <v>2706</v>
      </c>
      <c r="C204" s="2" t="s">
        <v>2707</v>
      </c>
      <c r="D204" s="2" t="s">
        <v>2708</v>
      </c>
      <c r="F204" s="3" t="s">
        <v>58</v>
      </c>
      <c r="G204" s="3" t="s">
        <v>59</v>
      </c>
      <c r="H204" s="3" t="s">
        <v>58</v>
      </c>
      <c r="I204" s="3" t="s">
        <v>58</v>
      </c>
      <c r="J204" s="3" t="s">
        <v>60</v>
      </c>
      <c r="K204" s="2" t="s">
        <v>2709</v>
      </c>
      <c r="L204" s="2" t="s">
        <v>2710</v>
      </c>
      <c r="M204" s="3" t="s">
        <v>956</v>
      </c>
      <c r="N204" s="2" t="s">
        <v>2711</v>
      </c>
      <c r="O204" s="3" t="s">
        <v>1327</v>
      </c>
      <c r="P204" s="3" t="s">
        <v>1328</v>
      </c>
      <c r="R204" s="3" t="s">
        <v>855</v>
      </c>
      <c r="S204" s="4">
        <v>1</v>
      </c>
      <c r="T204" s="4">
        <v>1</v>
      </c>
      <c r="U204" s="5" t="s">
        <v>2671</v>
      </c>
      <c r="V204" s="5" t="s">
        <v>2671</v>
      </c>
      <c r="W204" s="5" t="s">
        <v>1977</v>
      </c>
      <c r="X204" s="5" t="s">
        <v>1977</v>
      </c>
      <c r="Y204" s="4">
        <v>130</v>
      </c>
      <c r="Z204" s="4">
        <v>117</v>
      </c>
      <c r="AA204" s="4">
        <v>311</v>
      </c>
      <c r="AB204" s="4">
        <v>3</v>
      </c>
      <c r="AC204" s="4">
        <v>3</v>
      </c>
      <c r="AD204" s="4">
        <v>7</v>
      </c>
      <c r="AE204" s="4">
        <v>14</v>
      </c>
      <c r="AF204" s="4">
        <v>1</v>
      </c>
      <c r="AG204" s="4">
        <v>1</v>
      </c>
      <c r="AH204" s="4">
        <v>2</v>
      </c>
      <c r="AI204" s="4">
        <v>5</v>
      </c>
      <c r="AJ204" s="4">
        <v>4</v>
      </c>
      <c r="AK204" s="4">
        <v>10</v>
      </c>
      <c r="AL204" s="4">
        <v>2</v>
      </c>
      <c r="AM204" s="4">
        <v>2</v>
      </c>
      <c r="AN204" s="4">
        <v>0</v>
      </c>
      <c r="AO204" s="4">
        <v>0</v>
      </c>
      <c r="AP204" s="3" t="s">
        <v>58</v>
      </c>
      <c r="AQ204" s="3" t="s">
        <v>58</v>
      </c>
      <c r="AS204" s="6" t="str">
        <f>HYPERLINK("https://creighton-primo.hosted.exlibrisgroup.com/primo-explore/search?tab=default_tab&amp;search_scope=EVERYTHING&amp;vid=01CRU&amp;lang=en_US&amp;offset=0&amp;query=any,contains,991003694649702656","Catalog Record")</f>
        <v>Catalog Record</v>
      </c>
      <c r="AT204" s="6" t="str">
        <f>HYPERLINK("http://www.worldcat.org/oclc/7324686","WorldCat Record")</f>
        <v>WorldCat Record</v>
      </c>
      <c r="AU204" s="3" t="s">
        <v>2712</v>
      </c>
      <c r="AV204" s="3" t="s">
        <v>2713</v>
      </c>
      <c r="AW204" s="3" t="s">
        <v>2714</v>
      </c>
      <c r="AX204" s="3" t="s">
        <v>2714</v>
      </c>
      <c r="AY204" s="3" t="s">
        <v>2715</v>
      </c>
      <c r="AZ204" s="3" t="s">
        <v>73</v>
      </c>
      <c r="BC204" s="3" t="s">
        <v>2716</v>
      </c>
      <c r="BD204" s="3" t="s">
        <v>2717</v>
      </c>
    </row>
    <row r="205" spans="1:56" ht="47.25" customHeight="1" x14ac:dyDescent="0.25">
      <c r="A205" s="7" t="s">
        <v>58</v>
      </c>
      <c r="B205" s="2" t="s">
        <v>2718</v>
      </c>
      <c r="C205" s="2" t="s">
        <v>2719</v>
      </c>
      <c r="D205" s="2" t="s">
        <v>2720</v>
      </c>
      <c r="F205" s="3" t="s">
        <v>58</v>
      </c>
      <c r="G205" s="3" t="s">
        <v>59</v>
      </c>
      <c r="H205" s="3" t="s">
        <v>58</v>
      </c>
      <c r="I205" s="3" t="s">
        <v>58</v>
      </c>
      <c r="J205" s="3" t="s">
        <v>60</v>
      </c>
      <c r="K205" s="2" t="s">
        <v>2721</v>
      </c>
      <c r="L205" s="2" t="s">
        <v>2722</v>
      </c>
      <c r="M205" s="3" t="s">
        <v>62</v>
      </c>
      <c r="O205" s="3" t="s">
        <v>1327</v>
      </c>
      <c r="P205" s="3" t="s">
        <v>148</v>
      </c>
      <c r="R205" s="3" t="s">
        <v>855</v>
      </c>
      <c r="S205" s="4">
        <v>2</v>
      </c>
      <c r="T205" s="4">
        <v>2</v>
      </c>
      <c r="U205" s="5" t="s">
        <v>2723</v>
      </c>
      <c r="V205" s="5" t="s">
        <v>2723</v>
      </c>
      <c r="W205" s="5" t="s">
        <v>1922</v>
      </c>
      <c r="X205" s="5" t="s">
        <v>1922</v>
      </c>
      <c r="Y205" s="4">
        <v>1</v>
      </c>
      <c r="Z205" s="4">
        <v>1</v>
      </c>
      <c r="AA205" s="4">
        <v>1</v>
      </c>
      <c r="AB205" s="4">
        <v>1</v>
      </c>
      <c r="AC205" s="4">
        <v>1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3" t="s">
        <v>58</v>
      </c>
      <c r="AQ205" s="3" t="s">
        <v>58</v>
      </c>
      <c r="AS205" s="6" t="str">
        <f>HYPERLINK("https://creighton-primo.hosted.exlibrisgroup.com/primo-explore/search?tab=default_tab&amp;search_scope=EVERYTHING&amp;vid=01CRU&amp;lang=en_US&amp;offset=0&amp;query=any,contains,991004720279702656","Catalog Record")</f>
        <v>Catalog Record</v>
      </c>
      <c r="AT205" s="6" t="str">
        <f>HYPERLINK("http://www.worldcat.org/oclc/62740335","WorldCat Record")</f>
        <v>WorldCat Record</v>
      </c>
      <c r="AU205" s="3" t="s">
        <v>2724</v>
      </c>
      <c r="AV205" s="3" t="s">
        <v>2725</v>
      </c>
      <c r="AW205" s="3" t="s">
        <v>2726</v>
      </c>
      <c r="AX205" s="3" t="s">
        <v>2726</v>
      </c>
      <c r="AY205" s="3" t="s">
        <v>2727</v>
      </c>
      <c r="AZ205" s="3" t="s">
        <v>73</v>
      </c>
      <c r="BC205" s="3" t="s">
        <v>2728</v>
      </c>
      <c r="BD205" s="3" t="s">
        <v>2729</v>
      </c>
    </row>
    <row r="206" spans="1:56" ht="47.25" customHeight="1" x14ac:dyDescent="0.25">
      <c r="A206" s="7" t="s">
        <v>58</v>
      </c>
      <c r="B206" s="2" t="s">
        <v>2730</v>
      </c>
      <c r="C206" s="2" t="s">
        <v>2731</v>
      </c>
      <c r="D206" s="2" t="s">
        <v>2732</v>
      </c>
      <c r="F206" s="3" t="s">
        <v>58</v>
      </c>
      <c r="G206" s="3" t="s">
        <v>59</v>
      </c>
      <c r="H206" s="3" t="s">
        <v>58</v>
      </c>
      <c r="I206" s="3" t="s">
        <v>58</v>
      </c>
      <c r="J206" s="3" t="s">
        <v>60</v>
      </c>
      <c r="L206" s="2" t="s">
        <v>2733</v>
      </c>
      <c r="M206" s="3" t="s">
        <v>1072</v>
      </c>
      <c r="O206" s="3" t="s">
        <v>63</v>
      </c>
      <c r="P206" s="3" t="s">
        <v>83</v>
      </c>
      <c r="R206" s="3" t="s">
        <v>855</v>
      </c>
      <c r="S206" s="4">
        <v>5</v>
      </c>
      <c r="T206" s="4">
        <v>5</v>
      </c>
      <c r="U206" s="5" t="s">
        <v>2734</v>
      </c>
      <c r="V206" s="5" t="s">
        <v>2734</v>
      </c>
      <c r="W206" s="5" t="s">
        <v>2735</v>
      </c>
      <c r="X206" s="5" t="s">
        <v>2735</v>
      </c>
      <c r="Y206" s="4">
        <v>982</v>
      </c>
      <c r="Z206" s="4">
        <v>901</v>
      </c>
      <c r="AA206" s="4">
        <v>978</v>
      </c>
      <c r="AB206" s="4">
        <v>7</v>
      </c>
      <c r="AC206" s="4">
        <v>7</v>
      </c>
      <c r="AD206" s="4">
        <v>20</v>
      </c>
      <c r="AE206" s="4">
        <v>20</v>
      </c>
      <c r="AF206" s="4">
        <v>7</v>
      </c>
      <c r="AG206" s="4">
        <v>7</v>
      </c>
      <c r="AH206" s="4">
        <v>3</v>
      </c>
      <c r="AI206" s="4">
        <v>3</v>
      </c>
      <c r="AJ206" s="4">
        <v>7</v>
      </c>
      <c r="AK206" s="4">
        <v>7</v>
      </c>
      <c r="AL206" s="4">
        <v>5</v>
      </c>
      <c r="AM206" s="4">
        <v>5</v>
      </c>
      <c r="AN206" s="4">
        <v>0</v>
      </c>
      <c r="AO206" s="4">
        <v>0</v>
      </c>
      <c r="AP206" s="3" t="s">
        <v>58</v>
      </c>
      <c r="AQ206" s="3" t="s">
        <v>87</v>
      </c>
      <c r="AR206" s="6" t="str">
        <f>HYPERLINK("http://catalog.hathitrust.org/Record/001770735","HathiTrust Record")</f>
        <v>HathiTrust Record</v>
      </c>
      <c r="AS206" s="6" t="str">
        <f>HYPERLINK("https://creighton-primo.hosted.exlibrisgroup.com/primo-explore/search?tab=default_tab&amp;search_scope=EVERYTHING&amp;vid=01CRU&amp;lang=en_US&amp;offset=0&amp;query=any,contains,991003662749702656","Catalog Record")</f>
        <v>Catalog Record</v>
      </c>
      <c r="AT206" s="6" t="str">
        <f>HYPERLINK("http://www.worldcat.org/oclc/621861","WorldCat Record")</f>
        <v>WorldCat Record</v>
      </c>
      <c r="AU206" s="3" t="s">
        <v>2736</v>
      </c>
      <c r="AV206" s="3" t="s">
        <v>2737</v>
      </c>
      <c r="AW206" s="3" t="s">
        <v>2738</v>
      </c>
      <c r="AX206" s="3" t="s">
        <v>2738</v>
      </c>
      <c r="AY206" s="3" t="s">
        <v>2739</v>
      </c>
      <c r="AZ206" s="3" t="s">
        <v>73</v>
      </c>
      <c r="BB206" s="3" t="s">
        <v>2740</v>
      </c>
      <c r="BC206" s="3" t="s">
        <v>2741</v>
      </c>
      <c r="BD206" s="3" t="s">
        <v>2742</v>
      </c>
    </row>
    <row r="207" spans="1:56" ht="47.25" customHeight="1" x14ac:dyDescent="0.25">
      <c r="A207" s="7" t="s">
        <v>58</v>
      </c>
      <c r="B207" s="2" t="s">
        <v>2743</v>
      </c>
      <c r="C207" s="2" t="s">
        <v>2744</v>
      </c>
      <c r="D207" s="2" t="s">
        <v>2745</v>
      </c>
      <c r="F207" s="3" t="s">
        <v>58</v>
      </c>
      <c r="G207" s="3" t="s">
        <v>59</v>
      </c>
      <c r="H207" s="3" t="s">
        <v>58</v>
      </c>
      <c r="I207" s="3" t="s">
        <v>58</v>
      </c>
      <c r="J207" s="3" t="s">
        <v>60</v>
      </c>
      <c r="K207" s="2" t="s">
        <v>2746</v>
      </c>
      <c r="L207" s="2" t="s">
        <v>2747</v>
      </c>
      <c r="M207" s="3" t="s">
        <v>2748</v>
      </c>
      <c r="N207" s="2" t="s">
        <v>695</v>
      </c>
      <c r="O207" s="3" t="s">
        <v>63</v>
      </c>
      <c r="P207" s="3" t="s">
        <v>83</v>
      </c>
      <c r="R207" s="3" t="s">
        <v>855</v>
      </c>
      <c r="S207" s="4">
        <v>8</v>
      </c>
      <c r="T207" s="4">
        <v>8</v>
      </c>
      <c r="U207" s="5" t="s">
        <v>2749</v>
      </c>
      <c r="V207" s="5" t="s">
        <v>2749</v>
      </c>
      <c r="W207" s="5" t="s">
        <v>2750</v>
      </c>
      <c r="X207" s="5" t="s">
        <v>2750</v>
      </c>
      <c r="Y207" s="4">
        <v>207</v>
      </c>
      <c r="Z207" s="4">
        <v>176</v>
      </c>
      <c r="AA207" s="4">
        <v>373</v>
      </c>
      <c r="AB207" s="4">
        <v>2</v>
      </c>
      <c r="AC207" s="4">
        <v>4</v>
      </c>
      <c r="AD207" s="4">
        <v>1</v>
      </c>
      <c r="AE207" s="4">
        <v>3</v>
      </c>
      <c r="AF207" s="4">
        <v>0</v>
      </c>
      <c r="AG207" s="4">
        <v>1</v>
      </c>
      <c r="AH207" s="4">
        <v>0</v>
      </c>
      <c r="AI207" s="4">
        <v>0</v>
      </c>
      <c r="AJ207" s="4">
        <v>0</v>
      </c>
      <c r="AK207" s="4">
        <v>1</v>
      </c>
      <c r="AL207" s="4">
        <v>1</v>
      </c>
      <c r="AM207" s="4">
        <v>2</v>
      </c>
      <c r="AN207" s="4">
        <v>0</v>
      </c>
      <c r="AO207" s="4">
        <v>0</v>
      </c>
      <c r="AP207" s="3" t="s">
        <v>58</v>
      </c>
      <c r="AQ207" s="3" t="s">
        <v>58</v>
      </c>
      <c r="AS207" s="6" t="str">
        <f>HYPERLINK("https://creighton-primo.hosted.exlibrisgroup.com/primo-explore/search?tab=default_tab&amp;search_scope=EVERYTHING&amp;vid=01CRU&amp;lang=en_US&amp;offset=0&amp;query=any,contains,991004176239702656","Catalog Record")</f>
        <v>Catalog Record</v>
      </c>
      <c r="AT207" s="6" t="str">
        <f>HYPERLINK("http://www.worldcat.org/oclc/52543878","WorldCat Record")</f>
        <v>WorldCat Record</v>
      </c>
      <c r="AU207" s="3" t="s">
        <v>2751</v>
      </c>
      <c r="AV207" s="3" t="s">
        <v>2752</v>
      </c>
      <c r="AW207" s="3" t="s">
        <v>2753</v>
      </c>
      <c r="AX207" s="3" t="s">
        <v>2753</v>
      </c>
      <c r="AY207" s="3" t="s">
        <v>2754</v>
      </c>
      <c r="AZ207" s="3" t="s">
        <v>73</v>
      </c>
      <c r="BB207" s="3" t="s">
        <v>2755</v>
      </c>
      <c r="BC207" s="3" t="s">
        <v>2756</v>
      </c>
      <c r="BD207" s="3" t="s">
        <v>2757</v>
      </c>
    </row>
    <row r="208" spans="1:56" ht="47.25" customHeight="1" x14ac:dyDescent="0.25">
      <c r="A208" s="7" t="s">
        <v>58</v>
      </c>
      <c r="B208" s="2" t="s">
        <v>2758</v>
      </c>
      <c r="C208" s="2" t="s">
        <v>2759</v>
      </c>
      <c r="D208" s="2" t="s">
        <v>2760</v>
      </c>
      <c r="F208" s="3" t="s">
        <v>58</v>
      </c>
      <c r="G208" s="3" t="s">
        <v>59</v>
      </c>
      <c r="H208" s="3" t="s">
        <v>58</v>
      </c>
      <c r="I208" s="3" t="s">
        <v>58</v>
      </c>
      <c r="J208" s="3" t="s">
        <v>60</v>
      </c>
      <c r="K208" s="2" t="s">
        <v>2761</v>
      </c>
      <c r="L208" s="2" t="s">
        <v>2762</v>
      </c>
      <c r="M208" s="3" t="s">
        <v>2763</v>
      </c>
      <c r="O208" s="3" t="s">
        <v>1327</v>
      </c>
      <c r="P208" s="3" t="s">
        <v>2575</v>
      </c>
      <c r="Q208" s="2" t="s">
        <v>2764</v>
      </c>
      <c r="R208" s="3" t="s">
        <v>855</v>
      </c>
      <c r="S208" s="4">
        <v>3</v>
      </c>
      <c r="T208" s="4">
        <v>3</v>
      </c>
      <c r="U208" s="5" t="s">
        <v>2765</v>
      </c>
      <c r="V208" s="5" t="s">
        <v>2765</v>
      </c>
      <c r="W208" s="5" t="s">
        <v>2765</v>
      </c>
      <c r="X208" s="5" t="s">
        <v>2765</v>
      </c>
      <c r="Y208" s="4">
        <v>13</v>
      </c>
      <c r="Z208" s="4">
        <v>6</v>
      </c>
      <c r="AA208" s="4">
        <v>6</v>
      </c>
      <c r="AB208" s="4">
        <v>1</v>
      </c>
      <c r="AC208" s="4">
        <v>1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3" t="s">
        <v>58</v>
      </c>
      <c r="AQ208" s="3" t="s">
        <v>58</v>
      </c>
      <c r="AS208" s="6" t="str">
        <f>HYPERLINK("https://creighton-primo.hosted.exlibrisgroup.com/primo-explore/search?tab=default_tab&amp;search_scope=EVERYTHING&amp;vid=01CRU&amp;lang=en_US&amp;offset=0&amp;query=any,contains,991003740069702656","Catalog Record")</f>
        <v>Catalog Record</v>
      </c>
      <c r="AT208" s="6" t="str">
        <f>HYPERLINK("http://www.worldcat.org/oclc/8380712","WorldCat Record")</f>
        <v>WorldCat Record</v>
      </c>
      <c r="AU208" s="3" t="s">
        <v>2766</v>
      </c>
      <c r="AV208" s="3" t="s">
        <v>2767</v>
      </c>
      <c r="AW208" s="3" t="s">
        <v>2768</v>
      </c>
      <c r="AX208" s="3" t="s">
        <v>2768</v>
      </c>
      <c r="AY208" s="3" t="s">
        <v>2769</v>
      </c>
      <c r="AZ208" s="3" t="s">
        <v>73</v>
      </c>
      <c r="BC208" s="3" t="s">
        <v>2770</v>
      </c>
      <c r="BD208" s="3" t="s">
        <v>2771</v>
      </c>
    </row>
    <row r="209" spans="1:56" ht="47.25" customHeight="1" x14ac:dyDescent="0.25">
      <c r="A209" s="7" t="s">
        <v>58</v>
      </c>
      <c r="B209" s="2" t="s">
        <v>2772</v>
      </c>
      <c r="C209" s="2" t="s">
        <v>2773</v>
      </c>
      <c r="D209" s="2" t="s">
        <v>2774</v>
      </c>
      <c r="E209" s="3" t="s">
        <v>1377</v>
      </c>
      <c r="F209" s="3" t="s">
        <v>87</v>
      </c>
      <c r="G209" s="3" t="s">
        <v>59</v>
      </c>
      <c r="H209" s="3" t="s">
        <v>58</v>
      </c>
      <c r="I209" s="3" t="s">
        <v>58</v>
      </c>
      <c r="J209" s="3" t="s">
        <v>60</v>
      </c>
      <c r="K209" s="2" t="s">
        <v>2775</v>
      </c>
      <c r="L209" s="2" t="s">
        <v>2776</v>
      </c>
      <c r="M209" s="3" t="s">
        <v>1196</v>
      </c>
      <c r="O209" s="3" t="s">
        <v>1327</v>
      </c>
      <c r="P209" s="3" t="s">
        <v>1328</v>
      </c>
      <c r="R209" s="3" t="s">
        <v>855</v>
      </c>
      <c r="S209" s="4">
        <v>1</v>
      </c>
      <c r="T209" s="4">
        <v>2</v>
      </c>
      <c r="U209" s="5" t="s">
        <v>2777</v>
      </c>
      <c r="V209" s="5" t="s">
        <v>2777</v>
      </c>
      <c r="W209" s="5" t="s">
        <v>2777</v>
      </c>
      <c r="X209" s="5" t="s">
        <v>2777</v>
      </c>
      <c r="Y209" s="4">
        <v>22</v>
      </c>
      <c r="Z209" s="4">
        <v>15</v>
      </c>
      <c r="AA209" s="4">
        <v>73</v>
      </c>
      <c r="AB209" s="4">
        <v>1</v>
      </c>
      <c r="AC209" s="4">
        <v>1</v>
      </c>
      <c r="AD209" s="4">
        <v>1</v>
      </c>
      <c r="AE209" s="4">
        <v>4</v>
      </c>
      <c r="AF209" s="4">
        <v>0</v>
      </c>
      <c r="AG209" s="4">
        <v>0</v>
      </c>
      <c r="AH209" s="4">
        <v>0</v>
      </c>
      <c r="AI209" s="4">
        <v>2</v>
      </c>
      <c r="AJ209" s="4">
        <v>1</v>
      </c>
      <c r="AK209" s="4">
        <v>3</v>
      </c>
      <c r="AL209" s="4">
        <v>0</v>
      </c>
      <c r="AM209" s="4">
        <v>0</v>
      </c>
      <c r="AN209" s="4">
        <v>0</v>
      </c>
      <c r="AO209" s="4">
        <v>0</v>
      </c>
      <c r="AP209" s="3" t="s">
        <v>87</v>
      </c>
      <c r="AQ209" s="3" t="s">
        <v>87</v>
      </c>
      <c r="AR209" s="6" t="str">
        <f>HYPERLINK("http://catalog.hathitrust.org/Record/000443495","HathiTrust Record")</f>
        <v>HathiTrust Record</v>
      </c>
      <c r="AS209" s="6" t="str">
        <f>HYPERLINK("https://creighton-primo.hosted.exlibrisgroup.com/primo-explore/search?tab=default_tab&amp;search_scope=EVERYTHING&amp;vid=01CRU&amp;lang=en_US&amp;offset=0&amp;query=any,contains,991000150869702656","Catalog Record")</f>
        <v>Catalog Record</v>
      </c>
      <c r="AT209" s="6" t="str">
        <f>HYPERLINK("http://www.worldcat.org/oclc/13230493","WorldCat Record")</f>
        <v>WorldCat Record</v>
      </c>
      <c r="AU209" s="3" t="s">
        <v>2778</v>
      </c>
      <c r="AV209" s="3" t="s">
        <v>2779</v>
      </c>
      <c r="AW209" s="3" t="s">
        <v>2780</v>
      </c>
      <c r="AX209" s="3" t="s">
        <v>2780</v>
      </c>
      <c r="AY209" s="3" t="s">
        <v>2781</v>
      </c>
      <c r="AZ209" s="3" t="s">
        <v>73</v>
      </c>
      <c r="BB209" s="3" t="s">
        <v>2782</v>
      </c>
      <c r="BC209" s="3" t="s">
        <v>2783</v>
      </c>
      <c r="BD209" s="3" t="s">
        <v>2784</v>
      </c>
    </row>
    <row r="210" spans="1:56" ht="47.25" customHeight="1" x14ac:dyDescent="0.25">
      <c r="A210" s="7" t="s">
        <v>58</v>
      </c>
      <c r="B210" s="2" t="s">
        <v>2772</v>
      </c>
      <c r="C210" s="2" t="s">
        <v>2773</v>
      </c>
      <c r="D210" s="2" t="s">
        <v>2774</v>
      </c>
      <c r="E210" s="3" t="s">
        <v>1367</v>
      </c>
      <c r="F210" s="3" t="s">
        <v>87</v>
      </c>
      <c r="G210" s="3" t="s">
        <v>59</v>
      </c>
      <c r="H210" s="3" t="s">
        <v>58</v>
      </c>
      <c r="I210" s="3" t="s">
        <v>58</v>
      </c>
      <c r="J210" s="3" t="s">
        <v>60</v>
      </c>
      <c r="K210" s="2" t="s">
        <v>2775</v>
      </c>
      <c r="L210" s="2" t="s">
        <v>2776</v>
      </c>
      <c r="M210" s="3" t="s">
        <v>1196</v>
      </c>
      <c r="O210" s="3" t="s">
        <v>1327</v>
      </c>
      <c r="P210" s="3" t="s">
        <v>1328</v>
      </c>
      <c r="R210" s="3" t="s">
        <v>855</v>
      </c>
      <c r="S210" s="4">
        <v>1</v>
      </c>
      <c r="T210" s="4">
        <v>2</v>
      </c>
      <c r="U210" s="5" t="s">
        <v>2777</v>
      </c>
      <c r="V210" s="5" t="s">
        <v>2777</v>
      </c>
      <c r="W210" s="5" t="s">
        <v>2777</v>
      </c>
      <c r="X210" s="5" t="s">
        <v>2777</v>
      </c>
      <c r="Y210" s="4">
        <v>22</v>
      </c>
      <c r="Z210" s="4">
        <v>15</v>
      </c>
      <c r="AA210" s="4">
        <v>73</v>
      </c>
      <c r="AB210" s="4">
        <v>1</v>
      </c>
      <c r="AC210" s="4">
        <v>1</v>
      </c>
      <c r="AD210" s="4">
        <v>1</v>
      </c>
      <c r="AE210" s="4">
        <v>4</v>
      </c>
      <c r="AF210" s="4">
        <v>0</v>
      </c>
      <c r="AG210" s="4">
        <v>0</v>
      </c>
      <c r="AH210" s="4">
        <v>0</v>
      </c>
      <c r="AI210" s="4">
        <v>2</v>
      </c>
      <c r="AJ210" s="4">
        <v>1</v>
      </c>
      <c r="AK210" s="4">
        <v>3</v>
      </c>
      <c r="AL210" s="4">
        <v>0</v>
      </c>
      <c r="AM210" s="4">
        <v>0</v>
      </c>
      <c r="AN210" s="4">
        <v>0</v>
      </c>
      <c r="AO210" s="4">
        <v>0</v>
      </c>
      <c r="AP210" s="3" t="s">
        <v>87</v>
      </c>
      <c r="AQ210" s="3" t="s">
        <v>87</v>
      </c>
      <c r="AR210" s="6" t="str">
        <f>HYPERLINK("http://catalog.hathitrust.org/Record/000443495","HathiTrust Record")</f>
        <v>HathiTrust Record</v>
      </c>
      <c r="AS210" s="6" t="str">
        <f>HYPERLINK("https://creighton-primo.hosted.exlibrisgroup.com/primo-explore/search?tab=default_tab&amp;search_scope=EVERYTHING&amp;vid=01CRU&amp;lang=en_US&amp;offset=0&amp;query=any,contains,991000150869702656","Catalog Record")</f>
        <v>Catalog Record</v>
      </c>
      <c r="AT210" s="6" t="str">
        <f>HYPERLINK("http://www.worldcat.org/oclc/13230493","WorldCat Record")</f>
        <v>WorldCat Record</v>
      </c>
      <c r="AU210" s="3" t="s">
        <v>2778</v>
      </c>
      <c r="AV210" s="3" t="s">
        <v>2779</v>
      </c>
      <c r="AW210" s="3" t="s">
        <v>2780</v>
      </c>
      <c r="AX210" s="3" t="s">
        <v>2780</v>
      </c>
      <c r="AY210" s="3" t="s">
        <v>2781</v>
      </c>
      <c r="AZ210" s="3" t="s">
        <v>73</v>
      </c>
      <c r="BB210" s="3" t="s">
        <v>2782</v>
      </c>
      <c r="BC210" s="3" t="s">
        <v>2785</v>
      </c>
      <c r="BD210" s="3" t="s">
        <v>2786</v>
      </c>
    </row>
    <row r="211" spans="1:56" ht="47.25" customHeight="1" x14ac:dyDescent="0.25">
      <c r="A211" s="7" t="s">
        <v>58</v>
      </c>
      <c r="B211" s="2" t="s">
        <v>2787</v>
      </c>
      <c r="C211" s="2" t="s">
        <v>2788</v>
      </c>
      <c r="D211" s="2" t="s">
        <v>2789</v>
      </c>
      <c r="F211" s="3" t="s">
        <v>58</v>
      </c>
      <c r="G211" s="3" t="s">
        <v>59</v>
      </c>
      <c r="H211" s="3" t="s">
        <v>58</v>
      </c>
      <c r="I211" s="3" t="s">
        <v>58</v>
      </c>
      <c r="J211" s="3" t="s">
        <v>60</v>
      </c>
      <c r="K211" s="2" t="s">
        <v>2790</v>
      </c>
      <c r="L211" s="2" t="s">
        <v>2791</v>
      </c>
      <c r="M211" s="3" t="s">
        <v>2201</v>
      </c>
      <c r="N211" s="2" t="s">
        <v>2792</v>
      </c>
      <c r="O211" s="3" t="s">
        <v>1327</v>
      </c>
      <c r="P211" s="3" t="s">
        <v>2444</v>
      </c>
      <c r="Q211" s="2" t="s">
        <v>2793</v>
      </c>
      <c r="R211" s="3" t="s">
        <v>855</v>
      </c>
      <c r="S211" s="4">
        <v>3</v>
      </c>
      <c r="T211" s="4">
        <v>3</v>
      </c>
      <c r="U211" s="5" t="s">
        <v>2794</v>
      </c>
      <c r="V211" s="5" t="s">
        <v>2794</v>
      </c>
      <c r="W211" s="5" t="s">
        <v>1492</v>
      </c>
      <c r="X211" s="5" t="s">
        <v>1492</v>
      </c>
      <c r="Y211" s="4">
        <v>185</v>
      </c>
      <c r="Z211" s="4">
        <v>143</v>
      </c>
      <c r="AA211" s="4">
        <v>215</v>
      </c>
      <c r="AB211" s="4">
        <v>1</v>
      </c>
      <c r="AC211" s="4">
        <v>2</v>
      </c>
      <c r="AD211" s="4">
        <v>3</v>
      </c>
      <c r="AE211" s="4">
        <v>8</v>
      </c>
      <c r="AF211" s="4">
        <v>0</v>
      </c>
      <c r="AG211" s="4">
        <v>2</v>
      </c>
      <c r="AH211" s="4">
        <v>3</v>
      </c>
      <c r="AI211" s="4">
        <v>3</v>
      </c>
      <c r="AJ211" s="4">
        <v>3</v>
      </c>
      <c r="AK211" s="4">
        <v>6</v>
      </c>
      <c r="AL211" s="4">
        <v>0</v>
      </c>
      <c r="AM211" s="4">
        <v>1</v>
      </c>
      <c r="AN211" s="4">
        <v>0</v>
      </c>
      <c r="AO211" s="4">
        <v>0</v>
      </c>
      <c r="AP211" s="3" t="s">
        <v>58</v>
      </c>
      <c r="AQ211" s="3" t="s">
        <v>87</v>
      </c>
      <c r="AR211" s="6" t="str">
        <f>HYPERLINK("http://catalog.hathitrust.org/Record/006664885","HathiTrust Record")</f>
        <v>HathiTrust Record</v>
      </c>
      <c r="AS211" s="6" t="str">
        <f>HYPERLINK("https://creighton-primo.hosted.exlibrisgroup.com/primo-explore/search?tab=default_tab&amp;search_scope=EVERYTHING&amp;vid=01CRU&amp;lang=en_US&amp;offset=0&amp;query=any,contains,991002276469702656","Catalog Record")</f>
        <v>Catalog Record</v>
      </c>
      <c r="AT211" s="6" t="str">
        <f>HYPERLINK("http://www.worldcat.org/oclc/310353","WorldCat Record")</f>
        <v>WorldCat Record</v>
      </c>
      <c r="AU211" s="3" t="s">
        <v>2795</v>
      </c>
      <c r="AV211" s="3" t="s">
        <v>2796</v>
      </c>
      <c r="AW211" s="3" t="s">
        <v>2797</v>
      </c>
      <c r="AX211" s="3" t="s">
        <v>2797</v>
      </c>
      <c r="AY211" s="3" t="s">
        <v>2798</v>
      </c>
      <c r="AZ211" s="3" t="s">
        <v>73</v>
      </c>
      <c r="BC211" s="3" t="s">
        <v>2799</v>
      </c>
      <c r="BD211" s="3" t="s">
        <v>2800</v>
      </c>
    </row>
    <row r="212" spans="1:56" ht="47.25" customHeight="1" x14ac:dyDescent="0.25">
      <c r="A212" s="7" t="s">
        <v>58</v>
      </c>
      <c r="B212" s="2" t="s">
        <v>2801</v>
      </c>
      <c r="C212" s="2" t="s">
        <v>2802</v>
      </c>
      <c r="D212" s="2" t="s">
        <v>2803</v>
      </c>
      <c r="F212" s="3" t="s">
        <v>58</v>
      </c>
      <c r="G212" s="3" t="s">
        <v>59</v>
      </c>
      <c r="H212" s="3" t="s">
        <v>58</v>
      </c>
      <c r="I212" s="3" t="s">
        <v>58</v>
      </c>
      <c r="J212" s="3" t="s">
        <v>60</v>
      </c>
      <c r="K212" s="2" t="s">
        <v>2804</v>
      </c>
      <c r="L212" s="2" t="s">
        <v>2805</v>
      </c>
      <c r="M212" s="3" t="s">
        <v>895</v>
      </c>
      <c r="O212" s="3" t="s">
        <v>63</v>
      </c>
      <c r="P212" s="3" t="s">
        <v>83</v>
      </c>
      <c r="R212" s="3" t="s">
        <v>855</v>
      </c>
      <c r="S212" s="4">
        <v>2</v>
      </c>
      <c r="T212" s="4">
        <v>2</v>
      </c>
      <c r="U212" s="5" t="s">
        <v>1820</v>
      </c>
      <c r="V212" s="5" t="s">
        <v>1820</v>
      </c>
      <c r="W212" s="5" t="s">
        <v>1820</v>
      </c>
      <c r="X212" s="5" t="s">
        <v>1820</v>
      </c>
      <c r="Y212" s="4">
        <v>237</v>
      </c>
      <c r="Z212" s="4">
        <v>203</v>
      </c>
      <c r="AA212" s="4">
        <v>312</v>
      </c>
      <c r="AB212" s="4">
        <v>1</v>
      </c>
      <c r="AC212" s="4">
        <v>1</v>
      </c>
      <c r="AD212" s="4">
        <v>6</v>
      </c>
      <c r="AE212" s="4">
        <v>10</v>
      </c>
      <c r="AF212" s="4">
        <v>3</v>
      </c>
      <c r="AG212" s="4">
        <v>5</v>
      </c>
      <c r="AH212" s="4">
        <v>1</v>
      </c>
      <c r="AI212" s="4">
        <v>3</v>
      </c>
      <c r="AJ212" s="4">
        <v>2</v>
      </c>
      <c r="AK212" s="4">
        <v>4</v>
      </c>
      <c r="AL212" s="4">
        <v>0</v>
      </c>
      <c r="AM212" s="4">
        <v>0</v>
      </c>
      <c r="AN212" s="4">
        <v>0</v>
      </c>
      <c r="AO212" s="4">
        <v>0</v>
      </c>
      <c r="AP212" s="3" t="s">
        <v>58</v>
      </c>
      <c r="AQ212" s="3" t="s">
        <v>87</v>
      </c>
      <c r="AR212" s="6" t="str">
        <f>HYPERLINK("http://catalog.hathitrust.org/Record/001182817","HathiTrust Record")</f>
        <v>HathiTrust Record</v>
      </c>
      <c r="AS212" s="6" t="str">
        <f>HYPERLINK("https://creighton-primo.hosted.exlibrisgroup.com/primo-explore/search?tab=default_tab&amp;search_scope=EVERYTHING&amp;vid=01CRU&amp;lang=en_US&amp;offset=0&amp;query=any,contains,991004489859702656","Catalog Record")</f>
        <v>Catalog Record</v>
      </c>
      <c r="AT212" s="6" t="str">
        <f>HYPERLINK("http://www.worldcat.org/oclc/874","WorldCat Record")</f>
        <v>WorldCat Record</v>
      </c>
      <c r="AU212" s="3" t="s">
        <v>2806</v>
      </c>
      <c r="AV212" s="3" t="s">
        <v>2807</v>
      </c>
      <c r="AW212" s="3" t="s">
        <v>2808</v>
      </c>
      <c r="AX212" s="3" t="s">
        <v>2808</v>
      </c>
      <c r="AY212" s="3" t="s">
        <v>2809</v>
      </c>
      <c r="AZ212" s="3" t="s">
        <v>73</v>
      </c>
      <c r="BB212" s="3" t="s">
        <v>2810</v>
      </c>
      <c r="BC212" s="3" t="s">
        <v>2811</v>
      </c>
      <c r="BD212" s="3" t="s">
        <v>2812</v>
      </c>
    </row>
    <row r="213" spans="1:56" ht="47.25" customHeight="1" x14ac:dyDescent="0.25">
      <c r="A213" s="7" t="s">
        <v>58</v>
      </c>
      <c r="B213" s="2" t="s">
        <v>2813</v>
      </c>
      <c r="C213" s="2" t="s">
        <v>2814</v>
      </c>
      <c r="D213" s="2" t="s">
        <v>2815</v>
      </c>
      <c r="F213" s="3" t="s">
        <v>58</v>
      </c>
      <c r="G213" s="3" t="s">
        <v>59</v>
      </c>
      <c r="H213" s="3" t="s">
        <v>58</v>
      </c>
      <c r="I213" s="3" t="s">
        <v>58</v>
      </c>
      <c r="J213" s="3" t="s">
        <v>60</v>
      </c>
      <c r="K213" s="2" t="s">
        <v>2816</v>
      </c>
      <c r="L213" s="2" t="s">
        <v>2817</v>
      </c>
      <c r="M213" s="3" t="s">
        <v>1670</v>
      </c>
      <c r="O213" s="3" t="s">
        <v>1327</v>
      </c>
      <c r="P213" s="3" t="s">
        <v>1833</v>
      </c>
      <c r="Q213" s="2" t="s">
        <v>2818</v>
      </c>
      <c r="R213" s="3" t="s">
        <v>855</v>
      </c>
      <c r="S213" s="4">
        <v>3</v>
      </c>
      <c r="T213" s="4">
        <v>3</v>
      </c>
      <c r="U213" s="5" t="s">
        <v>1357</v>
      </c>
      <c r="V213" s="5" t="s">
        <v>1357</v>
      </c>
      <c r="W213" s="5" t="s">
        <v>1357</v>
      </c>
      <c r="X213" s="5" t="s">
        <v>1357</v>
      </c>
      <c r="Y213" s="4">
        <v>30</v>
      </c>
      <c r="Z213" s="4">
        <v>25</v>
      </c>
      <c r="AA213" s="4">
        <v>27</v>
      </c>
      <c r="AB213" s="4">
        <v>1</v>
      </c>
      <c r="AC213" s="4">
        <v>1</v>
      </c>
      <c r="AD213" s="4">
        <v>1</v>
      </c>
      <c r="AE213" s="4">
        <v>1</v>
      </c>
      <c r="AF213" s="4">
        <v>0</v>
      </c>
      <c r="AG213" s="4">
        <v>0</v>
      </c>
      <c r="AH213" s="4">
        <v>1</v>
      </c>
      <c r="AI213" s="4">
        <v>1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3" t="s">
        <v>58</v>
      </c>
      <c r="AQ213" s="3" t="s">
        <v>87</v>
      </c>
      <c r="AR213" s="6" t="str">
        <f>HYPERLINK("http://catalog.hathitrust.org/Record/101005513","HathiTrust Record")</f>
        <v>HathiTrust Record</v>
      </c>
      <c r="AS213" s="6" t="str">
        <f>HYPERLINK("https://creighton-primo.hosted.exlibrisgroup.com/primo-explore/search?tab=default_tab&amp;search_scope=EVERYTHING&amp;vid=01CRU&amp;lang=en_US&amp;offset=0&amp;query=any,contains,991004340619702656","Catalog Record")</f>
        <v>Catalog Record</v>
      </c>
      <c r="AT213" s="6" t="str">
        <f>HYPERLINK("http://www.worldcat.org/oclc/12908857","WorldCat Record")</f>
        <v>WorldCat Record</v>
      </c>
      <c r="AU213" s="3" t="s">
        <v>2819</v>
      </c>
      <c r="AV213" s="3" t="s">
        <v>2820</v>
      </c>
      <c r="AW213" s="3" t="s">
        <v>2821</v>
      </c>
      <c r="AX213" s="3" t="s">
        <v>2821</v>
      </c>
      <c r="AY213" s="3" t="s">
        <v>2822</v>
      </c>
      <c r="AZ213" s="3" t="s">
        <v>73</v>
      </c>
      <c r="BC213" s="3" t="s">
        <v>2823</v>
      </c>
      <c r="BD213" s="3" t="s">
        <v>2824</v>
      </c>
    </row>
    <row r="214" spans="1:56" ht="47.25" customHeight="1" x14ac:dyDescent="0.25">
      <c r="A214" s="7" t="s">
        <v>58</v>
      </c>
      <c r="B214" s="2" t="s">
        <v>2825</v>
      </c>
      <c r="C214" s="2" t="s">
        <v>2826</v>
      </c>
      <c r="D214" s="2" t="s">
        <v>2827</v>
      </c>
      <c r="F214" s="3" t="s">
        <v>58</v>
      </c>
      <c r="G214" s="3" t="s">
        <v>59</v>
      </c>
      <c r="H214" s="3" t="s">
        <v>58</v>
      </c>
      <c r="I214" s="3" t="s">
        <v>58</v>
      </c>
      <c r="J214" s="3" t="s">
        <v>60</v>
      </c>
      <c r="L214" s="2" t="s">
        <v>2828</v>
      </c>
      <c r="M214" s="3" t="s">
        <v>1196</v>
      </c>
      <c r="O214" s="3" t="s">
        <v>1327</v>
      </c>
      <c r="P214" s="3" t="s">
        <v>1328</v>
      </c>
      <c r="R214" s="3" t="s">
        <v>855</v>
      </c>
      <c r="S214" s="4">
        <v>1</v>
      </c>
      <c r="T214" s="4">
        <v>1</v>
      </c>
      <c r="U214" s="5" t="s">
        <v>2471</v>
      </c>
      <c r="V214" s="5" t="s">
        <v>2471</v>
      </c>
      <c r="W214" s="5" t="s">
        <v>2471</v>
      </c>
      <c r="X214" s="5" t="s">
        <v>2471</v>
      </c>
      <c r="Y214" s="4">
        <v>159</v>
      </c>
      <c r="Z214" s="4">
        <v>113</v>
      </c>
      <c r="AA214" s="4">
        <v>142</v>
      </c>
      <c r="AB214" s="4">
        <v>1</v>
      </c>
      <c r="AC214" s="4">
        <v>2</v>
      </c>
      <c r="AD214" s="4">
        <v>2</v>
      </c>
      <c r="AE214" s="4">
        <v>3</v>
      </c>
      <c r="AF214" s="4">
        <v>1</v>
      </c>
      <c r="AG214" s="4">
        <v>1</v>
      </c>
      <c r="AH214" s="4">
        <v>0</v>
      </c>
      <c r="AI214" s="4">
        <v>0</v>
      </c>
      <c r="AJ214" s="4">
        <v>1</v>
      </c>
      <c r="AK214" s="4">
        <v>1</v>
      </c>
      <c r="AL214" s="4">
        <v>0</v>
      </c>
      <c r="AM214" s="4">
        <v>1</v>
      </c>
      <c r="AN214" s="4">
        <v>0</v>
      </c>
      <c r="AO214" s="4">
        <v>0</v>
      </c>
      <c r="AP214" s="3" t="s">
        <v>58</v>
      </c>
      <c r="AQ214" s="3" t="s">
        <v>87</v>
      </c>
      <c r="AR214" s="6" t="str">
        <f>HYPERLINK("http://catalog.hathitrust.org/Record/000196917","HathiTrust Record")</f>
        <v>HathiTrust Record</v>
      </c>
      <c r="AS214" s="6" t="str">
        <f>HYPERLINK("https://creighton-primo.hosted.exlibrisgroup.com/primo-explore/search?tab=default_tab&amp;search_scope=EVERYTHING&amp;vid=01CRU&amp;lang=en_US&amp;offset=0&amp;query=any,contains,991003693549702656","Catalog Record")</f>
        <v>Catalog Record</v>
      </c>
      <c r="AT214" s="6" t="str">
        <f>HYPERLINK("http://www.worldcat.org/oclc/9386359","WorldCat Record")</f>
        <v>WorldCat Record</v>
      </c>
      <c r="AU214" s="3" t="s">
        <v>2829</v>
      </c>
      <c r="AV214" s="3" t="s">
        <v>2830</v>
      </c>
      <c r="AW214" s="3" t="s">
        <v>2831</v>
      </c>
      <c r="AX214" s="3" t="s">
        <v>2831</v>
      </c>
      <c r="AY214" s="3" t="s">
        <v>2832</v>
      </c>
      <c r="AZ214" s="3" t="s">
        <v>73</v>
      </c>
      <c r="BB214" s="3" t="s">
        <v>2833</v>
      </c>
      <c r="BC214" s="3" t="s">
        <v>2834</v>
      </c>
      <c r="BD214" s="3" t="s">
        <v>2835</v>
      </c>
    </row>
    <row r="215" spans="1:56" ht="47.25" customHeight="1" x14ac:dyDescent="0.25">
      <c r="A215" s="7" t="s">
        <v>58</v>
      </c>
      <c r="B215" s="2" t="s">
        <v>2836</v>
      </c>
      <c r="C215" s="2" t="s">
        <v>2837</v>
      </c>
      <c r="D215" s="2" t="s">
        <v>2838</v>
      </c>
      <c r="F215" s="3" t="s">
        <v>58</v>
      </c>
      <c r="G215" s="3" t="s">
        <v>59</v>
      </c>
      <c r="H215" s="3" t="s">
        <v>58</v>
      </c>
      <c r="I215" s="3" t="s">
        <v>58</v>
      </c>
      <c r="J215" s="3" t="s">
        <v>60</v>
      </c>
      <c r="K215" s="2" t="s">
        <v>2839</v>
      </c>
      <c r="L215" s="2" t="s">
        <v>2840</v>
      </c>
      <c r="M215" s="3" t="s">
        <v>131</v>
      </c>
      <c r="O215" s="3" t="s">
        <v>63</v>
      </c>
      <c r="P215" s="3" t="s">
        <v>2841</v>
      </c>
      <c r="R215" s="3" t="s">
        <v>855</v>
      </c>
      <c r="S215" s="4">
        <v>3</v>
      </c>
      <c r="T215" s="4">
        <v>3</v>
      </c>
      <c r="U215" s="5" t="s">
        <v>2842</v>
      </c>
      <c r="V215" s="5" t="s">
        <v>2842</v>
      </c>
      <c r="W215" s="5" t="s">
        <v>1892</v>
      </c>
      <c r="X215" s="5" t="s">
        <v>1892</v>
      </c>
      <c r="Y215" s="4">
        <v>330</v>
      </c>
      <c r="Z215" s="4">
        <v>283</v>
      </c>
      <c r="AA215" s="4">
        <v>291</v>
      </c>
      <c r="AB215" s="4">
        <v>4</v>
      </c>
      <c r="AC215" s="4">
        <v>4</v>
      </c>
      <c r="AD215" s="4">
        <v>12</v>
      </c>
      <c r="AE215" s="4">
        <v>12</v>
      </c>
      <c r="AF215" s="4">
        <v>2</v>
      </c>
      <c r="AG215" s="4">
        <v>2</v>
      </c>
      <c r="AH215" s="4">
        <v>2</v>
      </c>
      <c r="AI215" s="4">
        <v>2</v>
      </c>
      <c r="AJ215" s="4">
        <v>7</v>
      </c>
      <c r="AK215" s="4">
        <v>7</v>
      </c>
      <c r="AL215" s="4">
        <v>3</v>
      </c>
      <c r="AM215" s="4">
        <v>3</v>
      </c>
      <c r="AN215" s="4">
        <v>0</v>
      </c>
      <c r="AO215" s="4">
        <v>0</v>
      </c>
      <c r="AP215" s="3" t="s">
        <v>58</v>
      </c>
      <c r="AQ215" s="3" t="s">
        <v>58</v>
      </c>
      <c r="AS215" s="6" t="str">
        <f>HYPERLINK("https://creighton-primo.hosted.exlibrisgroup.com/primo-explore/search?tab=default_tab&amp;search_scope=EVERYTHING&amp;vid=01CRU&amp;lang=en_US&amp;offset=0&amp;query=any,contains,991003951109702656","Catalog Record")</f>
        <v>Catalog Record</v>
      </c>
      <c r="AT215" s="6" t="str">
        <f>HYPERLINK("http://www.worldcat.org/oclc/1923912","WorldCat Record")</f>
        <v>WorldCat Record</v>
      </c>
      <c r="AU215" s="3" t="s">
        <v>2843</v>
      </c>
      <c r="AV215" s="3" t="s">
        <v>2844</v>
      </c>
      <c r="AW215" s="3" t="s">
        <v>2845</v>
      </c>
      <c r="AX215" s="3" t="s">
        <v>2845</v>
      </c>
      <c r="AY215" s="3" t="s">
        <v>2846</v>
      </c>
      <c r="AZ215" s="3" t="s">
        <v>73</v>
      </c>
      <c r="BB215" s="3" t="s">
        <v>2847</v>
      </c>
      <c r="BC215" s="3" t="s">
        <v>2848</v>
      </c>
      <c r="BD215" s="3" t="s">
        <v>2849</v>
      </c>
    </row>
    <row r="216" spans="1:56" ht="47.25" customHeight="1" x14ac:dyDescent="0.25">
      <c r="A216" s="7" t="s">
        <v>58</v>
      </c>
      <c r="B216" s="2" t="s">
        <v>2850</v>
      </c>
      <c r="C216" s="2" t="s">
        <v>2851</v>
      </c>
      <c r="D216" s="2" t="s">
        <v>2852</v>
      </c>
      <c r="F216" s="3" t="s">
        <v>58</v>
      </c>
      <c r="G216" s="3" t="s">
        <v>59</v>
      </c>
      <c r="H216" s="3" t="s">
        <v>58</v>
      </c>
      <c r="I216" s="3" t="s">
        <v>58</v>
      </c>
      <c r="J216" s="3" t="s">
        <v>60</v>
      </c>
      <c r="K216" s="2" t="s">
        <v>2853</v>
      </c>
      <c r="L216" s="2" t="s">
        <v>2854</v>
      </c>
      <c r="M216" s="3" t="s">
        <v>425</v>
      </c>
      <c r="N216" s="2" t="s">
        <v>695</v>
      </c>
      <c r="O216" s="3" t="s">
        <v>63</v>
      </c>
      <c r="P216" s="3" t="s">
        <v>651</v>
      </c>
      <c r="R216" s="3" t="s">
        <v>855</v>
      </c>
      <c r="S216" s="4">
        <v>5</v>
      </c>
      <c r="T216" s="4">
        <v>5</v>
      </c>
      <c r="U216" s="5" t="s">
        <v>2855</v>
      </c>
      <c r="V216" s="5" t="s">
        <v>2855</v>
      </c>
      <c r="W216" s="5" t="s">
        <v>1506</v>
      </c>
      <c r="X216" s="5" t="s">
        <v>1506</v>
      </c>
      <c r="Y216" s="4">
        <v>265</v>
      </c>
      <c r="Z216" s="4">
        <v>260</v>
      </c>
      <c r="AA216" s="4">
        <v>359</v>
      </c>
      <c r="AB216" s="4">
        <v>3</v>
      </c>
      <c r="AC216" s="4">
        <v>4</v>
      </c>
      <c r="AD216" s="4">
        <v>7</v>
      </c>
      <c r="AE216" s="4">
        <v>10</v>
      </c>
      <c r="AF216" s="4">
        <v>1</v>
      </c>
      <c r="AG216" s="4">
        <v>2</v>
      </c>
      <c r="AH216" s="4">
        <v>2</v>
      </c>
      <c r="AI216" s="4">
        <v>3</v>
      </c>
      <c r="AJ216" s="4">
        <v>4</v>
      </c>
      <c r="AK216" s="4">
        <v>5</v>
      </c>
      <c r="AL216" s="4">
        <v>1</v>
      </c>
      <c r="AM216" s="4">
        <v>2</v>
      </c>
      <c r="AN216" s="4">
        <v>0</v>
      </c>
      <c r="AO216" s="4">
        <v>0</v>
      </c>
      <c r="AP216" s="3" t="s">
        <v>58</v>
      </c>
      <c r="AQ216" s="3" t="s">
        <v>87</v>
      </c>
      <c r="AR216" s="6" t="str">
        <f>HYPERLINK("http://catalog.hathitrust.org/Record/004202633","HathiTrust Record")</f>
        <v>HathiTrust Record</v>
      </c>
      <c r="AS216" s="6" t="str">
        <f>HYPERLINK("https://creighton-primo.hosted.exlibrisgroup.com/primo-explore/search?tab=default_tab&amp;search_scope=EVERYTHING&amp;vid=01CRU&amp;lang=en_US&amp;offset=0&amp;query=any,contains,991002608529702656","Catalog Record")</f>
        <v>Catalog Record</v>
      </c>
      <c r="AT216" s="6" t="str">
        <f>HYPERLINK("http://www.worldcat.org/oclc/34166703","WorldCat Record")</f>
        <v>WorldCat Record</v>
      </c>
      <c r="AU216" s="3" t="s">
        <v>2856</v>
      </c>
      <c r="AV216" s="3" t="s">
        <v>2857</v>
      </c>
      <c r="AW216" s="3" t="s">
        <v>2858</v>
      </c>
      <c r="AX216" s="3" t="s">
        <v>2858</v>
      </c>
      <c r="AY216" s="3" t="s">
        <v>2859</v>
      </c>
      <c r="AZ216" s="3" t="s">
        <v>73</v>
      </c>
      <c r="BC216" s="3" t="s">
        <v>2860</v>
      </c>
      <c r="BD216" s="3" t="s">
        <v>2861</v>
      </c>
    </row>
    <row r="217" spans="1:56" ht="47.25" customHeight="1" x14ac:dyDescent="0.25">
      <c r="A217" s="7" t="s">
        <v>58</v>
      </c>
      <c r="B217" s="2" t="s">
        <v>2862</v>
      </c>
      <c r="C217" s="2" t="s">
        <v>2863</v>
      </c>
      <c r="D217" s="2" t="s">
        <v>2864</v>
      </c>
      <c r="F217" s="3" t="s">
        <v>58</v>
      </c>
      <c r="G217" s="3" t="s">
        <v>59</v>
      </c>
      <c r="H217" s="3" t="s">
        <v>58</v>
      </c>
      <c r="I217" s="3" t="s">
        <v>58</v>
      </c>
      <c r="J217" s="3" t="s">
        <v>60</v>
      </c>
      <c r="L217" s="2" t="s">
        <v>2865</v>
      </c>
      <c r="M217" s="3" t="s">
        <v>238</v>
      </c>
      <c r="O217" s="3" t="s">
        <v>1327</v>
      </c>
      <c r="P217" s="3" t="s">
        <v>1833</v>
      </c>
      <c r="R217" s="3" t="s">
        <v>855</v>
      </c>
      <c r="S217" s="4">
        <v>1</v>
      </c>
      <c r="T217" s="4">
        <v>1</v>
      </c>
      <c r="U217" s="5" t="s">
        <v>2866</v>
      </c>
      <c r="V217" s="5" t="s">
        <v>2866</v>
      </c>
      <c r="W217" s="5" t="s">
        <v>2866</v>
      </c>
      <c r="X217" s="5" t="s">
        <v>2866</v>
      </c>
      <c r="Y217" s="4">
        <v>48</v>
      </c>
      <c r="Z217" s="4">
        <v>37</v>
      </c>
      <c r="AA217" s="4">
        <v>40</v>
      </c>
      <c r="AB217" s="4">
        <v>1</v>
      </c>
      <c r="AC217" s="4">
        <v>1</v>
      </c>
      <c r="AD217" s="4">
        <v>1</v>
      </c>
      <c r="AE217" s="4">
        <v>1</v>
      </c>
      <c r="AF217" s="4">
        <v>0</v>
      </c>
      <c r="AG217" s="4">
        <v>0</v>
      </c>
      <c r="AH217" s="4">
        <v>1</v>
      </c>
      <c r="AI217" s="4">
        <v>1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3" t="s">
        <v>58</v>
      </c>
      <c r="AQ217" s="3" t="s">
        <v>87</v>
      </c>
      <c r="AR217" s="6" t="str">
        <f>HYPERLINK("http://catalog.hathitrust.org/Record/101171313","HathiTrust Record")</f>
        <v>HathiTrust Record</v>
      </c>
      <c r="AS217" s="6" t="str">
        <f>HYPERLINK("https://creighton-primo.hosted.exlibrisgroup.com/primo-explore/search?tab=default_tab&amp;search_scope=EVERYTHING&amp;vid=01CRU&amp;lang=en_US&amp;offset=0&amp;query=any,contains,991004331979702656","Catalog Record")</f>
        <v>Catalog Record</v>
      </c>
      <c r="AT217" s="6" t="str">
        <f>HYPERLINK("http://www.worldcat.org/oclc/14181558","WorldCat Record")</f>
        <v>WorldCat Record</v>
      </c>
      <c r="AU217" s="3" t="s">
        <v>2867</v>
      </c>
      <c r="AV217" s="3" t="s">
        <v>2868</v>
      </c>
      <c r="AW217" s="3" t="s">
        <v>2869</v>
      </c>
      <c r="AX217" s="3" t="s">
        <v>2869</v>
      </c>
      <c r="AY217" s="3" t="s">
        <v>2870</v>
      </c>
      <c r="AZ217" s="3" t="s">
        <v>73</v>
      </c>
      <c r="BC217" s="3" t="s">
        <v>2871</v>
      </c>
      <c r="BD217" s="3" t="s">
        <v>2872</v>
      </c>
    </row>
    <row r="218" spans="1:56" ht="47.25" customHeight="1" x14ac:dyDescent="0.25">
      <c r="A218" s="7" t="s">
        <v>58</v>
      </c>
      <c r="B218" s="2" t="s">
        <v>2873</v>
      </c>
      <c r="C218" s="2" t="s">
        <v>2874</v>
      </c>
      <c r="D218" s="2" t="s">
        <v>2875</v>
      </c>
      <c r="F218" s="3" t="s">
        <v>58</v>
      </c>
      <c r="G218" s="3" t="s">
        <v>59</v>
      </c>
      <c r="H218" s="3" t="s">
        <v>58</v>
      </c>
      <c r="I218" s="3" t="s">
        <v>58</v>
      </c>
      <c r="J218" s="3" t="s">
        <v>60</v>
      </c>
      <c r="K218" s="2" t="s">
        <v>2876</v>
      </c>
      <c r="L218" s="2" t="s">
        <v>2877</v>
      </c>
      <c r="M218" s="3" t="s">
        <v>1196</v>
      </c>
      <c r="O218" s="3" t="s">
        <v>1327</v>
      </c>
      <c r="P218" s="3" t="s">
        <v>2878</v>
      </c>
      <c r="Q218" s="2" t="s">
        <v>2879</v>
      </c>
      <c r="R218" s="3" t="s">
        <v>855</v>
      </c>
      <c r="S218" s="4">
        <v>0</v>
      </c>
      <c r="T218" s="4">
        <v>0</v>
      </c>
      <c r="U218" s="5" t="s">
        <v>2880</v>
      </c>
      <c r="V218" s="5" t="s">
        <v>2880</v>
      </c>
      <c r="W218" s="5" t="s">
        <v>2881</v>
      </c>
      <c r="X218" s="5" t="s">
        <v>2881</v>
      </c>
      <c r="Y218" s="4">
        <v>63</v>
      </c>
      <c r="Z218" s="4">
        <v>52</v>
      </c>
      <c r="AA218" s="4">
        <v>55</v>
      </c>
      <c r="AB218" s="4">
        <v>1</v>
      </c>
      <c r="AC218" s="4">
        <v>1</v>
      </c>
      <c r="AD218" s="4">
        <v>4</v>
      </c>
      <c r="AE218" s="4">
        <v>4</v>
      </c>
      <c r="AF218" s="4">
        <v>0</v>
      </c>
      <c r="AG218" s="4">
        <v>0</v>
      </c>
      <c r="AH218" s="4">
        <v>3</v>
      </c>
      <c r="AI218" s="4">
        <v>3</v>
      </c>
      <c r="AJ218" s="4">
        <v>2</v>
      </c>
      <c r="AK218" s="4">
        <v>2</v>
      </c>
      <c r="AL218" s="4">
        <v>0</v>
      </c>
      <c r="AM218" s="4">
        <v>0</v>
      </c>
      <c r="AN218" s="4">
        <v>0</v>
      </c>
      <c r="AO218" s="4">
        <v>0</v>
      </c>
      <c r="AP218" s="3" t="s">
        <v>58</v>
      </c>
      <c r="AQ218" s="3" t="s">
        <v>87</v>
      </c>
      <c r="AR218" s="6" t="str">
        <f>HYPERLINK("http://catalog.hathitrust.org/Record/101005638","HathiTrust Record")</f>
        <v>HathiTrust Record</v>
      </c>
      <c r="AS218" s="6" t="str">
        <f>HYPERLINK("https://creighton-primo.hosted.exlibrisgroup.com/primo-explore/search?tab=default_tab&amp;search_scope=EVERYTHING&amp;vid=01CRU&amp;lang=en_US&amp;offset=0&amp;query=any,contains,991000331159702656","Catalog Record")</f>
        <v>Catalog Record</v>
      </c>
      <c r="AT218" s="6" t="str">
        <f>HYPERLINK("http://www.worldcat.org/oclc/10207076","WorldCat Record")</f>
        <v>WorldCat Record</v>
      </c>
      <c r="AU218" s="3" t="s">
        <v>2882</v>
      </c>
      <c r="AV218" s="3" t="s">
        <v>2883</v>
      </c>
      <c r="AW218" s="3" t="s">
        <v>2884</v>
      </c>
      <c r="AX218" s="3" t="s">
        <v>2884</v>
      </c>
      <c r="AY218" s="3" t="s">
        <v>2885</v>
      </c>
      <c r="AZ218" s="3" t="s">
        <v>73</v>
      </c>
      <c r="BC218" s="3" t="s">
        <v>2886</v>
      </c>
      <c r="BD218" s="3" t="s">
        <v>2887</v>
      </c>
    </row>
    <row r="219" spans="1:56" ht="47.25" customHeight="1" x14ac:dyDescent="0.25">
      <c r="A219" s="7" t="s">
        <v>58</v>
      </c>
      <c r="B219" s="2" t="s">
        <v>2888</v>
      </c>
      <c r="C219" s="2" t="s">
        <v>2889</v>
      </c>
      <c r="D219" s="2" t="s">
        <v>2890</v>
      </c>
      <c r="F219" s="3" t="s">
        <v>58</v>
      </c>
      <c r="G219" s="3" t="s">
        <v>59</v>
      </c>
      <c r="H219" s="3" t="s">
        <v>58</v>
      </c>
      <c r="I219" s="3" t="s">
        <v>58</v>
      </c>
      <c r="J219" s="3" t="s">
        <v>60</v>
      </c>
      <c r="K219" s="2" t="s">
        <v>2891</v>
      </c>
      <c r="L219" s="2" t="s">
        <v>2892</v>
      </c>
      <c r="M219" s="3" t="s">
        <v>1601</v>
      </c>
      <c r="N219" s="2" t="s">
        <v>2014</v>
      </c>
      <c r="O219" s="3" t="s">
        <v>1327</v>
      </c>
      <c r="P219" s="3" t="s">
        <v>1919</v>
      </c>
      <c r="R219" s="3" t="s">
        <v>855</v>
      </c>
      <c r="S219" s="4">
        <v>1</v>
      </c>
      <c r="T219" s="4">
        <v>1</v>
      </c>
      <c r="U219" s="5" t="s">
        <v>2893</v>
      </c>
      <c r="V219" s="5" t="s">
        <v>2893</v>
      </c>
      <c r="W219" s="5" t="s">
        <v>2893</v>
      </c>
      <c r="X219" s="5" t="s">
        <v>2893</v>
      </c>
      <c r="Y219" s="4">
        <v>5</v>
      </c>
      <c r="Z219" s="4">
        <v>5</v>
      </c>
      <c r="AA219" s="4">
        <v>7</v>
      </c>
      <c r="AB219" s="4">
        <v>1</v>
      </c>
      <c r="AC219" s="4">
        <v>1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3" t="s">
        <v>58</v>
      </c>
      <c r="AQ219" s="3" t="s">
        <v>58</v>
      </c>
      <c r="AS219" s="6" t="str">
        <f>HYPERLINK("https://creighton-primo.hosted.exlibrisgroup.com/primo-explore/search?tab=default_tab&amp;search_scope=EVERYTHING&amp;vid=01CRU&amp;lang=en_US&amp;offset=0&amp;query=any,contains,991004009319702656","Catalog Record")</f>
        <v>Catalog Record</v>
      </c>
      <c r="AT219" s="6" t="str">
        <f>HYPERLINK("http://www.worldcat.org/oclc/51326747","WorldCat Record")</f>
        <v>WorldCat Record</v>
      </c>
      <c r="AU219" s="3" t="s">
        <v>2894</v>
      </c>
      <c r="AV219" s="3" t="s">
        <v>2895</v>
      </c>
      <c r="AW219" s="3" t="s">
        <v>2896</v>
      </c>
      <c r="AX219" s="3" t="s">
        <v>2896</v>
      </c>
      <c r="AY219" s="3" t="s">
        <v>2897</v>
      </c>
      <c r="AZ219" s="3" t="s">
        <v>73</v>
      </c>
      <c r="BC219" s="3" t="s">
        <v>2898</v>
      </c>
      <c r="BD219" s="3" t="s">
        <v>2899</v>
      </c>
    </row>
    <row r="220" spans="1:56" ht="47.25" customHeight="1" x14ac:dyDescent="0.25">
      <c r="A220" s="7" t="s">
        <v>58</v>
      </c>
      <c r="B220" s="2" t="s">
        <v>2900</v>
      </c>
      <c r="C220" s="2" t="s">
        <v>2901</v>
      </c>
      <c r="D220" s="2" t="s">
        <v>2902</v>
      </c>
      <c r="F220" s="3" t="s">
        <v>58</v>
      </c>
      <c r="G220" s="3" t="s">
        <v>59</v>
      </c>
      <c r="H220" s="3" t="s">
        <v>58</v>
      </c>
      <c r="I220" s="3" t="s">
        <v>58</v>
      </c>
      <c r="J220" s="3" t="s">
        <v>60</v>
      </c>
      <c r="K220" s="2" t="s">
        <v>2903</v>
      </c>
      <c r="L220" s="2" t="s">
        <v>2904</v>
      </c>
      <c r="M220" s="3" t="s">
        <v>650</v>
      </c>
      <c r="N220" s="2" t="s">
        <v>2589</v>
      </c>
      <c r="O220" s="3" t="s">
        <v>1327</v>
      </c>
      <c r="P220" s="3" t="s">
        <v>1919</v>
      </c>
      <c r="Q220" s="2" t="s">
        <v>2905</v>
      </c>
      <c r="R220" s="3" t="s">
        <v>855</v>
      </c>
      <c r="S220" s="4">
        <v>2</v>
      </c>
      <c r="T220" s="4">
        <v>2</v>
      </c>
      <c r="U220" s="5" t="s">
        <v>2288</v>
      </c>
      <c r="V220" s="5" t="s">
        <v>2288</v>
      </c>
      <c r="W220" s="5" t="s">
        <v>2906</v>
      </c>
      <c r="X220" s="5" t="s">
        <v>2906</v>
      </c>
      <c r="Y220" s="4">
        <v>11</v>
      </c>
      <c r="Z220" s="4">
        <v>9</v>
      </c>
      <c r="AA220" s="4">
        <v>9</v>
      </c>
      <c r="AB220" s="4">
        <v>1</v>
      </c>
      <c r="AC220" s="4">
        <v>1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3" t="s">
        <v>58</v>
      </c>
      <c r="AQ220" s="3" t="s">
        <v>58</v>
      </c>
      <c r="AS220" s="6" t="str">
        <f>HYPERLINK("https://creighton-primo.hosted.exlibrisgroup.com/primo-explore/search?tab=default_tab&amp;search_scope=EVERYTHING&amp;vid=01CRU&amp;lang=en_US&amp;offset=0&amp;query=any,contains,991003336469702656","Catalog Record")</f>
        <v>Catalog Record</v>
      </c>
      <c r="AT220" s="6" t="str">
        <f>HYPERLINK("http://www.worldcat.org/oclc/45006196","WorldCat Record")</f>
        <v>WorldCat Record</v>
      </c>
      <c r="AU220" s="3" t="s">
        <v>2907</v>
      </c>
      <c r="AV220" s="3" t="s">
        <v>2908</v>
      </c>
      <c r="AW220" s="3" t="s">
        <v>2909</v>
      </c>
      <c r="AX220" s="3" t="s">
        <v>2909</v>
      </c>
      <c r="AY220" s="3" t="s">
        <v>2910</v>
      </c>
      <c r="AZ220" s="3" t="s">
        <v>73</v>
      </c>
      <c r="BC220" s="3" t="s">
        <v>2911</v>
      </c>
      <c r="BD220" s="3" t="s">
        <v>2912</v>
      </c>
    </row>
    <row r="221" spans="1:56" ht="47.25" customHeight="1" x14ac:dyDescent="0.25">
      <c r="A221" s="7" t="s">
        <v>58</v>
      </c>
      <c r="B221" s="2" t="s">
        <v>2913</v>
      </c>
      <c r="C221" s="2" t="s">
        <v>2914</v>
      </c>
      <c r="D221" s="2" t="s">
        <v>2915</v>
      </c>
      <c r="F221" s="3" t="s">
        <v>58</v>
      </c>
      <c r="G221" s="3" t="s">
        <v>59</v>
      </c>
      <c r="H221" s="3" t="s">
        <v>58</v>
      </c>
      <c r="I221" s="3" t="s">
        <v>58</v>
      </c>
      <c r="J221" s="3" t="s">
        <v>60</v>
      </c>
      <c r="K221" s="2" t="s">
        <v>2916</v>
      </c>
      <c r="L221" s="2" t="s">
        <v>2917</v>
      </c>
      <c r="M221" s="3" t="s">
        <v>352</v>
      </c>
      <c r="N221" s="2" t="s">
        <v>2014</v>
      </c>
      <c r="O221" s="3" t="s">
        <v>1327</v>
      </c>
      <c r="P221" s="3" t="s">
        <v>1919</v>
      </c>
      <c r="R221" s="3" t="s">
        <v>855</v>
      </c>
      <c r="S221" s="4">
        <v>1</v>
      </c>
      <c r="T221" s="4">
        <v>1</v>
      </c>
      <c r="U221" s="5" t="s">
        <v>2918</v>
      </c>
      <c r="V221" s="5" t="s">
        <v>2918</v>
      </c>
      <c r="W221" s="5" t="s">
        <v>2919</v>
      </c>
      <c r="X221" s="5" t="s">
        <v>2919</v>
      </c>
      <c r="Y221" s="4">
        <v>3</v>
      </c>
      <c r="Z221" s="4">
        <v>3</v>
      </c>
      <c r="AA221" s="4">
        <v>15</v>
      </c>
      <c r="AB221" s="4">
        <v>1</v>
      </c>
      <c r="AC221" s="4">
        <v>1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3" t="s">
        <v>58</v>
      </c>
      <c r="AQ221" s="3" t="s">
        <v>58</v>
      </c>
      <c r="AS221" s="6" t="str">
        <f>HYPERLINK("https://creighton-primo.hosted.exlibrisgroup.com/primo-explore/search?tab=default_tab&amp;search_scope=EVERYTHING&amp;vid=01CRU&amp;lang=en_US&amp;offset=0&amp;query=any,contains,991003571029702656","Catalog Record")</f>
        <v>Catalog Record</v>
      </c>
      <c r="AT221" s="6" t="str">
        <f>HYPERLINK("http://www.worldcat.org/oclc/40223245","WorldCat Record")</f>
        <v>WorldCat Record</v>
      </c>
      <c r="AU221" s="3" t="s">
        <v>2920</v>
      </c>
      <c r="AV221" s="3" t="s">
        <v>2921</v>
      </c>
      <c r="AW221" s="3" t="s">
        <v>2922</v>
      </c>
      <c r="AX221" s="3" t="s">
        <v>2922</v>
      </c>
      <c r="AY221" s="3" t="s">
        <v>2923</v>
      </c>
      <c r="AZ221" s="3" t="s">
        <v>73</v>
      </c>
      <c r="BC221" s="3" t="s">
        <v>2924</v>
      </c>
      <c r="BD221" s="3" t="s">
        <v>2925</v>
      </c>
    </row>
    <row r="222" spans="1:56" ht="47.25" customHeight="1" x14ac:dyDescent="0.25">
      <c r="A222" s="7" t="s">
        <v>58</v>
      </c>
      <c r="B222" s="2" t="s">
        <v>2926</v>
      </c>
      <c r="C222" s="2" t="s">
        <v>2927</v>
      </c>
      <c r="D222" s="2" t="s">
        <v>2928</v>
      </c>
      <c r="F222" s="3" t="s">
        <v>58</v>
      </c>
      <c r="G222" s="3" t="s">
        <v>59</v>
      </c>
      <c r="H222" s="3" t="s">
        <v>58</v>
      </c>
      <c r="I222" s="3" t="s">
        <v>58</v>
      </c>
      <c r="J222" s="3" t="s">
        <v>60</v>
      </c>
      <c r="K222" s="2" t="s">
        <v>2929</v>
      </c>
      <c r="L222" s="2" t="s">
        <v>2930</v>
      </c>
      <c r="M222" s="3" t="s">
        <v>2931</v>
      </c>
      <c r="O222" s="3" t="s">
        <v>1327</v>
      </c>
      <c r="P222" s="3" t="s">
        <v>1919</v>
      </c>
      <c r="R222" s="3" t="s">
        <v>855</v>
      </c>
      <c r="S222" s="4">
        <v>1</v>
      </c>
      <c r="T222" s="4">
        <v>1</v>
      </c>
      <c r="U222" s="5" t="s">
        <v>2932</v>
      </c>
      <c r="V222" s="5" t="s">
        <v>2932</v>
      </c>
      <c r="W222" s="5" t="s">
        <v>2932</v>
      </c>
      <c r="X222" s="5" t="s">
        <v>2932</v>
      </c>
      <c r="Y222" s="4">
        <v>4</v>
      </c>
      <c r="Z222" s="4">
        <v>3</v>
      </c>
      <c r="AA222" s="4">
        <v>19</v>
      </c>
      <c r="AB222" s="4">
        <v>1</v>
      </c>
      <c r="AC222" s="4">
        <v>1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3" t="s">
        <v>58</v>
      </c>
      <c r="AQ222" s="3" t="s">
        <v>58</v>
      </c>
      <c r="AS222" s="6" t="str">
        <f>HYPERLINK("https://creighton-primo.hosted.exlibrisgroup.com/primo-explore/search?tab=default_tab&amp;search_scope=EVERYTHING&amp;vid=01CRU&amp;lang=en_US&amp;offset=0&amp;query=any,contains,991003559699702656","Catalog Record")</f>
        <v>Catalog Record</v>
      </c>
      <c r="AT222" s="6" t="str">
        <f>HYPERLINK("http://www.worldcat.org/oclc/24086495","WorldCat Record")</f>
        <v>WorldCat Record</v>
      </c>
      <c r="AU222" s="3" t="s">
        <v>2933</v>
      </c>
      <c r="AV222" s="3" t="s">
        <v>2934</v>
      </c>
      <c r="AW222" s="3" t="s">
        <v>2935</v>
      </c>
      <c r="AX222" s="3" t="s">
        <v>2935</v>
      </c>
      <c r="AY222" s="3" t="s">
        <v>2936</v>
      </c>
      <c r="AZ222" s="3" t="s">
        <v>73</v>
      </c>
      <c r="BC222" s="3" t="s">
        <v>2937</v>
      </c>
      <c r="BD222" s="3" t="s">
        <v>2938</v>
      </c>
    </row>
    <row r="223" spans="1:56" ht="47.25" customHeight="1" x14ac:dyDescent="0.25">
      <c r="A223" s="7" t="s">
        <v>58</v>
      </c>
      <c r="B223" s="2" t="s">
        <v>2939</v>
      </c>
      <c r="C223" s="2" t="s">
        <v>2940</v>
      </c>
      <c r="D223" s="2" t="s">
        <v>2941</v>
      </c>
      <c r="F223" s="3" t="s">
        <v>58</v>
      </c>
      <c r="G223" s="3" t="s">
        <v>59</v>
      </c>
      <c r="H223" s="3" t="s">
        <v>58</v>
      </c>
      <c r="I223" s="3" t="s">
        <v>58</v>
      </c>
      <c r="J223" s="3" t="s">
        <v>60</v>
      </c>
      <c r="K223" s="2" t="s">
        <v>2942</v>
      </c>
      <c r="L223" s="2" t="s">
        <v>2943</v>
      </c>
      <c r="M223" s="3" t="s">
        <v>1385</v>
      </c>
      <c r="O223" s="3" t="s">
        <v>1327</v>
      </c>
      <c r="P223" s="3" t="s">
        <v>1919</v>
      </c>
      <c r="R223" s="3" t="s">
        <v>855</v>
      </c>
      <c r="S223" s="4">
        <v>1</v>
      </c>
      <c r="T223" s="4">
        <v>1</v>
      </c>
      <c r="U223" s="5" t="s">
        <v>2944</v>
      </c>
      <c r="V223" s="5" t="s">
        <v>2944</v>
      </c>
      <c r="W223" s="5" t="s">
        <v>2944</v>
      </c>
      <c r="X223" s="5" t="s">
        <v>2944</v>
      </c>
      <c r="Y223" s="4">
        <v>9</v>
      </c>
      <c r="Z223" s="4">
        <v>8</v>
      </c>
      <c r="AA223" s="4">
        <v>31</v>
      </c>
      <c r="AB223" s="4">
        <v>1</v>
      </c>
      <c r="AC223" s="4">
        <v>1</v>
      </c>
      <c r="AD223" s="4">
        <v>1</v>
      </c>
      <c r="AE223" s="4">
        <v>1</v>
      </c>
      <c r="AF223" s="4">
        <v>0</v>
      </c>
      <c r="AG223" s="4">
        <v>0</v>
      </c>
      <c r="AH223" s="4">
        <v>1</v>
      </c>
      <c r="AI223" s="4">
        <v>1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3" t="s">
        <v>58</v>
      </c>
      <c r="AQ223" s="3" t="s">
        <v>58</v>
      </c>
      <c r="AS223" s="6" t="str">
        <f>HYPERLINK("https://creighton-primo.hosted.exlibrisgroup.com/primo-explore/search?tab=default_tab&amp;search_scope=EVERYTHING&amp;vid=01CRU&amp;lang=en_US&amp;offset=0&amp;query=any,contains,991004439899702656","Catalog Record")</f>
        <v>Catalog Record</v>
      </c>
      <c r="AT223" s="6" t="str">
        <f>HYPERLINK("http://www.worldcat.org/oclc/5815043","WorldCat Record")</f>
        <v>WorldCat Record</v>
      </c>
      <c r="AU223" s="3" t="s">
        <v>2945</v>
      </c>
      <c r="AV223" s="3" t="s">
        <v>2946</v>
      </c>
      <c r="AW223" s="3" t="s">
        <v>2947</v>
      </c>
      <c r="AX223" s="3" t="s">
        <v>2947</v>
      </c>
      <c r="AY223" s="3" t="s">
        <v>2948</v>
      </c>
      <c r="AZ223" s="3" t="s">
        <v>73</v>
      </c>
      <c r="BC223" s="3" t="s">
        <v>2949</v>
      </c>
      <c r="BD223" s="3" t="s">
        <v>2950</v>
      </c>
    </row>
    <row r="224" spans="1:56" ht="47.25" customHeight="1" x14ac:dyDescent="0.25">
      <c r="A224" s="7" t="s">
        <v>58</v>
      </c>
      <c r="B224" s="2" t="s">
        <v>2951</v>
      </c>
      <c r="C224" s="2" t="s">
        <v>2952</v>
      </c>
      <c r="D224" s="2" t="s">
        <v>2953</v>
      </c>
      <c r="F224" s="3" t="s">
        <v>58</v>
      </c>
      <c r="G224" s="3" t="s">
        <v>59</v>
      </c>
      <c r="H224" s="3" t="s">
        <v>58</v>
      </c>
      <c r="I224" s="3" t="s">
        <v>58</v>
      </c>
      <c r="J224" s="3" t="s">
        <v>60</v>
      </c>
      <c r="K224" s="2" t="s">
        <v>2954</v>
      </c>
      <c r="L224" s="2" t="s">
        <v>2955</v>
      </c>
      <c r="M224" s="3" t="s">
        <v>368</v>
      </c>
      <c r="N224" s="2" t="s">
        <v>2014</v>
      </c>
      <c r="O224" s="3" t="s">
        <v>1327</v>
      </c>
      <c r="P224" s="3" t="s">
        <v>1919</v>
      </c>
      <c r="R224" s="3" t="s">
        <v>855</v>
      </c>
      <c r="S224" s="4">
        <v>1</v>
      </c>
      <c r="T224" s="4">
        <v>1</v>
      </c>
      <c r="U224" s="5" t="s">
        <v>2956</v>
      </c>
      <c r="V224" s="5" t="s">
        <v>2956</v>
      </c>
      <c r="W224" s="5" t="s">
        <v>2956</v>
      </c>
      <c r="X224" s="5" t="s">
        <v>2956</v>
      </c>
      <c r="Y224" s="4">
        <v>49</v>
      </c>
      <c r="Z224" s="4">
        <v>44</v>
      </c>
      <c r="AA224" s="4">
        <v>67</v>
      </c>
      <c r="AB224" s="4">
        <v>1</v>
      </c>
      <c r="AC224" s="4">
        <v>1</v>
      </c>
      <c r="AD224" s="4">
        <v>2</v>
      </c>
      <c r="AE224" s="4">
        <v>3</v>
      </c>
      <c r="AF224" s="4">
        <v>0</v>
      </c>
      <c r="AG224" s="4">
        <v>1</v>
      </c>
      <c r="AH224" s="4">
        <v>2</v>
      </c>
      <c r="AI224" s="4">
        <v>2</v>
      </c>
      <c r="AJ224" s="4">
        <v>1</v>
      </c>
      <c r="AK224" s="4">
        <v>2</v>
      </c>
      <c r="AL224" s="4">
        <v>0</v>
      </c>
      <c r="AM224" s="4">
        <v>0</v>
      </c>
      <c r="AN224" s="4">
        <v>0</v>
      </c>
      <c r="AO224" s="4">
        <v>0</v>
      </c>
      <c r="AP224" s="3" t="s">
        <v>58</v>
      </c>
      <c r="AQ224" s="3" t="s">
        <v>87</v>
      </c>
      <c r="AR224" s="6" t="str">
        <f>HYPERLINK("http://catalog.hathitrust.org/Record/101005718","HathiTrust Record")</f>
        <v>HathiTrust Record</v>
      </c>
      <c r="AS224" s="6" t="str">
        <f>HYPERLINK("https://creighton-primo.hosted.exlibrisgroup.com/primo-explore/search?tab=default_tab&amp;search_scope=EVERYTHING&amp;vid=01CRU&amp;lang=en_US&amp;offset=0&amp;query=any,contains,991003558159702656","Catalog Record")</f>
        <v>Catalog Record</v>
      </c>
      <c r="AT224" s="6" t="str">
        <f>HYPERLINK("http://www.worldcat.org/oclc/45127698","WorldCat Record")</f>
        <v>WorldCat Record</v>
      </c>
      <c r="AU224" s="3" t="s">
        <v>2957</v>
      </c>
      <c r="AV224" s="3" t="s">
        <v>2958</v>
      </c>
      <c r="AW224" s="3" t="s">
        <v>2959</v>
      </c>
      <c r="AX224" s="3" t="s">
        <v>2959</v>
      </c>
      <c r="AY224" s="3" t="s">
        <v>2960</v>
      </c>
      <c r="AZ224" s="3" t="s">
        <v>73</v>
      </c>
      <c r="BC224" s="3" t="s">
        <v>2961</v>
      </c>
      <c r="BD224" s="3" t="s">
        <v>2962</v>
      </c>
    </row>
    <row r="225" spans="1:56" ht="47.25" customHeight="1" x14ac:dyDescent="0.25">
      <c r="A225" s="7" t="s">
        <v>58</v>
      </c>
      <c r="B225" s="2" t="s">
        <v>2963</v>
      </c>
      <c r="C225" s="2" t="s">
        <v>2964</v>
      </c>
      <c r="D225" s="2" t="s">
        <v>2965</v>
      </c>
      <c r="E225" s="3" t="s">
        <v>1367</v>
      </c>
      <c r="F225" s="3" t="s">
        <v>87</v>
      </c>
      <c r="G225" s="3" t="s">
        <v>59</v>
      </c>
      <c r="H225" s="3" t="s">
        <v>58</v>
      </c>
      <c r="I225" s="3" t="s">
        <v>58</v>
      </c>
      <c r="J225" s="3" t="s">
        <v>60</v>
      </c>
      <c r="K225" s="2" t="s">
        <v>2966</v>
      </c>
      <c r="L225" s="2" t="s">
        <v>2967</v>
      </c>
      <c r="M225" s="3" t="s">
        <v>2968</v>
      </c>
      <c r="O225" s="3" t="s">
        <v>63</v>
      </c>
      <c r="P225" s="3" t="s">
        <v>83</v>
      </c>
      <c r="R225" s="3" t="s">
        <v>855</v>
      </c>
      <c r="S225" s="4">
        <v>0</v>
      </c>
      <c r="T225" s="4">
        <v>2</v>
      </c>
      <c r="V225" s="5" t="s">
        <v>2969</v>
      </c>
      <c r="W225" s="5" t="s">
        <v>2970</v>
      </c>
      <c r="X225" s="5" t="s">
        <v>2970</v>
      </c>
      <c r="Y225" s="4">
        <v>20</v>
      </c>
      <c r="Z225" s="4">
        <v>17</v>
      </c>
      <c r="AA225" s="4">
        <v>26</v>
      </c>
      <c r="AB225" s="4">
        <v>1</v>
      </c>
      <c r="AC225" s="4">
        <v>1</v>
      </c>
      <c r="AD225" s="4">
        <v>1</v>
      </c>
      <c r="AE225" s="4">
        <v>1</v>
      </c>
      <c r="AF225" s="4">
        <v>0</v>
      </c>
      <c r="AG225" s="4">
        <v>0</v>
      </c>
      <c r="AH225" s="4">
        <v>0</v>
      </c>
      <c r="AI225" s="4">
        <v>0</v>
      </c>
      <c r="AJ225" s="4">
        <v>1</v>
      </c>
      <c r="AK225" s="4">
        <v>1</v>
      </c>
      <c r="AL225" s="4">
        <v>0</v>
      </c>
      <c r="AM225" s="4">
        <v>0</v>
      </c>
      <c r="AN225" s="4">
        <v>0</v>
      </c>
      <c r="AO225" s="4">
        <v>0</v>
      </c>
      <c r="AP225" s="3" t="s">
        <v>58</v>
      </c>
      <c r="AQ225" s="3" t="s">
        <v>87</v>
      </c>
      <c r="AR225" s="6" t="str">
        <f>HYPERLINK("http://catalog.hathitrust.org/Record/101740830","HathiTrust Record")</f>
        <v>HathiTrust Record</v>
      </c>
      <c r="AS225" s="6" t="str">
        <f>HYPERLINK("https://creighton-primo.hosted.exlibrisgroup.com/primo-explore/search?tab=default_tab&amp;search_scope=EVERYTHING&amp;vid=01CRU&amp;lang=en_US&amp;offset=0&amp;query=any,contains,991000356639702656","Catalog Record")</f>
        <v>Catalog Record</v>
      </c>
      <c r="AT225" s="6" t="str">
        <f>HYPERLINK("http://www.worldcat.org/oclc/10336624","WorldCat Record")</f>
        <v>WorldCat Record</v>
      </c>
      <c r="AU225" s="3" t="s">
        <v>2971</v>
      </c>
      <c r="AV225" s="3" t="s">
        <v>2972</v>
      </c>
      <c r="AW225" s="3" t="s">
        <v>2973</v>
      </c>
      <c r="AX225" s="3" t="s">
        <v>2973</v>
      </c>
      <c r="AY225" s="3" t="s">
        <v>2974</v>
      </c>
      <c r="AZ225" s="3" t="s">
        <v>73</v>
      </c>
      <c r="BC225" s="3" t="s">
        <v>2975</v>
      </c>
      <c r="BD225" s="3" t="s">
        <v>2976</v>
      </c>
    </row>
    <row r="226" spans="1:56" ht="47.25" customHeight="1" x14ac:dyDescent="0.25">
      <c r="A226" s="7" t="s">
        <v>58</v>
      </c>
      <c r="B226" s="2" t="s">
        <v>2963</v>
      </c>
      <c r="C226" s="2" t="s">
        <v>2964</v>
      </c>
      <c r="D226" s="2" t="s">
        <v>2965</v>
      </c>
      <c r="E226" s="3" t="s">
        <v>1377</v>
      </c>
      <c r="F226" s="3" t="s">
        <v>87</v>
      </c>
      <c r="G226" s="3" t="s">
        <v>59</v>
      </c>
      <c r="H226" s="3" t="s">
        <v>58</v>
      </c>
      <c r="I226" s="3" t="s">
        <v>58</v>
      </c>
      <c r="J226" s="3" t="s">
        <v>60</v>
      </c>
      <c r="K226" s="2" t="s">
        <v>2966</v>
      </c>
      <c r="L226" s="2" t="s">
        <v>2967</v>
      </c>
      <c r="M226" s="3" t="s">
        <v>2968</v>
      </c>
      <c r="O226" s="3" t="s">
        <v>63</v>
      </c>
      <c r="P226" s="3" t="s">
        <v>83</v>
      </c>
      <c r="R226" s="3" t="s">
        <v>855</v>
      </c>
      <c r="S226" s="4">
        <v>2</v>
      </c>
      <c r="T226" s="4">
        <v>2</v>
      </c>
      <c r="U226" s="5" t="s">
        <v>2969</v>
      </c>
      <c r="V226" s="5" t="s">
        <v>2969</v>
      </c>
      <c r="W226" s="5" t="s">
        <v>2970</v>
      </c>
      <c r="X226" s="5" t="s">
        <v>2970</v>
      </c>
      <c r="Y226" s="4">
        <v>20</v>
      </c>
      <c r="Z226" s="4">
        <v>17</v>
      </c>
      <c r="AA226" s="4">
        <v>26</v>
      </c>
      <c r="AB226" s="4">
        <v>1</v>
      </c>
      <c r="AC226" s="4">
        <v>1</v>
      </c>
      <c r="AD226" s="4">
        <v>1</v>
      </c>
      <c r="AE226" s="4">
        <v>1</v>
      </c>
      <c r="AF226" s="4">
        <v>0</v>
      </c>
      <c r="AG226" s="4">
        <v>0</v>
      </c>
      <c r="AH226" s="4">
        <v>0</v>
      </c>
      <c r="AI226" s="4">
        <v>0</v>
      </c>
      <c r="AJ226" s="4">
        <v>1</v>
      </c>
      <c r="AK226" s="4">
        <v>1</v>
      </c>
      <c r="AL226" s="4">
        <v>0</v>
      </c>
      <c r="AM226" s="4">
        <v>0</v>
      </c>
      <c r="AN226" s="4">
        <v>0</v>
      </c>
      <c r="AO226" s="4">
        <v>0</v>
      </c>
      <c r="AP226" s="3" t="s">
        <v>58</v>
      </c>
      <c r="AQ226" s="3" t="s">
        <v>87</v>
      </c>
      <c r="AR226" s="6" t="str">
        <f>HYPERLINK("http://catalog.hathitrust.org/Record/101740830","HathiTrust Record")</f>
        <v>HathiTrust Record</v>
      </c>
      <c r="AS226" s="6" t="str">
        <f>HYPERLINK("https://creighton-primo.hosted.exlibrisgroup.com/primo-explore/search?tab=default_tab&amp;search_scope=EVERYTHING&amp;vid=01CRU&amp;lang=en_US&amp;offset=0&amp;query=any,contains,991000356639702656","Catalog Record")</f>
        <v>Catalog Record</v>
      </c>
      <c r="AT226" s="6" t="str">
        <f>HYPERLINK("http://www.worldcat.org/oclc/10336624","WorldCat Record")</f>
        <v>WorldCat Record</v>
      </c>
      <c r="AU226" s="3" t="s">
        <v>2971</v>
      </c>
      <c r="AV226" s="3" t="s">
        <v>2972</v>
      </c>
      <c r="AW226" s="3" t="s">
        <v>2973</v>
      </c>
      <c r="AX226" s="3" t="s">
        <v>2973</v>
      </c>
      <c r="AY226" s="3" t="s">
        <v>2974</v>
      </c>
      <c r="AZ226" s="3" t="s">
        <v>73</v>
      </c>
      <c r="BC226" s="3" t="s">
        <v>2977</v>
      </c>
      <c r="BD226" s="3" t="s">
        <v>2978</v>
      </c>
    </row>
    <row r="227" spans="1:56" ht="47.25" customHeight="1" x14ac:dyDescent="0.25">
      <c r="A227" s="7" t="s">
        <v>58</v>
      </c>
      <c r="B227" s="2" t="s">
        <v>2979</v>
      </c>
      <c r="C227" s="2" t="s">
        <v>2980</v>
      </c>
      <c r="D227" s="2" t="s">
        <v>2981</v>
      </c>
      <c r="F227" s="3" t="s">
        <v>58</v>
      </c>
      <c r="G227" s="3" t="s">
        <v>59</v>
      </c>
      <c r="H227" s="3" t="s">
        <v>58</v>
      </c>
      <c r="I227" s="3" t="s">
        <v>58</v>
      </c>
      <c r="J227" s="3" t="s">
        <v>60</v>
      </c>
      <c r="K227" s="2" t="s">
        <v>2982</v>
      </c>
      <c r="L227" s="2" t="s">
        <v>2983</v>
      </c>
      <c r="M227" s="3" t="s">
        <v>1072</v>
      </c>
      <c r="O227" s="3" t="s">
        <v>63</v>
      </c>
      <c r="P227" s="3" t="s">
        <v>64</v>
      </c>
      <c r="R227" s="3" t="s">
        <v>2984</v>
      </c>
      <c r="S227" s="4">
        <v>6</v>
      </c>
      <c r="T227" s="4">
        <v>6</v>
      </c>
      <c r="U227" s="5" t="s">
        <v>2985</v>
      </c>
      <c r="V227" s="5" t="s">
        <v>2985</v>
      </c>
      <c r="W227" s="5" t="s">
        <v>2986</v>
      </c>
      <c r="X227" s="5" t="s">
        <v>2986</v>
      </c>
      <c r="Y227" s="4">
        <v>442</v>
      </c>
      <c r="Z227" s="4">
        <v>282</v>
      </c>
      <c r="AA227" s="4">
        <v>1090</v>
      </c>
      <c r="AB227" s="4">
        <v>1</v>
      </c>
      <c r="AC227" s="4">
        <v>3</v>
      </c>
      <c r="AD227" s="4">
        <v>15</v>
      </c>
      <c r="AE227" s="4">
        <v>32</v>
      </c>
      <c r="AF227" s="4">
        <v>6</v>
      </c>
      <c r="AG227" s="4">
        <v>16</v>
      </c>
      <c r="AH227" s="4">
        <v>4</v>
      </c>
      <c r="AI227" s="4">
        <v>7</v>
      </c>
      <c r="AJ227" s="4">
        <v>9</v>
      </c>
      <c r="AK227" s="4">
        <v>15</v>
      </c>
      <c r="AL227" s="4">
        <v>0</v>
      </c>
      <c r="AM227" s="4">
        <v>2</v>
      </c>
      <c r="AN227" s="4">
        <v>0</v>
      </c>
      <c r="AO227" s="4">
        <v>0</v>
      </c>
      <c r="AP227" s="3" t="s">
        <v>58</v>
      </c>
      <c r="AQ227" s="3" t="s">
        <v>87</v>
      </c>
      <c r="AR227" s="6" t="str">
        <f>HYPERLINK("http://catalog.hathitrust.org/Record/001199628","HathiTrust Record")</f>
        <v>HathiTrust Record</v>
      </c>
      <c r="AS227" s="6" t="str">
        <f>HYPERLINK("https://creighton-primo.hosted.exlibrisgroup.com/primo-explore/search?tab=default_tab&amp;search_scope=EVERYTHING&amp;vid=01CRU&amp;lang=en_US&amp;offset=0&amp;query=any,contains,991003273289702656","Catalog Record")</f>
        <v>Catalog Record</v>
      </c>
      <c r="AT227" s="6" t="str">
        <f>HYPERLINK("http://www.worldcat.org/oclc/798148","WorldCat Record")</f>
        <v>WorldCat Record</v>
      </c>
      <c r="AU227" s="3" t="s">
        <v>2987</v>
      </c>
      <c r="AV227" s="3" t="s">
        <v>2988</v>
      </c>
      <c r="AW227" s="3" t="s">
        <v>2989</v>
      </c>
      <c r="AX227" s="3" t="s">
        <v>2989</v>
      </c>
      <c r="AY227" s="3" t="s">
        <v>2990</v>
      </c>
      <c r="AZ227" s="3" t="s">
        <v>73</v>
      </c>
      <c r="BB227" s="3" t="s">
        <v>2991</v>
      </c>
      <c r="BC227" s="3" t="s">
        <v>2992</v>
      </c>
      <c r="BD227" s="3" t="s">
        <v>2993</v>
      </c>
    </row>
    <row r="228" spans="1:56" ht="47.25" customHeight="1" x14ac:dyDescent="0.25">
      <c r="A228" s="7" t="s">
        <v>58</v>
      </c>
      <c r="B228" s="2" t="s">
        <v>2994</v>
      </c>
      <c r="C228" s="2" t="s">
        <v>2995</v>
      </c>
      <c r="D228" s="2" t="s">
        <v>2996</v>
      </c>
      <c r="F228" s="3" t="s">
        <v>58</v>
      </c>
      <c r="G228" s="3" t="s">
        <v>59</v>
      </c>
      <c r="H228" s="3" t="s">
        <v>58</v>
      </c>
      <c r="I228" s="3" t="s">
        <v>87</v>
      </c>
      <c r="J228" s="3" t="s">
        <v>60</v>
      </c>
      <c r="K228" s="2" t="s">
        <v>2997</v>
      </c>
      <c r="L228" s="2" t="s">
        <v>2998</v>
      </c>
      <c r="M228" s="3" t="s">
        <v>598</v>
      </c>
      <c r="N228" s="2" t="s">
        <v>695</v>
      </c>
      <c r="O228" s="3" t="s">
        <v>63</v>
      </c>
      <c r="P228" s="3" t="s">
        <v>64</v>
      </c>
      <c r="R228" s="3" t="s">
        <v>2984</v>
      </c>
      <c r="S228" s="4">
        <v>5</v>
      </c>
      <c r="T228" s="4">
        <v>5</v>
      </c>
      <c r="U228" s="5" t="s">
        <v>2985</v>
      </c>
      <c r="V228" s="5" t="s">
        <v>2985</v>
      </c>
      <c r="W228" s="5" t="s">
        <v>2999</v>
      </c>
      <c r="X228" s="5" t="s">
        <v>2999</v>
      </c>
      <c r="Y228" s="4">
        <v>233</v>
      </c>
      <c r="Z228" s="4">
        <v>158</v>
      </c>
      <c r="AA228" s="4">
        <v>513</v>
      </c>
      <c r="AB228" s="4">
        <v>1</v>
      </c>
      <c r="AC228" s="4">
        <v>3</v>
      </c>
      <c r="AD228" s="4">
        <v>8</v>
      </c>
      <c r="AE228" s="4">
        <v>28</v>
      </c>
      <c r="AF228" s="4">
        <v>3</v>
      </c>
      <c r="AG228" s="4">
        <v>13</v>
      </c>
      <c r="AH228" s="4">
        <v>3</v>
      </c>
      <c r="AI228" s="4">
        <v>7</v>
      </c>
      <c r="AJ228" s="4">
        <v>4</v>
      </c>
      <c r="AK228" s="4">
        <v>15</v>
      </c>
      <c r="AL228" s="4">
        <v>0</v>
      </c>
      <c r="AM228" s="4">
        <v>2</v>
      </c>
      <c r="AN228" s="4">
        <v>0</v>
      </c>
      <c r="AO228" s="4">
        <v>0</v>
      </c>
      <c r="AP228" s="3" t="s">
        <v>58</v>
      </c>
      <c r="AQ228" s="3" t="s">
        <v>58</v>
      </c>
      <c r="AS228" s="6" t="str">
        <f>HYPERLINK("https://creighton-primo.hosted.exlibrisgroup.com/primo-explore/search?tab=default_tab&amp;search_scope=EVERYTHING&amp;vid=01CRU&amp;lang=en_US&amp;offset=0&amp;query=any,contains,991001351619702656","Catalog Record")</f>
        <v>Catalog Record</v>
      </c>
      <c r="AT228" s="6" t="str">
        <f>HYPERLINK("http://www.worldcat.org/oclc/18442382","WorldCat Record")</f>
        <v>WorldCat Record</v>
      </c>
      <c r="AU228" s="3" t="s">
        <v>3000</v>
      </c>
      <c r="AV228" s="3" t="s">
        <v>3001</v>
      </c>
      <c r="AW228" s="3" t="s">
        <v>3002</v>
      </c>
      <c r="AX228" s="3" t="s">
        <v>3002</v>
      </c>
      <c r="AY228" s="3" t="s">
        <v>3003</v>
      </c>
      <c r="AZ228" s="3" t="s">
        <v>73</v>
      </c>
      <c r="BB228" s="3" t="s">
        <v>3004</v>
      </c>
      <c r="BC228" s="3" t="s">
        <v>3005</v>
      </c>
      <c r="BD228" s="3" t="s">
        <v>3006</v>
      </c>
    </row>
    <row r="229" spans="1:56" ht="47.25" customHeight="1" x14ac:dyDescent="0.25">
      <c r="A229" s="7" t="s">
        <v>58</v>
      </c>
      <c r="B229" s="2" t="s">
        <v>3007</v>
      </c>
      <c r="C229" s="2" t="s">
        <v>3008</v>
      </c>
      <c r="D229" s="2" t="s">
        <v>3009</v>
      </c>
      <c r="F229" s="3" t="s">
        <v>58</v>
      </c>
      <c r="G229" s="3" t="s">
        <v>59</v>
      </c>
      <c r="H229" s="3" t="s">
        <v>58</v>
      </c>
      <c r="I229" s="3" t="s">
        <v>58</v>
      </c>
      <c r="J229" s="3" t="s">
        <v>60</v>
      </c>
      <c r="K229" s="2" t="s">
        <v>3010</v>
      </c>
      <c r="L229" s="2" t="s">
        <v>3011</v>
      </c>
      <c r="M229" s="3" t="s">
        <v>82</v>
      </c>
      <c r="O229" s="3" t="s">
        <v>63</v>
      </c>
      <c r="P229" s="3" t="s">
        <v>83</v>
      </c>
      <c r="R229" s="3" t="s">
        <v>2984</v>
      </c>
      <c r="S229" s="4">
        <v>6</v>
      </c>
      <c r="T229" s="4">
        <v>6</v>
      </c>
      <c r="U229" s="5" t="s">
        <v>3012</v>
      </c>
      <c r="V229" s="5" t="s">
        <v>3012</v>
      </c>
      <c r="W229" s="5" t="s">
        <v>1492</v>
      </c>
      <c r="X229" s="5" t="s">
        <v>1492</v>
      </c>
      <c r="Y229" s="4">
        <v>848</v>
      </c>
      <c r="Z229" s="4">
        <v>813</v>
      </c>
      <c r="AA229" s="4">
        <v>934</v>
      </c>
      <c r="AB229" s="4">
        <v>6</v>
      </c>
      <c r="AC229" s="4">
        <v>7</v>
      </c>
      <c r="AD229" s="4">
        <v>28</v>
      </c>
      <c r="AE229" s="4">
        <v>31</v>
      </c>
      <c r="AF229" s="4">
        <v>13</v>
      </c>
      <c r="AG229" s="4">
        <v>13</v>
      </c>
      <c r="AH229" s="4">
        <v>5</v>
      </c>
      <c r="AI229" s="4">
        <v>5</v>
      </c>
      <c r="AJ229" s="4">
        <v>14</v>
      </c>
      <c r="AK229" s="4">
        <v>16</v>
      </c>
      <c r="AL229" s="4">
        <v>3</v>
      </c>
      <c r="AM229" s="4">
        <v>4</v>
      </c>
      <c r="AN229" s="4">
        <v>0</v>
      </c>
      <c r="AO229" s="4">
        <v>0</v>
      </c>
      <c r="AP229" s="3" t="s">
        <v>58</v>
      </c>
      <c r="AQ229" s="3" t="s">
        <v>58</v>
      </c>
      <c r="AS229" s="6" t="str">
        <f>HYPERLINK("https://creighton-primo.hosted.exlibrisgroup.com/primo-explore/search?tab=default_tab&amp;search_scope=EVERYTHING&amp;vid=01CRU&amp;lang=en_US&amp;offset=0&amp;query=any,contains,991000539629702656","Catalog Record")</f>
        <v>Catalog Record</v>
      </c>
      <c r="AT229" s="6" t="str">
        <f>HYPERLINK("http://www.worldcat.org/oclc/90278","WorldCat Record")</f>
        <v>WorldCat Record</v>
      </c>
      <c r="AU229" s="3" t="s">
        <v>3013</v>
      </c>
      <c r="AV229" s="3" t="s">
        <v>3014</v>
      </c>
      <c r="AW229" s="3" t="s">
        <v>3015</v>
      </c>
      <c r="AX229" s="3" t="s">
        <v>3015</v>
      </c>
      <c r="AY229" s="3" t="s">
        <v>3016</v>
      </c>
      <c r="AZ229" s="3" t="s">
        <v>73</v>
      </c>
      <c r="BC229" s="3" t="s">
        <v>3017</v>
      </c>
      <c r="BD229" s="3" t="s">
        <v>3018</v>
      </c>
    </row>
    <row r="230" spans="1:56" ht="47.25" customHeight="1" x14ac:dyDescent="0.25">
      <c r="A230" s="7" t="s">
        <v>58</v>
      </c>
      <c r="B230" s="2" t="s">
        <v>3019</v>
      </c>
      <c r="C230" s="2" t="s">
        <v>3020</v>
      </c>
      <c r="D230" s="2" t="s">
        <v>3021</v>
      </c>
      <c r="F230" s="3" t="s">
        <v>58</v>
      </c>
      <c r="G230" s="3" t="s">
        <v>59</v>
      </c>
      <c r="H230" s="3" t="s">
        <v>58</v>
      </c>
      <c r="I230" s="3" t="s">
        <v>58</v>
      </c>
      <c r="J230" s="3" t="s">
        <v>60</v>
      </c>
      <c r="K230" s="2" t="s">
        <v>3022</v>
      </c>
      <c r="L230" s="2" t="s">
        <v>3023</v>
      </c>
      <c r="M230" s="3" t="s">
        <v>116</v>
      </c>
      <c r="N230" s="2" t="s">
        <v>3024</v>
      </c>
      <c r="O230" s="3" t="s">
        <v>63</v>
      </c>
      <c r="P230" s="3" t="s">
        <v>83</v>
      </c>
      <c r="R230" s="3" t="s">
        <v>2984</v>
      </c>
      <c r="S230" s="4">
        <v>6</v>
      </c>
      <c r="T230" s="4">
        <v>6</v>
      </c>
      <c r="U230" s="5" t="s">
        <v>3012</v>
      </c>
      <c r="V230" s="5" t="s">
        <v>3012</v>
      </c>
      <c r="W230" s="5" t="s">
        <v>1492</v>
      </c>
      <c r="X230" s="5" t="s">
        <v>1492</v>
      </c>
      <c r="Y230" s="4">
        <v>916</v>
      </c>
      <c r="Z230" s="4">
        <v>844</v>
      </c>
      <c r="AA230" s="4">
        <v>873</v>
      </c>
      <c r="AB230" s="4">
        <v>6</v>
      </c>
      <c r="AC230" s="4">
        <v>6</v>
      </c>
      <c r="AD230" s="4">
        <v>20</v>
      </c>
      <c r="AE230" s="4">
        <v>21</v>
      </c>
      <c r="AF230" s="4">
        <v>5</v>
      </c>
      <c r="AG230" s="4">
        <v>6</v>
      </c>
      <c r="AH230" s="4">
        <v>5</v>
      </c>
      <c r="AI230" s="4">
        <v>5</v>
      </c>
      <c r="AJ230" s="4">
        <v>12</v>
      </c>
      <c r="AK230" s="4">
        <v>12</v>
      </c>
      <c r="AL230" s="4">
        <v>3</v>
      </c>
      <c r="AM230" s="4">
        <v>3</v>
      </c>
      <c r="AN230" s="4">
        <v>0</v>
      </c>
      <c r="AO230" s="4">
        <v>0</v>
      </c>
      <c r="AP230" s="3" t="s">
        <v>58</v>
      </c>
      <c r="AQ230" s="3" t="s">
        <v>87</v>
      </c>
      <c r="AR230" s="6" t="str">
        <f>HYPERLINK("http://catalog.hathitrust.org/Record/001182834","HathiTrust Record")</f>
        <v>HathiTrust Record</v>
      </c>
      <c r="AS230" s="6" t="str">
        <f>HYPERLINK("https://creighton-primo.hosted.exlibrisgroup.com/primo-explore/search?tab=default_tab&amp;search_scope=EVERYTHING&amp;vid=01CRU&amp;lang=en_US&amp;offset=0&amp;query=any,contains,991000832629702656","Catalog Record")</f>
        <v>Catalog Record</v>
      </c>
      <c r="AT230" s="6" t="str">
        <f>HYPERLINK("http://www.worldcat.org/oclc/148303","WorldCat Record")</f>
        <v>WorldCat Record</v>
      </c>
      <c r="AU230" s="3" t="s">
        <v>3025</v>
      </c>
      <c r="AV230" s="3" t="s">
        <v>3026</v>
      </c>
      <c r="AW230" s="3" t="s">
        <v>3027</v>
      </c>
      <c r="AX230" s="3" t="s">
        <v>3027</v>
      </c>
      <c r="AY230" s="3" t="s">
        <v>3028</v>
      </c>
      <c r="AZ230" s="3" t="s">
        <v>73</v>
      </c>
      <c r="BB230" s="3" t="s">
        <v>3029</v>
      </c>
      <c r="BC230" s="3" t="s">
        <v>3030</v>
      </c>
      <c r="BD230" s="3" t="s">
        <v>3031</v>
      </c>
    </row>
  </sheetData>
  <protectedRanges>
    <protectedRange sqref="A2:A230" name="Range1"/>
    <protectedRange sqref="A1" name="Range1_1"/>
  </protectedRanges>
  <dataValidations count="1">
    <dataValidation type="list" allowBlank="1" showInputMessage="1" showErrorMessage="1" sqref="A2:A230" xr:uid="{F3C0ACB1-39BA-4CFA-AC3B-6A796F9DF05F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39AE137D-B9DD-421E-BDCB-F17D4D5D3134}"/>
</file>

<file path=customXml/itemProps2.xml><?xml version="1.0" encoding="utf-8"?>
<ds:datastoreItem xmlns:ds="http://schemas.openxmlformats.org/officeDocument/2006/customXml" ds:itemID="{FDCF748A-BC6F-49C7-8567-C2483DE42E9F}"/>
</file>

<file path=customXml/itemProps3.xml><?xml version="1.0" encoding="utf-8"?>
<ds:datastoreItem xmlns:ds="http://schemas.openxmlformats.org/officeDocument/2006/customXml" ds:itemID="{C6556642-3171-4A79-8F10-9571B9690B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2022-03-04T02:03:06Z</dcterms:created>
  <dcterms:modified xsi:type="dcterms:W3CDTF">2022-03-04T02:04:42Z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286900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